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5679C02E-A962-4DBA-8134-E639F7E66971}" xr6:coauthVersionLast="47" xr6:coauthVersionMax="47" xr10:uidLastSave="{00000000-0000-0000-0000-000000000000}"/>
  <bookViews>
    <workbookView xWindow="4908" yWindow="4236" windowWidth="17280" windowHeight="8964" xr2:uid="{6782A01E-E28E-4ACD-9919-361E8826973E}"/>
  </bookViews>
  <sheets>
    <sheet name="Inherent Charactersitics" sheetId="1" r:id="rId1"/>
    <sheet name="Installed Character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" l="1"/>
  <c r="L4" i="2"/>
  <c r="G4" i="2"/>
  <c r="H4" i="2" s="1"/>
  <c r="M4" i="1"/>
  <c r="M5" i="1"/>
  <c r="M6" i="1"/>
  <c r="M7" i="1"/>
  <c r="M8" i="1"/>
  <c r="M9" i="1"/>
  <c r="M10" i="1"/>
  <c r="M11" i="1"/>
  <c r="M12" i="1"/>
  <c r="M13" i="1"/>
  <c r="M3" i="1"/>
  <c r="Y5" i="2"/>
  <c r="Y6" i="2"/>
  <c r="Y7" i="2"/>
  <c r="Y8" i="2"/>
  <c r="Y9" i="2"/>
  <c r="Y10" i="2"/>
  <c r="Y11" i="2"/>
  <c r="Y12" i="2"/>
  <c r="Y13" i="2"/>
  <c r="Y14" i="2"/>
  <c r="X5" i="2"/>
  <c r="X6" i="2"/>
  <c r="X7" i="2"/>
  <c r="X8" i="2"/>
  <c r="X9" i="2"/>
  <c r="X10" i="2"/>
  <c r="X11" i="2"/>
  <c r="X12" i="2"/>
  <c r="X13" i="2"/>
  <c r="X14" i="2"/>
  <c r="X4" i="2"/>
  <c r="L5" i="2"/>
  <c r="L6" i="2"/>
  <c r="L7" i="2"/>
  <c r="L8" i="2"/>
  <c r="L9" i="2"/>
  <c r="L10" i="2"/>
  <c r="L11" i="2"/>
  <c r="L12" i="2"/>
  <c r="L13" i="2"/>
  <c r="L14" i="2"/>
  <c r="W22" i="2"/>
  <c r="W23" i="2"/>
  <c r="W24" i="2"/>
  <c r="W25" i="2"/>
  <c r="W26" i="2"/>
  <c r="W27" i="2"/>
  <c r="W28" i="2"/>
  <c r="W29" i="2"/>
  <c r="W30" i="2"/>
  <c r="W31" i="2"/>
  <c r="W21" i="2"/>
  <c r="W5" i="2"/>
  <c r="W6" i="2"/>
  <c r="W7" i="2"/>
  <c r="W8" i="2"/>
  <c r="W9" i="2"/>
  <c r="W10" i="2"/>
  <c r="W11" i="2"/>
  <c r="W12" i="2"/>
  <c r="W13" i="2"/>
  <c r="W14" i="2"/>
  <c r="W4" i="2"/>
  <c r="G22" i="2"/>
  <c r="G23" i="2"/>
  <c r="G24" i="2"/>
  <c r="G25" i="2"/>
  <c r="G26" i="2"/>
  <c r="G27" i="2"/>
  <c r="G28" i="2"/>
  <c r="G29" i="2"/>
  <c r="G30" i="2"/>
  <c r="G31" i="2"/>
  <c r="G21" i="2"/>
  <c r="E23" i="2"/>
  <c r="E27" i="2"/>
  <c r="E31" i="2"/>
  <c r="D22" i="2"/>
  <c r="E22" i="2" s="1"/>
  <c r="D23" i="2"/>
  <c r="H23" i="2" s="1"/>
  <c r="I23" i="2" s="1"/>
  <c r="D24" i="2"/>
  <c r="E24" i="2" s="1"/>
  <c r="D25" i="2"/>
  <c r="E25" i="2" s="1"/>
  <c r="D26" i="2"/>
  <c r="H26" i="2" s="1"/>
  <c r="I26" i="2" s="1"/>
  <c r="D27" i="2"/>
  <c r="H27" i="2" s="1"/>
  <c r="I27" i="2" s="1"/>
  <c r="D28" i="2"/>
  <c r="E28" i="2" s="1"/>
  <c r="D29" i="2"/>
  <c r="E29" i="2" s="1"/>
  <c r="D30" i="2"/>
  <c r="E30" i="2" s="1"/>
  <c r="D31" i="2"/>
  <c r="H31" i="2" s="1"/>
  <c r="I31" i="2" s="1"/>
  <c r="D21" i="2"/>
  <c r="E21" i="2" s="1"/>
  <c r="D4" i="2"/>
  <c r="J9" i="2"/>
  <c r="H7" i="2"/>
  <c r="I7" i="2" s="1"/>
  <c r="H11" i="2"/>
  <c r="I11" i="2" s="1"/>
  <c r="G5" i="2"/>
  <c r="G6" i="2"/>
  <c r="G7" i="2"/>
  <c r="G8" i="2"/>
  <c r="H8" i="2" s="1"/>
  <c r="I8" i="2" s="1"/>
  <c r="G9" i="2"/>
  <c r="G10" i="2"/>
  <c r="G11" i="2"/>
  <c r="G12" i="2"/>
  <c r="H12" i="2" s="1"/>
  <c r="I12" i="2" s="1"/>
  <c r="G13" i="2"/>
  <c r="G14" i="2"/>
  <c r="H3" i="1"/>
  <c r="E5" i="2"/>
  <c r="E9" i="2"/>
  <c r="E12" i="2"/>
  <c r="E13" i="2"/>
  <c r="E4" i="2"/>
  <c r="D5" i="2"/>
  <c r="H5" i="2" s="1"/>
  <c r="I5" i="2" s="1"/>
  <c r="D6" i="2"/>
  <c r="E6" i="2" s="1"/>
  <c r="D7" i="2"/>
  <c r="E7" i="2" s="1"/>
  <c r="D8" i="2"/>
  <c r="E8" i="2" s="1"/>
  <c r="D9" i="2"/>
  <c r="H9" i="2" s="1"/>
  <c r="I9" i="2" s="1"/>
  <c r="D10" i="2"/>
  <c r="E10" i="2" s="1"/>
  <c r="D11" i="2"/>
  <c r="E11" i="2" s="1"/>
  <c r="D12" i="2"/>
  <c r="D13" i="2"/>
  <c r="H13" i="2" s="1"/>
  <c r="I13" i="2" s="1"/>
  <c r="D14" i="2"/>
  <c r="E14" i="2" s="1"/>
  <c r="E3" i="1"/>
  <c r="B22" i="2"/>
  <c r="J22" i="2" s="1"/>
  <c r="B23" i="2"/>
  <c r="J23" i="2" s="1"/>
  <c r="B24" i="2"/>
  <c r="J24" i="2" s="1"/>
  <c r="B25" i="2"/>
  <c r="J25" i="2" s="1"/>
  <c r="B26" i="2"/>
  <c r="J26" i="2" s="1"/>
  <c r="B27" i="2"/>
  <c r="J27" i="2" s="1"/>
  <c r="B28" i="2"/>
  <c r="J28" i="2" s="1"/>
  <c r="B29" i="2"/>
  <c r="J29" i="2" s="1"/>
  <c r="B30" i="2"/>
  <c r="J30" i="2" s="1"/>
  <c r="B31" i="2"/>
  <c r="J31" i="2" s="1"/>
  <c r="B21" i="2"/>
  <c r="J21" i="2" s="1"/>
  <c r="B5" i="2"/>
  <c r="J5" i="2" s="1"/>
  <c r="B6" i="2"/>
  <c r="J6" i="2" s="1"/>
  <c r="B7" i="2"/>
  <c r="J7" i="2" s="1"/>
  <c r="B8" i="2"/>
  <c r="J8" i="2" s="1"/>
  <c r="B9" i="2"/>
  <c r="B10" i="2"/>
  <c r="J10" i="2" s="1"/>
  <c r="B11" i="2"/>
  <c r="J11" i="2" s="1"/>
  <c r="B12" i="2"/>
  <c r="J12" i="2" s="1"/>
  <c r="B13" i="2"/>
  <c r="J13" i="2" s="1"/>
  <c r="B14" i="2"/>
  <c r="J14" i="2" s="1"/>
  <c r="B4" i="2"/>
  <c r="J4" i="2" s="1"/>
  <c r="K6" i="1"/>
  <c r="K10" i="1"/>
  <c r="L10" i="1" s="1"/>
  <c r="K3" i="1"/>
  <c r="K23" i="1"/>
  <c r="M23" i="1" s="1"/>
  <c r="I25" i="1"/>
  <c r="J25" i="1" s="1"/>
  <c r="H20" i="1"/>
  <c r="H21" i="1"/>
  <c r="I21" i="1" s="1"/>
  <c r="J21" i="1" s="1"/>
  <c r="H22" i="1"/>
  <c r="H23" i="1"/>
  <c r="H24" i="1"/>
  <c r="H25" i="1"/>
  <c r="H26" i="1"/>
  <c r="H27" i="1"/>
  <c r="H28" i="1"/>
  <c r="H29" i="1"/>
  <c r="I29" i="1" s="1"/>
  <c r="J29" i="1" s="1"/>
  <c r="H19" i="1"/>
  <c r="H7" i="1"/>
  <c r="F21" i="1"/>
  <c r="F25" i="1"/>
  <c r="F29" i="1"/>
  <c r="E20" i="1"/>
  <c r="I20" i="1" s="1"/>
  <c r="J20" i="1" s="1"/>
  <c r="E21" i="1"/>
  <c r="E22" i="1"/>
  <c r="I22" i="1" s="1"/>
  <c r="J22" i="1" s="1"/>
  <c r="E23" i="1"/>
  <c r="I23" i="1" s="1"/>
  <c r="J23" i="1" s="1"/>
  <c r="E24" i="1"/>
  <c r="I24" i="1" s="1"/>
  <c r="J24" i="1" s="1"/>
  <c r="E25" i="1"/>
  <c r="E26" i="1"/>
  <c r="I26" i="1" s="1"/>
  <c r="J26" i="1" s="1"/>
  <c r="E27" i="1"/>
  <c r="I27" i="1" s="1"/>
  <c r="J27" i="1" s="1"/>
  <c r="E28" i="1"/>
  <c r="I28" i="1" s="1"/>
  <c r="J28" i="1" s="1"/>
  <c r="E29" i="1"/>
  <c r="F24" i="1" s="1"/>
  <c r="E19" i="1"/>
  <c r="I19" i="1" s="1"/>
  <c r="J19" i="1" s="1"/>
  <c r="C20" i="1"/>
  <c r="K20" i="1" s="1"/>
  <c r="M20" i="1" s="1"/>
  <c r="C21" i="1"/>
  <c r="K21" i="1" s="1"/>
  <c r="M21" i="1" s="1"/>
  <c r="C22" i="1"/>
  <c r="K22" i="1" s="1"/>
  <c r="C23" i="1"/>
  <c r="C24" i="1"/>
  <c r="K24" i="1" s="1"/>
  <c r="M24" i="1" s="1"/>
  <c r="C25" i="1"/>
  <c r="K25" i="1" s="1"/>
  <c r="L25" i="1" s="1"/>
  <c r="C26" i="1"/>
  <c r="K26" i="1" s="1"/>
  <c r="M26" i="1" s="1"/>
  <c r="C27" i="1"/>
  <c r="K27" i="1" s="1"/>
  <c r="C28" i="1"/>
  <c r="K28" i="1" s="1"/>
  <c r="M28" i="1" s="1"/>
  <c r="C29" i="1"/>
  <c r="K29" i="1" s="1"/>
  <c r="L22" i="1" s="1"/>
  <c r="C19" i="1"/>
  <c r="K19" i="1" s="1"/>
  <c r="I8" i="1"/>
  <c r="J8" i="1" s="1"/>
  <c r="I3" i="1"/>
  <c r="J3" i="1" s="1"/>
  <c r="F6" i="1"/>
  <c r="F10" i="1"/>
  <c r="F3" i="1"/>
  <c r="C4" i="1"/>
  <c r="K4" i="1" s="1"/>
  <c r="C5" i="1"/>
  <c r="K5" i="1" s="1"/>
  <c r="C6" i="1"/>
  <c r="C7" i="1"/>
  <c r="K7" i="1" s="1"/>
  <c r="C8" i="1"/>
  <c r="K8" i="1" s="1"/>
  <c r="C9" i="1"/>
  <c r="K9" i="1" s="1"/>
  <c r="C10" i="1"/>
  <c r="C11" i="1"/>
  <c r="K11" i="1" s="1"/>
  <c r="C12" i="1"/>
  <c r="K12" i="1" s="1"/>
  <c r="C13" i="1"/>
  <c r="K13" i="1" s="1"/>
  <c r="C3" i="1"/>
  <c r="H4" i="1"/>
  <c r="I4" i="1" s="1"/>
  <c r="J4" i="1" s="1"/>
  <c r="H5" i="1"/>
  <c r="H6" i="1"/>
  <c r="H8" i="1"/>
  <c r="H9" i="1"/>
  <c r="H10" i="1"/>
  <c r="H11" i="1"/>
  <c r="H12" i="1"/>
  <c r="H13" i="1"/>
  <c r="I13" i="1" s="1"/>
  <c r="J13" i="1" s="1"/>
  <c r="E4" i="1"/>
  <c r="F4" i="1" s="1"/>
  <c r="E5" i="1"/>
  <c r="I5" i="1" s="1"/>
  <c r="J5" i="1" s="1"/>
  <c r="E6" i="1"/>
  <c r="I6" i="1" s="1"/>
  <c r="J6" i="1" s="1"/>
  <c r="E7" i="1"/>
  <c r="I7" i="1" s="1"/>
  <c r="J7" i="1" s="1"/>
  <c r="E8" i="1"/>
  <c r="F8" i="1" s="1"/>
  <c r="E9" i="1"/>
  <c r="I9" i="1" s="1"/>
  <c r="J9" i="1" s="1"/>
  <c r="E10" i="1"/>
  <c r="I10" i="1" s="1"/>
  <c r="J10" i="1" s="1"/>
  <c r="E11" i="1"/>
  <c r="F11" i="1" s="1"/>
  <c r="E12" i="1"/>
  <c r="F12" i="1" s="1"/>
  <c r="E13" i="1"/>
  <c r="F13" i="1" s="1"/>
  <c r="I4" i="2" l="1"/>
  <c r="Y4" i="2"/>
  <c r="Y16" i="2" s="1"/>
  <c r="L4" i="1"/>
  <c r="L16" i="2"/>
  <c r="K4" i="2"/>
  <c r="K7" i="2"/>
  <c r="K27" i="2"/>
  <c r="L27" i="2"/>
  <c r="L27" i="1"/>
  <c r="M27" i="1"/>
  <c r="K14" i="2"/>
  <c r="K6" i="2"/>
  <c r="L26" i="2"/>
  <c r="K26" i="2"/>
  <c r="L12" i="1"/>
  <c r="L11" i="1"/>
  <c r="K13" i="2"/>
  <c r="K5" i="2"/>
  <c r="K25" i="2"/>
  <c r="L9" i="1"/>
  <c r="K12" i="2"/>
  <c r="K21" i="2"/>
  <c r="K24" i="2"/>
  <c r="L8" i="1"/>
  <c r="K11" i="2"/>
  <c r="L31" i="2"/>
  <c r="K31" i="2"/>
  <c r="L23" i="2"/>
  <c r="K23" i="2"/>
  <c r="K9" i="2"/>
  <c r="L7" i="1"/>
  <c r="K10" i="2"/>
  <c r="L30" i="2"/>
  <c r="K30" i="2"/>
  <c r="K22" i="2"/>
  <c r="M19" i="1"/>
  <c r="M22" i="1"/>
  <c r="K29" i="2"/>
  <c r="L13" i="1"/>
  <c r="L5" i="1"/>
  <c r="K8" i="2"/>
  <c r="K28" i="2"/>
  <c r="L28" i="2"/>
  <c r="F9" i="1"/>
  <c r="I12" i="1"/>
  <c r="J12" i="1" s="1"/>
  <c r="F28" i="1"/>
  <c r="F20" i="1"/>
  <c r="H14" i="2"/>
  <c r="I14" i="2" s="1"/>
  <c r="H6" i="2"/>
  <c r="I6" i="2" s="1"/>
  <c r="E26" i="2"/>
  <c r="H25" i="2"/>
  <c r="I25" i="2" s="1"/>
  <c r="F27" i="1"/>
  <c r="H21" i="2"/>
  <c r="I21" i="2" s="1"/>
  <c r="H24" i="2"/>
  <c r="I24" i="2" s="1"/>
  <c r="F7" i="1"/>
  <c r="F26" i="1"/>
  <c r="L3" i="1"/>
  <c r="L6" i="1"/>
  <c r="H30" i="2"/>
  <c r="I30" i="2" s="1"/>
  <c r="H22" i="2"/>
  <c r="I22" i="2" s="1"/>
  <c r="F5" i="1"/>
  <c r="H10" i="2"/>
  <c r="I10" i="2" s="1"/>
  <c r="H29" i="2"/>
  <c r="I29" i="2" s="1"/>
  <c r="F23" i="1"/>
  <c r="I11" i="1"/>
  <c r="J11" i="1" s="1"/>
  <c r="H28" i="2"/>
  <c r="I28" i="2" s="1"/>
  <c r="F22" i="1"/>
  <c r="L29" i="1"/>
  <c r="L20" i="1"/>
  <c r="L28" i="1"/>
  <c r="M29" i="1"/>
  <c r="L24" i="1"/>
  <c r="L23" i="1"/>
  <c r="L21" i="1"/>
  <c r="L26" i="1"/>
  <c r="M25" i="1"/>
  <c r="L19" i="1"/>
  <c r="L29" i="2" l="1"/>
  <c r="L21" i="2"/>
  <c r="L22" i="2"/>
  <c r="L24" i="2"/>
  <c r="L25" i="2"/>
</calcChain>
</file>

<file path=xl/sharedStrings.xml><?xml version="1.0" encoding="utf-8"?>
<sst xmlns="http://schemas.openxmlformats.org/spreadsheetml/2006/main" count="66" uniqueCount="26">
  <si>
    <t>Voltage (v)</t>
  </si>
  <si>
    <t>Opening fraction</t>
  </si>
  <si>
    <t>Flow fraction Q_frac</t>
  </si>
  <si>
    <t>ΔP (mmHg )</t>
  </si>
  <si>
    <t>ΔP (N/m^2 )</t>
  </si>
  <si>
    <t>y = Q*sqrt(rho/ΔP)</t>
  </si>
  <si>
    <t>ln(y)</t>
  </si>
  <si>
    <t>Predicted y</t>
  </si>
  <si>
    <t>5V-3V</t>
  </si>
  <si>
    <t>3V-5V</t>
  </si>
  <si>
    <t>Predicted Fractional Flow Rate</t>
  </si>
  <si>
    <t>%Error in y</t>
  </si>
  <si>
    <t>Installed Characteristics</t>
  </si>
  <si>
    <t>5v-3v</t>
  </si>
  <si>
    <t>3v-5v</t>
  </si>
  <si>
    <t>ln(x)</t>
  </si>
  <si>
    <t>Mean Error</t>
  </si>
  <si>
    <t>Mean Error=</t>
  </si>
  <si>
    <t>b=2.9053</t>
  </si>
  <si>
    <t>Flow rate (LPH)</t>
  </si>
  <si>
    <t>Flow rate (m3 /s)</t>
  </si>
  <si>
    <t>%Error</t>
  </si>
  <si>
    <t>INSTALLED VS INHERENT</t>
  </si>
  <si>
    <t>INSTALLED</t>
  </si>
  <si>
    <t>INHERENT</t>
  </si>
  <si>
    <t>Fractional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</si>
</sst>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1" xfId="0" applyFont="1" applyFill="1" applyBorder="1"/>
    <xf numFmtId="0" fontId="0" fillId="0" borderId="1" xfId="0" applyFont="1" applyBorder="1"/>
    <xf numFmtId="173" fontId="0" fillId="0" borderId="0" xfId="0" applyNumberFormat="1"/>
    <xf numFmtId="2" fontId="0" fillId="0" borderId="0" xfId="0" applyNumberFormat="1"/>
    <xf numFmtId="173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2" fontId="0" fillId="2" borderId="1" xfId="0" applyNumberFormat="1" applyFont="1" applyFill="1" applyBorder="1"/>
    <xf numFmtId="2" fontId="0" fillId="0" borderId="1" xfId="0" applyNumberFormat="1" applyFont="1" applyBorder="1"/>
  </cellXfs>
  <cellStyles count="1">
    <cellStyle name="Normal" xfId="0" builtinId="0"/>
  </cellStyles>
  <dxfs count="24">
    <dxf>
      <numFmt numFmtId="2" formatCode="0.00"/>
    </dxf>
    <dxf>
      <numFmt numFmtId="173" formatCode="0.000"/>
    </dxf>
    <dxf>
      <numFmt numFmtId="2" formatCode="0.00"/>
    </dxf>
    <dxf>
      <numFmt numFmtId="173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lny vs x (3v-5v)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80511811023622E-2"/>
                  <c:y val="8.2916666666666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'Inherent Charactersitics'!$C$3:$C$13</c:f>
              <c:numCache>
                <c:formatCode>General</c:formatCode>
                <c:ptCount val="11"/>
                <c:pt idx="0">
                  <c:v>1</c:v>
                </c:pt>
                <c:pt idx="1">
                  <c:v>0.96</c:v>
                </c:pt>
                <c:pt idx="2">
                  <c:v>0.91999999999999993</c:v>
                </c:pt>
                <c:pt idx="3">
                  <c:v>0.88000000000000012</c:v>
                </c:pt>
                <c:pt idx="4">
                  <c:v>0.84000000000000008</c:v>
                </c:pt>
                <c:pt idx="5">
                  <c:v>0.8</c:v>
                </c:pt>
                <c:pt idx="6">
                  <c:v>0.76</c:v>
                </c:pt>
                <c:pt idx="7">
                  <c:v>0.72</c:v>
                </c:pt>
                <c:pt idx="8">
                  <c:v>0.67999999999999994</c:v>
                </c:pt>
                <c:pt idx="9">
                  <c:v>0.64</c:v>
                </c:pt>
                <c:pt idx="10">
                  <c:v>0.6</c:v>
                </c:pt>
              </c:numCache>
            </c:numRef>
          </c:xVal>
          <c:yVal>
            <c:numRef>
              <c:f>'Inherent Charactersitics'!$J$3:$J$13</c:f>
              <c:numCache>
                <c:formatCode>0.00</c:formatCode>
                <c:ptCount val="11"/>
                <c:pt idx="0">
                  <c:v>-9.9876192338932483</c:v>
                </c:pt>
                <c:pt idx="1">
                  <c:v>-10.08326730861547</c:v>
                </c:pt>
                <c:pt idx="2">
                  <c:v>-10.261878286012889</c:v>
                </c:pt>
                <c:pt idx="3">
                  <c:v>-10.415288499312423</c:v>
                </c:pt>
                <c:pt idx="4">
                  <c:v>-10.628122680967772</c:v>
                </c:pt>
                <c:pt idx="5">
                  <c:v>-10.757997762389184</c:v>
                </c:pt>
                <c:pt idx="6">
                  <c:v>-10.89885519510578</c:v>
                </c:pt>
                <c:pt idx="7">
                  <c:v>-11.072808502229218</c:v>
                </c:pt>
                <c:pt idx="8">
                  <c:v>-11.235327431726992</c:v>
                </c:pt>
                <c:pt idx="9">
                  <c:v>-11.360490574680998</c:v>
                </c:pt>
                <c:pt idx="10">
                  <c:v>-11.592002375665725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F-4D5C-AD7B-41FAF9035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713976"/>
        <c:axId val="590718136"/>
      </c:scatterChart>
      <c:valAx>
        <c:axId val="59071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baseline="0">
                    <a:effectLst/>
                  </a:rPr>
                  <a:t>x (opening fraction)</a:t>
                </a:r>
                <a:endParaRPr lang="en-IN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718136"/>
        <c:crosses val="autoZero"/>
        <c:crossBetween val="midCat"/>
      </c:valAx>
      <c:valAx>
        <c:axId val="59071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713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lny vs x (5V-3V)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88670166229221"/>
          <c:y val="0.17171296296296298"/>
          <c:w val="0.801516185476815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789151356080491E-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'Inherent Charactersitics'!$C$19:$C$29</c:f>
              <c:numCache>
                <c:formatCode>General</c:formatCode>
                <c:ptCount val="11"/>
                <c:pt idx="0">
                  <c:v>0.6</c:v>
                </c:pt>
                <c:pt idx="1">
                  <c:v>0.64</c:v>
                </c:pt>
                <c:pt idx="2">
                  <c:v>0.67999999999999994</c:v>
                </c:pt>
                <c:pt idx="3">
                  <c:v>0.72</c:v>
                </c:pt>
                <c:pt idx="4">
                  <c:v>0.76</c:v>
                </c:pt>
                <c:pt idx="5">
                  <c:v>0.8</c:v>
                </c:pt>
                <c:pt idx="6">
                  <c:v>0.84000000000000008</c:v>
                </c:pt>
                <c:pt idx="7">
                  <c:v>0.88000000000000012</c:v>
                </c:pt>
                <c:pt idx="8">
                  <c:v>0.91999999999999993</c:v>
                </c:pt>
                <c:pt idx="9">
                  <c:v>0.96</c:v>
                </c:pt>
                <c:pt idx="10">
                  <c:v>1</c:v>
                </c:pt>
              </c:numCache>
            </c:numRef>
          </c:xVal>
          <c:yVal>
            <c:numRef>
              <c:f>'Inherent Charactersitics'!$J$19:$J$29</c:f>
              <c:numCache>
                <c:formatCode>0.00</c:formatCode>
                <c:ptCount val="11"/>
                <c:pt idx="0">
                  <c:v>-11.592002375665725</c:v>
                </c:pt>
                <c:pt idx="1">
                  <c:v>-11.373913595013139</c:v>
                </c:pt>
                <c:pt idx="2">
                  <c:v>-11.212070569562725</c:v>
                </c:pt>
                <c:pt idx="3">
                  <c:v>-11.093011209546738</c:v>
                </c:pt>
                <c:pt idx="4">
                  <c:v>-10.89885519510578</c:v>
                </c:pt>
                <c:pt idx="5">
                  <c:v>-10.810444237761727</c:v>
                </c:pt>
                <c:pt idx="6">
                  <c:v>-10.654098167371032</c:v>
                </c:pt>
                <c:pt idx="7">
                  <c:v>-10.457622863138985</c:v>
                </c:pt>
                <c:pt idx="8">
                  <c:v>-10.29348362542822</c:v>
                </c:pt>
                <c:pt idx="9">
                  <c:v>-10.148549600705886</c:v>
                </c:pt>
                <c:pt idx="10">
                  <c:v>-9.99100333187749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5-4DE1-A26E-C433708C7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004152"/>
        <c:axId val="569007032"/>
      </c:scatterChart>
      <c:valAx>
        <c:axId val="56900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(opening fraction)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07032"/>
        <c:crosses val="autoZero"/>
        <c:crossBetween val="midCat"/>
      </c:valAx>
      <c:valAx>
        <c:axId val="56900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0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Control Valve Characteristic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Installed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'Inherent Charactersitics'!$D$61:$D$71</c:f>
              <c:numCache>
                <c:formatCode>General</c:formatCode>
                <c:ptCount val="11"/>
                <c:pt idx="0">
                  <c:v>0.6</c:v>
                </c:pt>
                <c:pt idx="1">
                  <c:v>0.64</c:v>
                </c:pt>
                <c:pt idx="2">
                  <c:v>0.67999999999999994</c:v>
                </c:pt>
                <c:pt idx="3">
                  <c:v>0.72</c:v>
                </c:pt>
                <c:pt idx="4">
                  <c:v>0.76</c:v>
                </c:pt>
                <c:pt idx="5">
                  <c:v>0.8</c:v>
                </c:pt>
                <c:pt idx="6">
                  <c:v>0.84000000000000008</c:v>
                </c:pt>
                <c:pt idx="7">
                  <c:v>0.88000000000000012</c:v>
                </c:pt>
                <c:pt idx="8">
                  <c:v>0.91999999999999993</c:v>
                </c:pt>
                <c:pt idx="9">
                  <c:v>0.96</c:v>
                </c:pt>
                <c:pt idx="10">
                  <c:v>1</c:v>
                </c:pt>
              </c:numCache>
            </c:numRef>
          </c:xVal>
          <c:yVal>
            <c:numRef>
              <c:f>'Inherent Charactersitics'!$B$61:$B$71</c:f>
              <c:numCache>
                <c:formatCode>0.00</c:formatCode>
                <c:ptCount val="11"/>
                <c:pt idx="0">
                  <c:v>0.40878378378378377</c:v>
                </c:pt>
                <c:pt idx="1">
                  <c:v>0.45945945945945948</c:v>
                </c:pt>
                <c:pt idx="2">
                  <c:v>0.52364864864864868</c:v>
                </c:pt>
                <c:pt idx="3">
                  <c:v>0.59121621621621634</c:v>
                </c:pt>
                <c:pt idx="4">
                  <c:v>0.66891891891891897</c:v>
                </c:pt>
                <c:pt idx="5">
                  <c:v>0.72297297297297303</c:v>
                </c:pt>
                <c:pt idx="6">
                  <c:v>0.79729729729729737</c:v>
                </c:pt>
                <c:pt idx="7">
                  <c:v>0.86824324324324331</c:v>
                </c:pt>
                <c:pt idx="8">
                  <c:v>0.90878378378378388</c:v>
                </c:pt>
                <c:pt idx="9">
                  <c:v>0.95608108108108114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53-4D57-8A79-ABD955C0C6BC}"/>
            </c:ext>
          </c:extLst>
        </c:ser>
        <c:ser>
          <c:idx val="1"/>
          <c:order val="1"/>
          <c:tx>
            <c:v>Inherent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'Inherent Charactersitics'!$D$61:$D$71</c:f>
              <c:numCache>
                <c:formatCode>General</c:formatCode>
                <c:ptCount val="11"/>
                <c:pt idx="0">
                  <c:v>0.6</c:v>
                </c:pt>
                <c:pt idx="1">
                  <c:v>0.64</c:v>
                </c:pt>
                <c:pt idx="2">
                  <c:v>0.67999999999999994</c:v>
                </c:pt>
                <c:pt idx="3">
                  <c:v>0.72</c:v>
                </c:pt>
                <c:pt idx="4">
                  <c:v>0.76</c:v>
                </c:pt>
                <c:pt idx="5">
                  <c:v>0.8</c:v>
                </c:pt>
                <c:pt idx="6">
                  <c:v>0.84000000000000008</c:v>
                </c:pt>
                <c:pt idx="7">
                  <c:v>0.88000000000000012</c:v>
                </c:pt>
                <c:pt idx="8">
                  <c:v>0.91999999999999993</c:v>
                </c:pt>
                <c:pt idx="9">
                  <c:v>0.96</c:v>
                </c:pt>
                <c:pt idx="10">
                  <c:v>1</c:v>
                </c:pt>
              </c:numCache>
            </c:numRef>
          </c:xVal>
          <c:yVal>
            <c:numRef>
              <c:f>'Inherent Charactersitics'!$C$61:$C$71</c:f>
              <c:numCache>
                <c:formatCode>General</c:formatCode>
                <c:ptCount val="11"/>
                <c:pt idx="0">
                  <c:v>0.20169491525423733</c:v>
                </c:pt>
                <c:pt idx="1">
                  <c:v>0.25084745762711863</c:v>
                </c:pt>
                <c:pt idx="2">
                  <c:v>0.2949152542372882</c:v>
                </c:pt>
                <c:pt idx="3">
                  <c:v>0.33220338983050851</c:v>
                </c:pt>
                <c:pt idx="4">
                  <c:v>0.40338983050847466</c:v>
                </c:pt>
                <c:pt idx="5">
                  <c:v>0.44067796610169496</c:v>
                </c:pt>
                <c:pt idx="6">
                  <c:v>0.51525423728813569</c:v>
                </c:pt>
                <c:pt idx="7">
                  <c:v>0.62711864406779672</c:v>
                </c:pt>
                <c:pt idx="8">
                  <c:v>0.73898305084745775</c:v>
                </c:pt>
                <c:pt idx="9">
                  <c:v>0.85423728813559319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53-4D57-8A79-ABD955C0C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45328"/>
        <c:axId val="377265296"/>
      </c:scatterChart>
      <c:valAx>
        <c:axId val="3772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Fractional Opening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65296"/>
        <c:crosses val="autoZero"/>
        <c:crossBetween val="midCat"/>
      </c:valAx>
      <c:valAx>
        <c:axId val="3772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Fractional</a:t>
                </a:r>
                <a:r>
                  <a:rPr lang="en-IN" baseline="0"/>
                  <a:t> Flowrate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lny</a:t>
            </a:r>
            <a:r>
              <a:rPr lang="en-IN" baseline="0"/>
              <a:t> vs x (5v-3v)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99781277340334"/>
          <c:y val="0.17171296296296298"/>
          <c:w val="0.80151618547681536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90026246719159"/>
                  <c:y val="7.36574074074074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'Installed Characteristics'!$B$4:$B$14</c:f>
              <c:numCache>
                <c:formatCode>General</c:formatCode>
                <c:ptCount val="11"/>
                <c:pt idx="0">
                  <c:v>1</c:v>
                </c:pt>
                <c:pt idx="1">
                  <c:v>0.96</c:v>
                </c:pt>
                <c:pt idx="2">
                  <c:v>0.91999999999999993</c:v>
                </c:pt>
                <c:pt idx="3">
                  <c:v>0.88000000000000012</c:v>
                </c:pt>
                <c:pt idx="4">
                  <c:v>0.84000000000000008</c:v>
                </c:pt>
                <c:pt idx="5">
                  <c:v>0.8</c:v>
                </c:pt>
                <c:pt idx="6">
                  <c:v>0.76</c:v>
                </c:pt>
                <c:pt idx="7">
                  <c:v>0.72</c:v>
                </c:pt>
                <c:pt idx="8">
                  <c:v>0.67999999999999994</c:v>
                </c:pt>
                <c:pt idx="9">
                  <c:v>0.64</c:v>
                </c:pt>
                <c:pt idx="10">
                  <c:v>0.6</c:v>
                </c:pt>
              </c:numCache>
            </c:numRef>
          </c:xVal>
          <c:yVal>
            <c:numRef>
              <c:f>'Installed Characteristics'!$I$4:$I$14</c:f>
              <c:numCache>
                <c:formatCode>0.00</c:formatCode>
                <c:ptCount val="11"/>
                <c:pt idx="0">
                  <c:v>-9.9529164063517097</c:v>
                </c:pt>
                <c:pt idx="1">
                  <c:v>-10.154760860705164</c:v>
                </c:pt>
                <c:pt idx="2">
                  <c:v>-10.268203844789669</c:v>
                </c:pt>
                <c:pt idx="3">
                  <c:v>-10.428357494673596</c:v>
                </c:pt>
                <c:pt idx="4">
                  <c:v>-10.560720473471672</c:v>
                </c:pt>
                <c:pt idx="5">
                  <c:v>-10.712721012119113</c:v>
                </c:pt>
                <c:pt idx="6">
                  <c:v>-10.887519577675356</c:v>
                </c:pt>
                <c:pt idx="7">
                  <c:v>-11.042715399029865</c:v>
                </c:pt>
                <c:pt idx="8">
                  <c:v>-11.191723410159534</c:v>
                </c:pt>
                <c:pt idx="9">
                  <c:v>-11.372330470847338</c:v>
                </c:pt>
                <c:pt idx="10">
                  <c:v>-11.531829634685698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E-4297-91F2-447404713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95664"/>
        <c:axId val="530394704"/>
      </c:scatterChart>
      <c:valAx>
        <c:axId val="53039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(opening fraction)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94704"/>
        <c:crosses val="autoZero"/>
        <c:crossBetween val="midCat"/>
      </c:valAx>
      <c:valAx>
        <c:axId val="53039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9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lny vs x (3v-5v)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830533683289588"/>
                  <c:y val="6.90277777777777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'Installed Characteristics'!$B$21:$B$31</c:f>
              <c:numCache>
                <c:formatCode>General</c:formatCode>
                <c:ptCount val="11"/>
                <c:pt idx="0">
                  <c:v>0.6</c:v>
                </c:pt>
                <c:pt idx="1">
                  <c:v>0.64</c:v>
                </c:pt>
                <c:pt idx="2">
                  <c:v>0.67999999999999994</c:v>
                </c:pt>
                <c:pt idx="3">
                  <c:v>0.72</c:v>
                </c:pt>
                <c:pt idx="4">
                  <c:v>0.76</c:v>
                </c:pt>
                <c:pt idx="5">
                  <c:v>0.8</c:v>
                </c:pt>
                <c:pt idx="6">
                  <c:v>0.84000000000000008</c:v>
                </c:pt>
                <c:pt idx="7">
                  <c:v>0.88000000000000012</c:v>
                </c:pt>
                <c:pt idx="8">
                  <c:v>0.91999999999999993</c:v>
                </c:pt>
                <c:pt idx="9">
                  <c:v>0.96</c:v>
                </c:pt>
                <c:pt idx="10">
                  <c:v>1</c:v>
                </c:pt>
              </c:numCache>
            </c:numRef>
          </c:xVal>
          <c:yVal>
            <c:numRef>
              <c:f>'Installed Characteristics'!$I$21:$I$31</c:f>
              <c:numCache>
                <c:formatCode>0.00</c:formatCode>
                <c:ptCount val="11"/>
                <c:pt idx="0">
                  <c:v>-11.531829634685698</c:v>
                </c:pt>
                <c:pt idx="1">
                  <c:v>-11.385717191205583</c:v>
                </c:pt>
                <c:pt idx="2">
                  <c:v>-11.204270712892244</c:v>
                </c:pt>
                <c:pt idx="3">
                  <c:v>-11.041219051418452</c:v>
                </c:pt>
                <c:pt idx="4">
                  <c:v>-10.872252105544566</c:v>
                </c:pt>
                <c:pt idx="5">
                  <c:v>-10.761744479974345</c:v>
                </c:pt>
                <c:pt idx="6">
                  <c:v>-10.581131470731799</c:v>
                </c:pt>
                <c:pt idx="7">
                  <c:v>-10.396661721500271</c:v>
                </c:pt>
                <c:pt idx="8">
                  <c:v>-10.285999862669552</c:v>
                </c:pt>
                <c:pt idx="9">
                  <c:v>-10.127152790393335</c:v>
                </c:pt>
                <c:pt idx="10">
                  <c:v>-9.9876192338932483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2A-4117-AA72-70CD5A39D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69552"/>
        <c:axId val="531569872"/>
      </c:scatterChart>
      <c:valAx>
        <c:axId val="53156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(opening fraction)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69872"/>
        <c:crosses val="autoZero"/>
        <c:crossBetween val="midCat"/>
      </c:valAx>
      <c:valAx>
        <c:axId val="5315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6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lny</a:t>
            </a:r>
            <a:r>
              <a:rPr lang="en-IN" baseline="0"/>
              <a:t> vs lnx for installed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119444444444446"/>
                  <c:y val="9.68055555555555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'Installed Characteristics'!$W$4:$W$14</c:f>
              <c:numCache>
                <c:formatCode>General</c:formatCode>
                <c:ptCount val="11"/>
                <c:pt idx="0">
                  <c:v>0</c:v>
                </c:pt>
                <c:pt idx="1">
                  <c:v>-4.0821994520255166E-2</c:v>
                </c:pt>
                <c:pt idx="2">
                  <c:v>-8.3381608939051138E-2</c:v>
                </c:pt>
                <c:pt idx="3">
                  <c:v>-0.12783337150988477</c:v>
                </c:pt>
                <c:pt idx="4">
                  <c:v>-0.17435338714477766</c:v>
                </c:pt>
                <c:pt idx="5">
                  <c:v>-0.22314355131420971</c:v>
                </c:pt>
                <c:pt idx="6">
                  <c:v>-0.2744368457017603</c:v>
                </c:pt>
                <c:pt idx="7">
                  <c:v>-0.3285040669720361</c:v>
                </c:pt>
                <c:pt idx="8">
                  <c:v>-0.38566248081198479</c:v>
                </c:pt>
                <c:pt idx="9">
                  <c:v>-0.44628710262841947</c:v>
                </c:pt>
                <c:pt idx="10">
                  <c:v>-0.51082562376599072</c:v>
                </c:pt>
              </c:numCache>
            </c:numRef>
          </c:xVal>
          <c:yVal>
            <c:numRef>
              <c:f>('Installed Characteristics'!$V$4,'Installed Characteristics'!$V$4:$V$14)</c:f>
              <c:numCache>
                <c:formatCode>General</c:formatCode>
                <c:ptCount val="12"/>
                <c:pt idx="0">
                  <c:v>-9.9529164063517097</c:v>
                </c:pt>
                <c:pt idx="1">
                  <c:v>-9.9529164063517097</c:v>
                </c:pt>
                <c:pt idx="2">
                  <c:v>-10.154760860705164</c:v>
                </c:pt>
                <c:pt idx="3">
                  <c:v>-10.268203844789669</c:v>
                </c:pt>
                <c:pt idx="4">
                  <c:v>-10.428357494673596</c:v>
                </c:pt>
                <c:pt idx="5">
                  <c:v>-10.560720473471672</c:v>
                </c:pt>
                <c:pt idx="6">
                  <c:v>-10.712721012119113</c:v>
                </c:pt>
                <c:pt idx="7">
                  <c:v>-10.887519577675356</c:v>
                </c:pt>
                <c:pt idx="8">
                  <c:v>-11.042715399029865</c:v>
                </c:pt>
                <c:pt idx="9">
                  <c:v>-11.191723410159534</c:v>
                </c:pt>
                <c:pt idx="10">
                  <c:v>-11.372330470847338</c:v>
                </c:pt>
                <c:pt idx="11">
                  <c:v>-11.531829634685698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3-4E43-BDA3-DF4B6CA9C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48304"/>
        <c:axId val="347042064"/>
      </c:scatterChart>
      <c:valAx>
        <c:axId val="3470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42064"/>
        <c:crosses val="autoZero"/>
        <c:crossBetween val="midCat"/>
      </c:valAx>
      <c:valAx>
        <c:axId val="3470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</a:t>
                </a:r>
                <a:r>
                  <a:rPr lang="en-IN" baseline="0"/>
                  <a:t> y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4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175E54-F947-612A-6BD5-F9BC35D01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220980</xdr:colOff>
      <xdr:row>17</xdr:row>
      <xdr:rowOff>7620</xdr:rowOff>
    </xdr:from>
    <xdr:to>
      <xdr:col>20</xdr:col>
      <xdr:colOff>525780</xdr:colOff>
      <xdr:row>29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DB6F06-2F98-7994-8FA8-F4D370E3E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1415143</xdr:colOff>
      <xdr:row>56</xdr:row>
      <xdr:rowOff>119742</xdr:rowOff>
    </xdr:from>
    <xdr:to>
      <xdr:col>8</xdr:col>
      <xdr:colOff>1001486</xdr:colOff>
      <xdr:row>71</xdr:row>
      <xdr:rowOff>87085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34895-FBC1-8AF1-E449-A4ECACED4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449580</xdr:colOff>
      <xdr:row>2</xdr:row>
      <xdr:rowOff>434340</xdr:rowOff>
    </xdr:from>
    <xdr:to>
      <xdr:col>20</xdr:col>
      <xdr:colOff>144780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C3AE9-4855-8341-BAFA-54804F6B9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396240</xdr:colOff>
      <xdr:row>19</xdr:row>
      <xdr:rowOff>22860</xdr:rowOff>
    </xdr:from>
    <xdr:to>
      <xdr:col>20</xdr:col>
      <xdr:colOff>91440</xdr:colOff>
      <xdr:row>31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4C2D6B-B6E0-6C6F-CA94-565A0F5AC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97970</xdr:colOff>
      <xdr:row>2</xdr:row>
      <xdr:rowOff>402773</xdr:rowOff>
    </xdr:from>
    <xdr:to>
      <xdr:col>32</xdr:col>
      <xdr:colOff>402770</xdr:colOff>
      <xdr:row>16</xdr:row>
      <xdr:rowOff>10887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1F2663-6F42-E510-3032-1EA3E647B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B77C1-8616-4999-98A2-117C16F1A246}" name="Table1" displayName="Table1" ref="B2:M13" totalsRowShown="0" headerRowDxfId="20">
  <autoFilter ref="B2:M13" xr:uid="{ED9B77C1-8616-4999-98A2-117C16F1A246}"/>
  <tableColumns count="12">
    <tableColumn id="1" xr3:uid="{C06F4F55-64DF-4975-9CD5-65ABBF584DBD}" name="Voltage (v)"/>
    <tableColumn id="2" xr3:uid="{54223B64-6D5C-4BA0-B7B9-A04D76AFD5A8}" name="Opening fraction">
      <calculatedColumnFormula>B3/5</calculatedColumnFormula>
    </tableColumn>
    <tableColumn id="3" xr3:uid="{030F8236-2424-456B-A33E-5F51C706F7B4}" name="Flow rate (LPH)"/>
    <tableColumn id="4" xr3:uid="{96B0B318-0FE4-4226-B01A-C6BCAD949E06}" name="Flow rate (m3 /s)">
      <calculatedColumnFormula>D3*0.001/3600</calculatedColumnFormula>
    </tableColumn>
    <tableColumn id="5" xr3:uid="{3B1D3505-9625-4F69-B8C2-79F10B1ECA34}" name="Flow fraction Q_frac" dataDxfId="17">
      <calculatedColumnFormula>E3/$E$3</calculatedColumnFormula>
    </tableColumn>
    <tableColumn id="6" xr3:uid="{0F22FEA4-51EE-4B1D-8D9C-B42122952CA9}" name="ΔP (mmHg )"/>
    <tableColumn id="7" xr3:uid="{17287E46-0E85-4195-930F-68CFAF694F70}" name="ΔP (N/m^2 )" dataDxfId="19">
      <calculatedColumnFormula>G3*101325/760</calculatedColumnFormula>
    </tableColumn>
    <tableColumn id="8" xr3:uid="{7E528648-7361-422B-802F-D5F9D93C3EC8}" name="y = Q*sqrt(rho/ΔP)">
      <calculatedColumnFormula>E3*SQRT(1000/H3)</calculatedColumnFormula>
    </tableColumn>
    <tableColumn id="9" xr3:uid="{D8C23059-4095-4013-9786-A9D3D140B803}" name="ln(y)" dataDxfId="15">
      <calculatedColumnFormula>LN(I3)</calculatedColumnFormula>
    </tableColumn>
    <tableColumn id="10" xr3:uid="{1AAA4973-4F3C-4F95-A117-04BA28E83229}" name="Predicted y">
      <calculatedColumnFormula>EXP(4.0084*C3-13.961)</calculatedColumnFormula>
    </tableColumn>
    <tableColumn id="11" xr3:uid="{25C72B01-DEE3-4E07-92B1-BE7496EFBC2C}" name="Predicted Fractional Flow Rate" dataDxfId="13">
      <calculatedColumnFormula>K3/$K$3</calculatedColumnFormula>
    </tableColumn>
    <tableColumn id="12" xr3:uid="{2BB17269-71BB-4497-88A1-DA934C868ED1}" name="%Error" dataDxfId="12">
      <calculatedColumnFormula>ABS(K3-I3)/I3*100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0F2E38-B938-4DF6-814F-8B61BADC1988}" name="Table2" displayName="Table2" ref="B18:M29" totalsRowShown="0" headerRowDxfId="23">
  <autoFilter ref="B18:M29" xr:uid="{3D0F2E38-B938-4DF6-814F-8B61BADC1988}"/>
  <tableColumns count="12">
    <tableColumn id="1" xr3:uid="{FFC39C73-EADE-41ED-A02F-886546ED002B}" name="Voltage (v)"/>
    <tableColumn id="2" xr3:uid="{8FA54F35-B6FD-42EA-95CF-080936B1C570}" name="Opening fraction">
      <calculatedColumnFormula>B19/5</calculatedColumnFormula>
    </tableColumn>
    <tableColumn id="3" xr3:uid="{DB3E04A5-FD08-4A11-A990-1C7217F188B2}" name="Flow rate (LPH)"/>
    <tableColumn id="4" xr3:uid="{8FC233B9-2F0B-4C07-941C-021EC64498E4}" name="Flow rate (m3 /s)">
      <calculatedColumnFormula>D19*0.001/3600</calculatedColumnFormula>
    </tableColumn>
    <tableColumn id="5" xr3:uid="{D8BCACB3-9322-40B0-833A-34A8465730E0}" name="Flow fraction Q_frac" dataDxfId="16">
      <calculatedColumnFormula>E19/$E$29</calculatedColumnFormula>
    </tableColumn>
    <tableColumn id="6" xr3:uid="{50BB7F4B-B274-4C7D-BCEB-C9A487ADA746}" name="ΔP (mmHg )"/>
    <tableColumn id="7" xr3:uid="{FBB238FB-C6AB-4CAF-949D-FF730D56FA93}" name="ΔP (N/m^2 )" dataDxfId="18">
      <calculatedColumnFormula>G19*101325/760</calculatedColumnFormula>
    </tableColumn>
    <tableColumn id="8" xr3:uid="{A93E360D-534E-47A1-B88C-52725BF2D557}" name="y = Q*sqrt(rho/ΔP)">
      <calculatedColumnFormula>E19*SQRT(1000/H19)</calculatedColumnFormula>
    </tableColumn>
    <tableColumn id="9" xr3:uid="{5291528F-AAE0-400D-A5A3-52FBFFCC7F7E}" name="ln(y)" dataDxfId="14">
      <calculatedColumnFormula xml:space="preserve"> LN(I19)</calculatedColumnFormula>
    </tableColumn>
    <tableColumn id="10" xr3:uid="{747DA9D5-DCB7-4DFB-B8C8-77DC8EF2EBDE}" name="Predicted y">
      <calculatedColumnFormula>EXP(3.904*C19-13.898)</calculatedColumnFormula>
    </tableColumn>
    <tableColumn id="11" xr3:uid="{3177B74B-AA28-45FB-8DEF-F8AD678D8C86}" name="Predicted Fractional Flow Rate" dataDxfId="11">
      <calculatedColumnFormula>K19/$K$29</calculatedColumnFormula>
    </tableColumn>
    <tableColumn id="12" xr3:uid="{7EF9B2FE-52D9-4297-9B16-46EE6F1D6865}" name="%Error" dataDxfId="10">
      <calculatedColumnFormula>ABS(K19-I19)/(I19)*100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505672-4996-4D4D-BBE1-DF74104802D5}" name="Table3" displayName="Table3" ref="A3:L14" totalsRowShown="0" headerRowDxfId="22">
  <autoFilter ref="A3:L14" xr:uid="{44505672-4996-4D4D-BBE1-DF74104802D5}"/>
  <tableColumns count="12">
    <tableColumn id="1" xr3:uid="{2A105F7D-D763-4CFF-9E50-E893DE5C2BD8}" name="Voltage (v)"/>
    <tableColumn id="2" xr3:uid="{F0CFA973-96C3-4503-8102-D19FD8F114B7}" name="Opening fraction">
      <calculatedColumnFormula>A4/5</calculatedColumnFormula>
    </tableColumn>
    <tableColumn id="3" xr3:uid="{9CAEE6C9-0B34-4298-AD01-76A093C71EB3}" name="Flow rate (LPH)"/>
    <tableColumn id="4" xr3:uid="{73F9AC5D-4771-4138-A99E-C6688B043FDB}" name="Flow rate (m3 /s)">
      <calculatedColumnFormula>C4*0.001/3600</calculatedColumnFormula>
    </tableColumn>
    <tableColumn id="5" xr3:uid="{8D208757-30BB-4DFB-8854-927A3CBDA017}" name="Flow fraction Q_frac" dataDxfId="9">
      <calculatedColumnFormula>D4/$D$4</calculatedColumnFormula>
    </tableColumn>
    <tableColumn id="6" xr3:uid="{B1315371-A726-4781-9591-DC36C82FD3E9}" name="ΔP (mmHg )"/>
    <tableColumn id="7" xr3:uid="{C750A0F4-6A28-4158-B02E-C4E48861DAED}" name="ΔP (N/m^2 )" dataDxfId="7">
      <calculatedColumnFormula>F4*101325/760</calculatedColumnFormula>
    </tableColumn>
    <tableColumn id="8" xr3:uid="{5BD38EB8-27DB-4A42-8139-D83723B1A06E}" name="y = Q*sqrt(rho/ΔP)">
      <calculatedColumnFormula>D4*SQRT(1000/G4)</calculatedColumnFormula>
    </tableColumn>
    <tableColumn id="9" xr3:uid="{C24F39A8-110E-44DB-9EA7-1E96652557D0}" name="ln(y)" dataDxfId="5">
      <calculatedColumnFormula>LN(H4)</calculatedColumnFormula>
    </tableColumn>
    <tableColumn id="10" xr3:uid="{26CF0EAC-BF61-4FAB-9EDD-B0EE00E28155}" name="Predicted y">
      <calculatedColumnFormula>EXP(3.8843*B4-13.884)</calculatedColumnFormula>
    </tableColumn>
    <tableColumn id="11" xr3:uid="{36FA27C6-4E85-4CED-A1E6-E119F408F9DD}" name="Predicted Fractional Flow Rate" dataDxfId="3">
      <calculatedColumnFormula>J4/$J$4</calculatedColumnFormula>
    </tableColumn>
    <tableColumn id="12" xr3:uid="{B9FF24C3-4B17-44CE-AD33-37081957F0F7}" name="%Error" dataDxfId="2">
      <calculatedColumnFormula>ABS(J4-H4)/H4*100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8F0EC-B9D8-4390-B942-71134650F8DC}" name="Table4" displayName="Table4" ref="A20:L31" totalsRowShown="0" headerRowDxfId="21">
  <autoFilter ref="A20:L31" xr:uid="{DB48F0EC-B9D8-4390-B942-71134650F8DC}"/>
  <tableColumns count="12">
    <tableColumn id="1" xr3:uid="{4FD0DF58-3A14-4A07-AE84-487A08EFE6A5}" name="Voltage (v)"/>
    <tableColumn id="2" xr3:uid="{59B2126A-907A-4025-A71B-4E988C8ADFE5}" name="Opening fraction">
      <calculatedColumnFormula>A21/5</calculatedColumnFormula>
    </tableColumn>
    <tableColumn id="3" xr3:uid="{40A11618-9C18-4D1D-A561-BDE1EAEF6728}" name="Flow rate (LPH)"/>
    <tableColumn id="4" xr3:uid="{6CFB87F2-AC7C-4AC2-BEC1-351195F2EA16}" name="Flow rate (m3 /s)">
      <calculatedColumnFormula>C21*0.001/3600</calculatedColumnFormula>
    </tableColumn>
    <tableColumn id="5" xr3:uid="{0EF5B133-D7B0-40E5-AF38-D6015EEF33C1}" name="Flow fraction Q_frac" dataDxfId="8">
      <calculatedColumnFormula>D21/$D$31</calculatedColumnFormula>
    </tableColumn>
    <tableColumn id="6" xr3:uid="{6696D494-3E77-4F85-AF91-9736CA4DC6E5}" name="ΔP (mmHg )"/>
    <tableColumn id="7" xr3:uid="{04BE1D6C-21DC-4548-9201-09D77C731AD3}" name="ΔP (N/m^2 )" dataDxfId="6">
      <calculatedColumnFormula>F21*101325/760</calculatedColumnFormula>
    </tableColumn>
    <tableColumn id="8" xr3:uid="{D8B33040-483E-44C5-9DB3-6BCF01F41D89}" name="y = Q*sqrt(rho/ΔP)">
      <calculatedColumnFormula>D21*SQRT(1000/G21)</calculatedColumnFormula>
    </tableColumn>
    <tableColumn id="9" xr3:uid="{FB52EB51-CE18-4A40-B5E5-339A5FA85637}" name="ln(y)" dataDxfId="4">
      <calculatedColumnFormula>LN(H21)</calculatedColumnFormula>
    </tableColumn>
    <tableColumn id="10" xr3:uid="{7D888AF1-45BB-475F-825E-CD14BB88D7E2}" name="Predicted y">
      <calculatedColumnFormula>EXP(3.8842*B21-13.851)</calculatedColumnFormula>
    </tableColumn>
    <tableColumn id="11" xr3:uid="{DE774405-5BB4-444D-A5D7-182A2E2AC854}" name="Predicted Fractional Flow Rate" dataDxfId="1">
      <calculatedColumnFormula>J21/$J$31</calculatedColumnFormula>
    </tableColumn>
    <tableColumn id="12" xr3:uid="{670D78D3-8DF8-4D83-AE2B-ABFF721C2153}" name="%Error" dataDxfId="0">
      <calculatedColumnFormula>ABS(J21-H21)/H21*100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DABB-7B8E-4A43-B069-C15DF839D6E7}">
  <dimension ref="A1:M71"/>
  <sheetViews>
    <sheetView tabSelected="1" topLeftCell="A13" zoomScale="70" zoomScaleNormal="70" workbookViewId="0">
      <selection activeCell="L66" sqref="L66"/>
    </sheetView>
  </sheetViews>
  <sheetFormatPr defaultRowHeight="14.4" x14ac:dyDescent="0.3"/>
  <cols>
    <col min="2" max="2" width="12.21875" customWidth="1"/>
    <col min="3" max="3" width="17.77734375" customWidth="1"/>
    <col min="4" max="4" width="24.33203125" customWidth="1"/>
    <col min="5" max="5" width="25.77734375" customWidth="1"/>
    <col min="6" max="6" width="21" customWidth="1"/>
    <col min="7" max="7" width="12.88671875" customWidth="1"/>
    <col min="8" max="8" width="13.21875" customWidth="1"/>
    <col min="9" max="9" width="19" customWidth="1"/>
    <col min="11" max="11" width="12.6640625" customWidth="1"/>
    <col min="12" max="12" width="29.6640625" customWidth="1"/>
    <col min="13" max="13" width="11.6640625" customWidth="1"/>
  </cols>
  <sheetData>
    <row r="1" spans="2:13" x14ac:dyDescent="0.3">
      <c r="B1" t="s">
        <v>8</v>
      </c>
    </row>
    <row r="2" spans="2:13" x14ac:dyDescent="0.3">
      <c r="B2" s="1" t="s">
        <v>0</v>
      </c>
      <c r="C2" s="3" t="s">
        <v>1</v>
      </c>
      <c r="D2" s="3" t="s">
        <v>19</v>
      </c>
      <c r="E2" s="3" t="s">
        <v>20</v>
      </c>
      <c r="F2" s="3" t="s">
        <v>2</v>
      </c>
      <c r="G2" s="3" t="s">
        <v>3</v>
      </c>
      <c r="H2" s="3" t="s">
        <v>4</v>
      </c>
      <c r="I2" s="2" t="s">
        <v>5</v>
      </c>
      <c r="J2" s="3" t="s">
        <v>6</v>
      </c>
      <c r="K2" s="3" t="s">
        <v>7</v>
      </c>
      <c r="L2" s="3" t="s">
        <v>10</v>
      </c>
      <c r="M2" s="3" t="s">
        <v>21</v>
      </c>
    </row>
    <row r="3" spans="2:13" x14ac:dyDescent="0.3">
      <c r="B3">
        <v>5</v>
      </c>
      <c r="C3">
        <f>B3/5</f>
        <v>1</v>
      </c>
      <c r="D3">
        <v>296</v>
      </c>
      <c r="E3">
        <f>D3*0.001/3600</f>
        <v>8.2222222222222218E-5</v>
      </c>
      <c r="F3" s="6">
        <f>E3/$E$3</f>
        <v>1</v>
      </c>
      <c r="G3">
        <v>24</v>
      </c>
      <c r="H3" s="7">
        <f>G3*101325/760</f>
        <v>3199.7368421052633</v>
      </c>
      <c r="I3">
        <f>E3*SQRT(1000/H3)</f>
        <v>4.5965509605532636E-5</v>
      </c>
      <c r="J3" s="7">
        <f>LN(I3)</f>
        <v>-9.9876192338932483</v>
      </c>
      <c r="K3">
        <f>EXP(4.0084*C3-13.961)</f>
        <v>4.7603703268249623E-5</v>
      </c>
      <c r="L3" s="6">
        <f>K3/$K$3</f>
        <v>1</v>
      </c>
      <c r="M3" s="6">
        <f>ABS(K3-I3)/I3*100</f>
        <v>3.5639627990109481</v>
      </c>
    </row>
    <row r="4" spans="2:13" x14ac:dyDescent="0.3">
      <c r="B4">
        <v>4.8</v>
      </c>
      <c r="C4">
        <f t="shared" ref="C4:C13" si="0">B4/5</f>
        <v>0.96</v>
      </c>
      <c r="D4">
        <v>269</v>
      </c>
      <c r="E4">
        <f t="shared" ref="E4:E13" si="1">D4*0.001/3600</f>
        <v>7.4722222222222225E-5</v>
      </c>
      <c r="F4" s="6">
        <f t="shared" ref="F4:F13" si="2">E4/$E$3</f>
        <v>0.90878378378378388</v>
      </c>
      <c r="G4">
        <v>24</v>
      </c>
      <c r="H4" s="7">
        <f t="shared" ref="H4:H13" si="3">G4*101325/760</f>
        <v>3199.7368421052633</v>
      </c>
      <c r="I4">
        <f t="shared" ref="I4:I13" si="4">E4*SQRT(1000/H4)</f>
        <v>4.177270974286581E-5</v>
      </c>
      <c r="J4" s="7">
        <f t="shared" ref="J4:J13" si="5">LN(I4)</f>
        <v>-10.08326730861547</v>
      </c>
      <c r="K4">
        <f t="shared" ref="K4:K13" si="6">EXP(4.0084*C4-13.961)</f>
        <v>4.0551572454173256E-5</v>
      </c>
      <c r="L4" s="6">
        <f t="shared" ref="L4:L13" si="7">K4/$K$3</f>
        <v>0.85185751674954358</v>
      </c>
      <c r="M4" s="6">
        <f t="shared" ref="M4:M13" si="8">ABS(K4-I4)/I4*100</f>
        <v>2.9232896218831175</v>
      </c>
    </row>
    <row r="5" spans="2:13" x14ac:dyDescent="0.3">
      <c r="B5">
        <v>4.5999999999999996</v>
      </c>
      <c r="C5">
        <f t="shared" si="0"/>
        <v>0.91999999999999993</v>
      </c>
      <c r="D5">
        <v>225</v>
      </c>
      <c r="E5">
        <f t="shared" si="1"/>
        <v>6.2500000000000001E-5</v>
      </c>
      <c r="F5" s="6">
        <f t="shared" si="2"/>
        <v>0.7601351351351352</v>
      </c>
      <c r="G5">
        <v>24</v>
      </c>
      <c r="H5" s="7">
        <f t="shared" si="3"/>
        <v>3199.7368421052633</v>
      </c>
      <c r="I5">
        <f t="shared" si="4"/>
        <v>3.4939998855556906E-5</v>
      </c>
      <c r="J5" s="7">
        <f t="shared" si="5"/>
        <v>-10.261878286012889</v>
      </c>
      <c r="K5">
        <f t="shared" si="6"/>
        <v>3.4544161811101281E-5</v>
      </c>
      <c r="L5" s="6">
        <f t="shared" si="7"/>
        <v>0.72566122884270012</v>
      </c>
      <c r="M5" s="6">
        <f t="shared" si="8"/>
        <v>1.1329051443076115</v>
      </c>
    </row>
    <row r="6" spans="2:13" x14ac:dyDescent="0.3">
      <c r="B6">
        <v>4.4000000000000004</v>
      </c>
      <c r="C6">
        <f t="shared" si="0"/>
        <v>0.88000000000000012</v>
      </c>
      <c r="D6">
        <v>193</v>
      </c>
      <c r="E6">
        <f t="shared" si="1"/>
        <v>5.3611111111111115E-5</v>
      </c>
      <c r="F6" s="6">
        <f t="shared" si="2"/>
        <v>0.65202702702702708</v>
      </c>
      <c r="G6">
        <v>24</v>
      </c>
      <c r="H6" s="7">
        <f t="shared" si="3"/>
        <v>3199.7368421052633</v>
      </c>
      <c r="I6">
        <f t="shared" si="4"/>
        <v>2.9970754573877702E-5</v>
      </c>
      <c r="J6" s="7">
        <f t="shared" si="5"/>
        <v>-10.415288499312423</v>
      </c>
      <c r="K6">
        <f t="shared" si="6"/>
        <v>2.9426703898599204E-5</v>
      </c>
      <c r="L6" s="6">
        <f t="shared" si="7"/>
        <v>0.61815997240336584</v>
      </c>
      <c r="M6" s="6">
        <f t="shared" si="8"/>
        <v>1.8152718642349055</v>
      </c>
    </row>
    <row r="7" spans="2:13" x14ac:dyDescent="0.3">
      <c r="B7">
        <v>4.2</v>
      </c>
      <c r="C7">
        <f t="shared" si="0"/>
        <v>0.84000000000000008</v>
      </c>
      <c r="D7">
        <v>156</v>
      </c>
      <c r="E7">
        <f t="shared" si="1"/>
        <v>4.3333333333333334E-5</v>
      </c>
      <c r="F7" s="6">
        <f t="shared" si="2"/>
        <v>0.52702702702702708</v>
      </c>
      <c r="G7">
        <v>24</v>
      </c>
      <c r="H7" s="7">
        <f>G7*101325/760</f>
        <v>3199.7368421052633</v>
      </c>
      <c r="I7">
        <f t="shared" si="4"/>
        <v>2.422506587318612E-5</v>
      </c>
      <c r="J7" s="7">
        <f t="shared" si="5"/>
        <v>-10.628122680967772</v>
      </c>
      <c r="K7">
        <f t="shared" si="6"/>
        <v>2.5067358909184832E-5</v>
      </c>
      <c r="L7" s="6">
        <f t="shared" si="7"/>
        <v>0.52658421904549768</v>
      </c>
      <c r="M7" s="6">
        <f t="shared" si="8"/>
        <v>3.4769483823406917</v>
      </c>
    </row>
    <row r="8" spans="2:13" x14ac:dyDescent="0.3">
      <c r="B8">
        <v>4</v>
      </c>
      <c r="C8">
        <f t="shared" si="0"/>
        <v>0.8</v>
      </c>
      <c r="D8">
        <v>137</v>
      </c>
      <c r="E8">
        <f t="shared" si="1"/>
        <v>3.805555555555556E-5</v>
      </c>
      <c r="F8" s="6">
        <f t="shared" si="2"/>
        <v>0.46283783783783794</v>
      </c>
      <c r="G8">
        <v>24</v>
      </c>
      <c r="H8" s="7">
        <f t="shared" si="3"/>
        <v>3199.7368421052633</v>
      </c>
      <c r="I8">
        <f t="shared" si="4"/>
        <v>2.1274577080939096E-5</v>
      </c>
      <c r="J8" s="7">
        <f t="shared" si="5"/>
        <v>-10.757997762389184</v>
      </c>
      <c r="K8">
        <f t="shared" si="6"/>
        <v>2.1353818111847775E-5</v>
      </c>
      <c r="L8" s="6">
        <f t="shared" si="7"/>
        <v>0.4485747251955961</v>
      </c>
      <c r="M8" s="6">
        <f t="shared" si="8"/>
        <v>0.37246818400763865</v>
      </c>
    </row>
    <row r="9" spans="2:13" x14ac:dyDescent="0.3">
      <c r="B9">
        <v>3.8</v>
      </c>
      <c r="C9">
        <f t="shared" si="0"/>
        <v>0.76</v>
      </c>
      <c r="D9">
        <v>119</v>
      </c>
      <c r="E9">
        <f t="shared" si="1"/>
        <v>3.305555555555556E-5</v>
      </c>
      <c r="F9" s="6">
        <f t="shared" si="2"/>
        <v>0.40202702702702708</v>
      </c>
      <c r="G9">
        <v>24</v>
      </c>
      <c r="H9" s="7">
        <f t="shared" si="3"/>
        <v>3199.7368421052633</v>
      </c>
      <c r="I9">
        <f t="shared" si="4"/>
        <v>1.8479377172494541E-5</v>
      </c>
      <c r="J9" s="7">
        <f t="shared" si="5"/>
        <v>-10.89885519510578</v>
      </c>
      <c r="K9">
        <f t="shared" si="6"/>
        <v>1.8190410469880074E-5</v>
      </c>
      <c r="L9" s="6">
        <f t="shared" si="7"/>
        <v>0.38212175148172944</v>
      </c>
      <c r="M9" s="6">
        <f t="shared" si="8"/>
        <v>1.5637253350972078</v>
      </c>
    </row>
    <row r="10" spans="2:13" x14ac:dyDescent="0.3">
      <c r="B10">
        <v>3.6</v>
      </c>
      <c r="C10">
        <f t="shared" si="0"/>
        <v>0.72</v>
      </c>
      <c r="D10">
        <v>100</v>
      </c>
      <c r="E10">
        <f t="shared" si="1"/>
        <v>2.7777777777777779E-5</v>
      </c>
      <c r="F10" s="6">
        <f t="shared" si="2"/>
        <v>0.33783783783783788</v>
      </c>
      <c r="G10">
        <v>24</v>
      </c>
      <c r="H10" s="7">
        <f t="shared" si="3"/>
        <v>3199.7368421052633</v>
      </c>
      <c r="I10">
        <f t="shared" si="4"/>
        <v>1.5528888380247513E-5</v>
      </c>
      <c r="J10" s="7">
        <f t="shared" si="5"/>
        <v>-11.072808502229218</v>
      </c>
      <c r="K10">
        <f t="shared" si="6"/>
        <v>1.5495637891526964E-5</v>
      </c>
      <c r="L10" s="6">
        <f t="shared" si="7"/>
        <v>0.3255132863132128</v>
      </c>
      <c r="M10" s="6">
        <f t="shared" si="8"/>
        <v>0.21412021199691253</v>
      </c>
    </row>
    <row r="11" spans="2:13" x14ac:dyDescent="0.3">
      <c r="B11">
        <v>3.4</v>
      </c>
      <c r="C11">
        <f t="shared" si="0"/>
        <v>0.67999999999999994</v>
      </c>
      <c r="D11">
        <v>85</v>
      </c>
      <c r="E11">
        <f t="shared" si="1"/>
        <v>2.3611111111111114E-5</v>
      </c>
      <c r="F11" s="6">
        <f t="shared" si="2"/>
        <v>0.28716216216216223</v>
      </c>
      <c r="G11">
        <v>24</v>
      </c>
      <c r="H11" s="7">
        <f t="shared" si="3"/>
        <v>3199.7368421052633</v>
      </c>
      <c r="I11">
        <f>E11*SQRT(1000/H11)</f>
        <v>1.3199555123210387E-5</v>
      </c>
      <c r="J11" s="7">
        <f t="shared" si="5"/>
        <v>-11.235327431726992</v>
      </c>
      <c r="K11">
        <f t="shared" si="6"/>
        <v>1.3200075614726292E-5</v>
      </c>
      <c r="L11" s="6">
        <f t="shared" si="7"/>
        <v>0.27729093974775665</v>
      </c>
      <c r="M11" s="6">
        <f t="shared" si="8"/>
        <v>3.943250443265333E-3</v>
      </c>
    </row>
    <row r="12" spans="2:13" x14ac:dyDescent="0.3">
      <c r="B12">
        <v>3.2</v>
      </c>
      <c r="C12">
        <f t="shared" si="0"/>
        <v>0.64</v>
      </c>
      <c r="D12">
        <v>75</v>
      </c>
      <c r="E12">
        <f t="shared" si="1"/>
        <v>2.0833333333333333E-5</v>
      </c>
      <c r="F12" s="6">
        <f t="shared" si="2"/>
        <v>0.2533783783783784</v>
      </c>
      <c r="G12">
        <v>24</v>
      </c>
      <c r="H12" s="7">
        <f t="shared" si="3"/>
        <v>3199.7368421052633</v>
      </c>
      <c r="I12">
        <f t="shared" si="4"/>
        <v>1.1646666285185634E-5</v>
      </c>
      <c r="J12" s="7">
        <f t="shared" si="5"/>
        <v>-11.360490574680998</v>
      </c>
      <c r="K12">
        <f t="shared" si="6"/>
        <v>1.1244583634066964E-5</v>
      </c>
      <c r="L12" s="6">
        <f t="shared" si="7"/>
        <v>0.23621237135067172</v>
      </c>
      <c r="M12" s="6">
        <f t="shared" si="8"/>
        <v>3.4523411358502849</v>
      </c>
    </row>
    <row r="13" spans="2:13" x14ac:dyDescent="0.3">
      <c r="B13">
        <v>3</v>
      </c>
      <c r="C13">
        <f t="shared" si="0"/>
        <v>0.6</v>
      </c>
      <c r="D13">
        <v>59.5</v>
      </c>
      <c r="E13">
        <f t="shared" si="1"/>
        <v>1.652777777777778E-5</v>
      </c>
      <c r="F13" s="6">
        <f t="shared" si="2"/>
        <v>0.20101351351351354</v>
      </c>
      <c r="G13">
        <v>24</v>
      </c>
      <c r="H13" s="7">
        <f t="shared" si="3"/>
        <v>3199.7368421052633</v>
      </c>
      <c r="I13">
        <f t="shared" si="4"/>
        <v>9.2396885862472706E-6</v>
      </c>
      <c r="J13" s="7">
        <f t="shared" si="5"/>
        <v>-11.592002375665725</v>
      </c>
      <c r="K13">
        <f t="shared" si="6"/>
        <v>9.5787830913988418E-6</v>
      </c>
      <c r="L13" s="6">
        <f t="shared" si="7"/>
        <v>0.2012192840843042</v>
      </c>
      <c r="M13" s="6">
        <f t="shared" si="8"/>
        <v>3.6699776403318749</v>
      </c>
    </row>
    <row r="16" spans="2:13" x14ac:dyDescent="0.3">
      <c r="B16" t="s">
        <v>9</v>
      </c>
    </row>
    <row r="18" spans="2:13" x14ac:dyDescent="0.3">
      <c r="B18" s="1" t="s">
        <v>0</v>
      </c>
      <c r="C18" s="3" t="s">
        <v>1</v>
      </c>
      <c r="D18" s="3" t="s">
        <v>19</v>
      </c>
      <c r="E18" s="3" t="s">
        <v>20</v>
      </c>
      <c r="F18" s="3" t="s">
        <v>2</v>
      </c>
      <c r="G18" s="3" t="s">
        <v>3</v>
      </c>
      <c r="H18" s="3" t="s">
        <v>4</v>
      </c>
      <c r="I18" s="2" t="s">
        <v>5</v>
      </c>
      <c r="J18" s="3" t="s">
        <v>6</v>
      </c>
      <c r="K18" s="3" t="s">
        <v>7</v>
      </c>
      <c r="L18" s="3" t="s">
        <v>10</v>
      </c>
      <c r="M18" s="3" t="s">
        <v>21</v>
      </c>
    </row>
    <row r="19" spans="2:13" x14ac:dyDescent="0.3">
      <c r="B19">
        <v>3</v>
      </c>
      <c r="C19">
        <f>B19/5</f>
        <v>0.6</v>
      </c>
      <c r="D19">
        <v>59.5</v>
      </c>
      <c r="E19">
        <f>D19*0.001/3600</f>
        <v>1.652777777777778E-5</v>
      </c>
      <c r="F19" s="6">
        <f>E19/$E$29</f>
        <v>0.20169491525423733</v>
      </c>
      <c r="G19">
        <v>24</v>
      </c>
      <c r="H19" s="7">
        <f>G19*101325/760</f>
        <v>3199.7368421052633</v>
      </c>
      <c r="I19">
        <f>E19*SQRT(1000/H19)</f>
        <v>9.2396885862472706E-6</v>
      </c>
      <c r="J19" s="7">
        <f xml:space="preserve"> LN(I19)</f>
        <v>-11.592002375665725</v>
      </c>
      <c r="K19">
        <f>EXP(3.904*C19-13.898)</f>
        <v>9.5822320740913868E-6</v>
      </c>
      <c r="L19" s="6">
        <f>K19/$K$29</f>
        <v>0.20980012231761905</v>
      </c>
      <c r="M19" s="6">
        <f>ABS(K19-I19)/(I19)*100</f>
        <v>3.7073055509032184</v>
      </c>
    </row>
    <row r="20" spans="2:13" x14ac:dyDescent="0.3">
      <c r="B20">
        <v>3.2</v>
      </c>
      <c r="C20">
        <f t="shared" ref="C20:C29" si="9">B20/5</f>
        <v>0.64</v>
      </c>
      <c r="D20">
        <v>74</v>
      </c>
      <c r="E20">
        <f t="shared" ref="E20:E29" si="10">D20*0.001/3600</f>
        <v>2.0555555555555555E-5</v>
      </c>
      <c r="F20" s="6">
        <f t="shared" ref="F20:F29" si="11">E20/$E$29</f>
        <v>0.25084745762711863</v>
      </c>
      <c r="G20">
        <v>24</v>
      </c>
      <c r="H20" s="7">
        <f t="shared" ref="H20:H29" si="12">G20*101325/760</f>
        <v>3199.7368421052633</v>
      </c>
      <c r="I20">
        <f t="shared" ref="I20:I29" si="13">E20*SQRT(1000/H20)</f>
        <v>1.1491377401383159E-5</v>
      </c>
      <c r="J20" s="7">
        <f t="shared" ref="J20:J29" si="14" xml:space="preserve"> LN(I20)</f>
        <v>-11.373913595013139</v>
      </c>
      <c r="K20">
        <f t="shared" ref="K20:K29" si="15">EXP(3.904*C20-13.898)</f>
        <v>1.1201756069882545E-5</v>
      </c>
      <c r="L20" s="6">
        <f t="shared" ref="L20:L29" si="16">K20/$K$29</f>
        <v>0.24525911869613484</v>
      </c>
      <c r="M20" s="6">
        <f t="shared" ref="M20:M29" si="17">ABS(K20-I20)/(I20)*100</f>
        <v>2.5203360866535749</v>
      </c>
    </row>
    <row r="21" spans="2:13" x14ac:dyDescent="0.3">
      <c r="B21">
        <v>3.4</v>
      </c>
      <c r="C21">
        <f t="shared" si="9"/>
        <v>0.67999999999999994</v>
      </c>
      <c r="D21">
        <v>87</v>
      </c>
      <c r="E21">
        <f t="shared" si="10"/>
        <v>2.416666666666667E-5</v>
      </c>
      <c r="F21" s="6">
        <f t="shared" si="11"/>
        <v>0.2949152542372882</v>
      </c>
      <c r="G21">
        <v>24</v>
      </c>
      <c r="H21" s="7">
        <f t="shared" si="12"/>
        <v>3199.7368421052633</v>
      </c>
      <c r="I21">
        <f t="shared" si="13"/>
        <v>1.3510132890815337E-5</v>
      </c>
      <c r="J21" s="7">
        <f t="shared" si="14"/>
        <v>-11.212070569562725</v>
      </c>
      <c r="K21">
        <f t="shared" si="15"/>
        <v>1.3095001047660259E-5</v>
      </c>
      <c r="L21" s="6">
        <f t="shared" si="16"/>
        <v>0.2867111545937987</v>
      </c>
      <c r="M21" s="6">
        <f t="shared" si="17"/>
        <v>3.0727443357518669</v>
      </c>
    </row>
    <row r="22" spans="2:13" x14ac:dyDescent="0.3">
      <c r="B22">
        <v>3.6</v>
      </c>
      <c r="C22">
        <f t="shared" si="9"/>
        <v>0.72</v>
      </c>
      <c r="D22">
        <v>98</v>
      </c>
      <c r="E22">
        <f t="shared" si="10"/>
        <v>2.7222222222222223E-5</v>
      </c>
      <c r="F22" s="6">
        <f t="shared" si="11"/>
        <v>0.33220338983050851</v>
      </c>
      <c r="G22">
        <v>24</v>
      </c>
      <c r="H22" s="7">
        <f t="shared" si="12"/>
        <v>3199.7368421052633</v>
      </c>
      <c r="I22">
        <f t="shared" si="13"/>
        <v>1.5218310612642563E-5</v>
      </c>
      <c r="J22" s="7">
        <f t="shared" si="14"/>
        <v>-11.093011209546738</v>
      </c>
      <c r="K22">
        <f t="shared" si="15"/>
        <v>1.5308229474775702E-5</v>
      </c>
      <c r="L22" s="6">
        <f t="shared" si="16"/>
        <v>0.33516913297872331</v>
      </c>
      <c r="M22" s="6">
        <f t="shared" si="17"/>
        <v>0.59085968490115559</v>
      </c>
    </row>
    <row r="23" spans="2:13" x14ac:dyDescent="0.3">
      <c r="B23">
        <v>3.8</v>
      </c>
      <c r="C23">
        <f t="shared" si="9"/>
        <v>0.76</v>
      </c>
      <c r="D23">
        <v>119</v>
      </c>
      <c r="E23">
        <f t="shared" si="10"/>
        <v>3.305555555555556E-5</v>
      </c>
      <c r="F23" s="6">
        <f t="shared" si="11"/>
        <v>0.40338983050847466</v>
      </c>
      <c r="G23">
        <v>24</v>
      </c>
      <c r="H23" s="7">
        <f t="shared" si="12"/>
        <v>3199.7368421052633</v>
      </c>
      <c r="I23">
        <f t="shared" si="13"/>
        <v>1.8479377172494541E-5</v>
      </c>
      <c r="J23" s="7">
        <f t="shared" si="14"/>
        <v>-10.89885519510578</v>
      </c>
      <c r="K23">
        <f t="shared" si="15"/>
        <v>1.7895522787626046E-5</v>
      </c>
      <c r="L23" s="6">
        <f t="shared" si="16"/>
        <v>0.39181715082158391</v>
      </c>
      <c r="M23" s="6">
        <f t="shared" si="17"/>
        <v>3.1594916831803612</v>
      </c>
    </row>
    <row r="24" spans="2:13" x14ac:dyDescent="0.3">
      <c r="B24">
        <v>4</v>
      </c>
      <c r="C24">
        <f t="shared" si="9"/>
        <v>0.8</v>
      </c>
      <c r="D24">
        <v>130</v>
      </c>
      <c r="E24">
        <f t="shared" si="10"/>
        <v>3.6111111111111109E-5</v>
      </c>
      <c r="F24" s="6">
        <f t="shared" si="11"/>
        <v>0.44067796610169496</v>
      </c>
      <c r="G24">
        <v>24</v>
      </c>
      <c r="H24" s="7">
        <f t="shared" si="12"/>
        <v>3199.7368421052633</v>
      </c>
      <c r="I24">
        <f t="shared" si="13"/>
        <v>2.0187554894321764E-5</v>
      </c>
      <c r="J24" s="7">
        <f t="shared" si="14"/>
        <v>-10.810444237761727</v>
      </c>
      <c r="K24">
        <f t="shared" si="15"/>
        <v>2.0920102900870279E-5</v>
      </c>
      <c r="L24" s="6">
        <f t="shared" si="16"/>
        <v>0.4580394331469938</v>
      </c>
      <c r="M24" s="6">
        <f t="shared" si="17"/>
        <v>3.6287109081970179</v>
      </c>
    </row>
    <row r="25" spans="2:13" x14ac:dyDescent="0.3">
      <c r="B25">
        <v>4.2</v>
      </c>
      <c r="C25">
        <f t="shared" si="9"/>
        <v>0.84000000000000008</v>
      </c>
      <c r="D25">
        <v>152</v>
      </c>
      <c r="E25">
        <f t="shared" si="10"/>
        <v>4.2222222222222222E-5</v>
      </c>
      <c r="F25" s="6">
        <f t="shared" si="11"/>
        <v>0.51525423728813569</v>
      </c>
      <c r="G25">
        <v>24</v>
      </c>
      <c r="H25" s="7">
        <f t="shared" si="12"/>
        <v>3199.7368421052633</v>
      </c>
      <c r="I25">
        <f t="shared" si="13"/>
        <v>2.3603910337976219E-5</v>
      </c>
      <c r="J25" s="7">
        <f t="shared" si="14"/>
        <v>-10.654098167371032</v>
      </c>
      <c r="K25">
        <f t="shared" si="15"/>
        <v>2.44558770691861E-5</v>
      </c>
      <c r="L25" s="6">
        <f t="shared" si="16"/>
        <v>0.53545415732236057</v>
      </c>
      <c r="M25" s="6">
        <f t="shared" si="17"/>
        <v>3.609430467286411</v>
      </c>
    </row>
    <row r="26" spans="2:13" x14ac:dyDescent="0.3">
      <c r="B26">
        <v>4.4000000000000004</v>
      </c>
      <c r="C26">
        <f t="shared" si="9"/>
        <v>0.88000000000000012</v>
      </c>
      <c r="D26">
        <v>185</v>
      </c>
      <c r="E26">
        <f t="shared" si="10"/>
        <v>5.138888888888889E-5</v>
      </c>
      <c r="F26" s="6">
        <f t="shared" si="11"/>
        <v>0.62711864406779672</v>
      </c>
      <c r="G26">
        <v>24</v>
      </c>
      <c r="H26" s="7">
        <f t="shared" si="12"/>
        <v>3199.7368421052633</v>
      </c>
      <c r="I26">
        <f t="shared" si="13"/>
        <v>2.87284435034579E-5</v>
      </c>
      <c r="J26" s="7">
        <f t="shared" si="14"/>
        <v>-10.457622863138985</v>
      </c>
      <c r="K26">
        <f t="shared" si="15"/>
        <v>2.8589243851102749E-5</v>
      </c>
      <c r="L26" s="6">
        <f t="shared" si="16"/>
        <v>0.6259529940990648</v>
      </c>
      <c r="M26" s="6">
        <f t="shared" si="17"/>
        <v>0.48453600466867019</v>
      </c>
    </row>
    <row r="27" spans="2:13" x14ac:dyDescent="0.3">
      <c r="B27">
        <v>4.5999999999999996</v>
      </c>
      <c r="C27">
        <f t="shared" si="9"/>
        <v>0.91999999999999993</v>
      </c>
      <c r="D27">
        <v>218</v>
      </c>
      <c r="E27">
        <f t="shared" si="10"/>
        <v>6.0555555555555558E-5</v>
      </c>
      <c r="F27" s="6">
        <f t="shared" si="11"/>
        <v>0.73898305084745775</v>
      </c>
      <c r="G27">
        <v>24</v>
      </c>
      <c r="H27" s="7">
        <f t="shared" si="12"/>
        <v>3199.7368421052633</v>
      </c>
      <c r="I27">
        <f t="shared" si="13"/>
        <v>3.3852976668939578E-5</v>
      </c>
      <c r="J27" s="7">
        <f t="shared" si="14"/>
        <v>-10.29348362542822</v>
      </c>
      <c r="K27">
        <f t="shared" si="15"/>
        <v>3.3421204304614944E-5</v>
      </c>
      <c r="L27" s="6">
        <f t="shared" si="16"/>
        <v>0.73174733161273664</v>
      </c>
      <c r="M27" s="6">
        <f t="shared" si="17"/>
        <v>1.2754339700969013</v>
      </c>
    </row>
    <row r="28" spans="2:13" x14ac:dyDescent="0.3">
      <c r="B28">
        <v>4.8</v>
      </c>
      <c r="C28">
        <f t="shared" si="9"/>
        <v>0.96</v>
      </c>
      <c r="D28">
        <v>252</v>
      </c>
      <c r="E28">
        <f t="shared" si="10"/>
        <v>6.9999999999999994E-5</v>
      </c>
      <c r="F28" s="6">
        <f t="shared" si="11"/>
        <v>0.85423728813559319</v>
      </c>
      <c r="G28">
        <v>24</v>
      </c>
      <c r="H28" s="7">
        <f t="shared" si="12"/>
        <v>3199.7368421052633</v>
      </c>
      <c r="I28">
        <f t="shared" si="13"/>
        <v>3.9132798718223726E-5</v>
      </c>
      <c r="J28" s="7">
        <f t="shared" si="14"/>
        <v>-10.148549600705886</v>
      </c>
      <c r="K28">
        <f t="shared" si="15"/>
        <v>3.9069830002787164E-5</v>
      </c>
      <c r="L28" s="6">
        <f t="shared" si="16"/>
        <v>0.85542231185113282</v>
      </c>
      <c r="M28" s="6">
        <f t="shared" si="17"/>
        <v>0.16091032969547861</v>
      </c>
    </row>
    <row r="29" spans="2:13" x14ac:dyDescent="0.3">
      <c r="B29">
        <v>5</v>
      </c>
      <c r="C29">
        <f t="shared" si="9"/>
        <v>1</v>
      </c>
      <c r="D29">
        <v>295</v>
      </c>
      <c r="E29">
        <f t="shared" si="10"/>
        <v>8.1944444444444437E-5</v>
      </c>
      <c r="F29" s="6">
        <f t="shared" si="11"/>
        <v>1</v>
      </c>
      <c r="G29">
        <v>24</v>
      </c>
      <c r="H29" s="7">
        <f t="shared" si="12"/>
        <v>3199.7368421052633</v>
      </c>
      <c r="I29">
        <f t="shared" si="13"/>
        <v>4.5810220721730156E-5</v>
      </c>
      <c r="J29" s="7">
        <f t="shared" si="14"/>
        <v>-9.99100333187749</v>
      </c>
      <c r="K29">
        <f t="shared" si="15"/>
        <v>4.5673148176647508E-5</v>
      </c>
      <c r="L29" s="6">
        <f t="shared" si="16"/>
        <v>1</v>
      </c>
      <c r="M29" s="6">
        <f t="shared" si="17"/>
        <v>0.29921825942573455</v>
      </c>
    </row>
    <row r="59" spans="1:4" x14ac:dyDescent="0.3">
      <c r="A59" t="s">
        <v>22</v>
      </c>
    </row>
    <row r="60" spans="1:4" x14ac:dyDescent="0.3">
      <c r="B60" t="s">
        <v>23</v>
      </c>
      <c r="C60" t="s">
        <v>24</v>
      </c>
      <c r="D60" t="s">
        <v>25</v>
      </c>
    </row>
    <row r="61" spans="1:4" x14ac:dyDescent="0.3">
      <c r="B61" s="10">
        <v>0.40878378378378377</v>
      </c>
      <c r="C61" s="4">
        <v>0.20169491525423733</v>
      </c>
      <c r="D61">
        <v>0.6</v>
      </c>
    </row>
    <row r="62" spans="1:4" x14ac:dyDescent="0.3">
      <c r="B62" s="11">
        <v>0.45945945945945948</v>
      </c>
      <c r="C62" s="5">
        <v>0.25084745762711863</v>
      </c>
      <c r="D62">
        <v>0.64</v>
      </c>
    </row>
    <row r="63" spans="1:4" x14ac:dyDescent="0.3">
      <c r="B63" s="10">
        <v>0.52364864864864868</v>
      </c>
      <c r="C63" s="4">
        <v>0.2949152542372882</v>
      </c>
      <c r="D63">
        <v>0.67999999999999994</v>
      </c>
    </row>
    <row r="64" spans="1:4" x14ac:dyDescent="0.3">
      <c r="B64" s="11">
        <v>0.59121621621621634</v>
      </c>
      <c r="C64" s="5">
        <v>0.33220338983050851</v>
      </c>
      <c r="D64">
        <v>0.72</v>
      </c>
    </row>
    <row r="65" spans="2:4" x14ac:dyDescent="0.3">
      <c r="B65" s="10">
        <v>0.66891891891891897</v>
      </c>
      <c r="C65" s="4">
        <v>0.40338983050847466</v>
      </c>
      <c r="D65">
        <v>0.76</v>
      </c>
    </row>
    <row r="66" spans="2:4" x14ac:dyDescent="0.3">
      <c r="B66" s="11">
        <v>0.72297297297297303</v>
      </c>
      <c r="C66" s="5">
        <v>0.44067796610169496</v>
      </c>
      <c r="D66">
        <v>0.8</v>
      </c>
    </row>
    <row r="67" spans="2:4" x14ac:dyDescent="0.3">
      <c r="B67" s="10">
        <v>0.79729729729729737</v>
      </c>
      <c r="C67" s="4">
        <v>0.51525423728813569</v>
      </c>
      <c r="D67">
        <v>0.84000000000000008</v>
      </c>
    </row>
    <row r="68" spans="2:4" x14ac:dyDescent="0.3">
      <c r="B68" s="11">
        <v>0.86824324324324331</v>
      </c>
      <c r="C68" s="5">
        <v>0.62711864406779672</v>
      </c>
      <c r="D68">
        <v>0.88000000000000012</v>
      </c>
    </row>
    <row r="69" spans="2:4" x14ac:dyDescent="0.3">
      <c r="B69" s="10">
        <v>0.90878378378378388</v>
      </c>
      <c r="C69" s="4">
        <v>0.73898305084745775</v>
      </c>
      <c r="D69">
        <v>0.91999999999999993</v>
      </c>
    </row>
    <row r="70" spans="2:4" x14ac:dyDescent="0.3">
      <c r="B70" s="11">
        <v>0.95608108108108114</v>
      </c>
      <c r="C70" s="5">
        <v>0.85423728813559319</v>
      </c>
      <c r="D70">
        <v>0.96</v>
      </c>
    </row>
    <row r="71" spans="2:4" x14ac:dyDescent="0.3">
      <c r="B71" s="10">
        <v>1</v>
      </c>
      <c r="C71" s="4">
        <v>1</v>
      </c>
      <c r="D71">
        <v>1</v>
      </c>
    </row>
  </sheetData>
  <pageMargins left="0.7" right="0.7" top="0.75" bottom="0.75" header="0.3" footer="0.3"/>
  <pageSetup orientation="portrait" horizontalDpi="1200" verticalDpi="120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46FF-59EB-4CB8-B08E-CDF89419FFC1}">
  <dimension ref="A1:AH31"/>
  <sheetViews>
    <sheetView topLeftCell="H1" zoomScale="70" zoomScaleNormal="70" workbookViewId="0">
      <selection activeCell="E21" sqref="E21:E31"/>
    </sheetView>
  </sheetViews>
  <sheetFormatPr defaultRowHeight="14.4" x14ac:dyDescent="0.3"/>
  <cols>
    <col min="1" max="1" width="12.21875" customWidth="1"/>
    <col min="2" max="2" width="17.77734375" customWidth="1"/>
    <col min="3" max="3" width="16" customWidth="1"/>
    <col min="4" max="4" width="17.77734375" customWidth="1"/>
    <col min="5" max="5" width="21" customWidth="1"/>
    <col min="6" max="6" width="12.88671875" customWidth="1"/>
    <col min="7" max="7" width="13.21875" customWidth="1"/>
    <col min="8" max="8" width="19" customWidth="1"/>
    <col min="10" max="10" width="12.6640625" customWidth="1"/>
    <col min="11" max="11" width="29.6640625" customWidth="1"/>
    <col min="24" max="24" width="13" bestFit="1" customWidth="1"/>
  </cols>
  <sheetData>
    <row r="1" spans="1:34" x14ac:dyDescent="0.3">
      <c r="A1" t="s">
        <v>12</v>
      </c>
    </row>
    <row r="2" spans="1:34" x14ac:dyDescent="0.3">
      <c r="A2" t="s">
        <v>13</v>
      </c>
    </row>
    <row r="3" spans="1:34" ht="57.6" x14ac:dyDescent="0.3">
      <c r="A3" s="1" t="s">
        <v>0</v>
      </c>
      <c r="B3" s="3" t="s">
        <v>1</v>
      </c>
      <c r="C3" s="3" t="s">
        <v>19</v>
      </c>
      <c r="D3" s="3" t="s">
        <v>20</v>
      </c>
      <c r="E3" s="3" t="s">
        <v>2</v>
      </c>
      <c r="F3" s="3" t="s">
        <v>3</v>
      </c>
      <c r="G3" s="3" t="s">
        <v>4</v>
      </c>
      <c r="H3" s="2" t="s">
        <v>5</v>
      </c>
      <c r="I3" s="3" t="s">
        <v>6</v>
      </c>
      <c r="J3" s="3" t="s">
        <v>7</v>
      </c>
      <c r="K3" s="3" t="s">
        <v>10</v>
      </c>
      <c r="L3" s="3" t="s">
        <v>21</v>
      </c>
      <c r="V3" t="s">
        <v>6</v>
      </c>
      <c r="W3" t="s">
        <v>15</v>
      </c>
      <c r="X3" s="3" t="s">
        <v>7</v>
      </c>
      <c r="Y3" s="3" t="s">
        <v>11</v>
      </c>
    </row>
    <row r="4" spans="1:34" x14ac:dyDescent="0.3">
      <c r="A4">
        <v>5</v>
      </c>
      <c r="B4">
        <f>A4/5</f>
        <v>1</v>
      </c>
      <c r="C4">
        <v>300</v>
      </c>
      <c r="D4">
        <f>C4*0.001/3600</f>
        <v>8.3333333333333331E-5</v>
      </c>
      <c r="E4" s="7">
        <f>D4/$D$4</f>
        <v>1</v>
      </c>
      <c r="F4">
        <v>23</v>
      </c>
      <c r="G4" s="7">
        <f>F4*101325/760</f>
        <v>3066.4144736842104</v>
      </c>
      <c r="H4">
        <f>D4*SQRT(1000/G4)</f>
        <v>4.758864353679363E-5</v>
      </c>
      <c r="I4" s="7">
        <f>LN(H4)</f>
        <v>-9.9529164063517097</v>
      </c>
      <c r="J4">
        <f>EXP(3.8843*B4-13.884)</f>
        <v>4.5413551784614718E-5</v>
      </c>
      <c r="K4" s="6">
        <f>J4/$J$4</f>
        <v>1</v>
      </c>
      <c r="L4" s="7">
        <f>ABS(J4-H4)/H4*100</f>
        <v>4.5706109494321234</v>
      </c>
      <c r="V4">
        <v>-9.9529164063517097</v>
      </c>
      <c r="W4">
        <f>LN(B4)</f>
        <v>0</v>
      </c>
      <c r="X4">
        <f>EXP(2.9053*W4-9.9077)</f>
        <v>4.978982062239711E-5</v>
      </c>
      <c r="Y4">
        <f>ABS(X4-H4)/H4*100</f>
        <v>4.6254251477069683</v>
      </c>
    </row>
    <row r="5" spans="1:34" x14ac:dyDescent="0.3">
      <c r="A5">
        <v>4.8</v>
      </c>
      <c r="B5">
        <f t="shared" ref="B5:B14" si="0">A5/5</f>
        <v>0.96</v>
      </c>
      <c r="C5">
        <v>280</v>
      </c>
      <c r="D5">
        <f t="shared" ref="D5:D14" si="1">C5*0.001/3600</f>
        <v>7.7777777777777782E-5</v>
      </c>
      <c r="E5" s="7">
        <f t="shared" ref="E5:E14" si="2">D5/$D$4</f>
        <v>0.93333333333333346</v>
      </c>
      <c r="F5">
        <v>30</v>
      </c>
      <c r="G5" s="7">
        <f t="shared" ref="G5:G14" si="3">F5*101325/760</f>
        <v>3999.6710526315787</v>
      </c>
      <c r="H5">
        <f t="shared" ref="H5:H14" si="4">D5*SQRT(1000/G5)</f>
        <v>3.889048803722885E-5</v>
      </c>
      <c r="I5" s="7">
        <f t="shared" ref="I5:I14" si="5">LN(H5)</f>
        <v>-10.154760860705164</v>
      </c>
      <c r="J5">
        <f t="shared" ref="J5:J14" si="6">EXP(3.8843*B5-13.884)</f>
        <v>3.8878389560458472E-5</v>
      </c>
      <c r="K5" s="6">
        <f t="shared" ref="K5:K14" si="7">J5/$J$4</f>
        <v>0.85609665028732151</v>
      </c>
      <c r="L5" s="7">
        <f t="shared" ref="L5:L14" si="8">ABS(J5-H5)/H5*100</f>
        <v>3.110908960256813E-2</v>
      </c>
      <c r="V5">
        <v>-10.154760860705164</v>
      </c>
      <c r="W5">
        <f t="shared" ref="W5:W14" si="9">LN(B5)</f>
        <v>-4.0821994520255166E-2</v>
      </c>
      <c r="X5">
        <f t="shared" ref="X5:X14" si="10">EXP(2.9053*W5-9.9077)</f>
        <v>4.4221469979272577E-5</v>
      </c>
      <c r="Y5">
        <f t="shared" ref="Y5:Y14" si="11">ABS(X5-H5)/H5*100</f>
        <v>13.707675606797521</v>
      </c>
    </row>
    <row r="6" spans="1:34" x14ac:dyDescent="0.3">
      <c r="A6">
        <v>4.5999999999999996</v>
      </c>
      <c r="B6">
        <f t="shared" si="0"/>
        <v>0.91999999999999993</v>
      </c>
      <c r="C6">
        <v>270</v>
      </c>
      <c r="D6">
        <f t="shared" si="1"/>
        <v>7.5000000000000007E-5</v>
      </c>
      <c r="E6" s="7">
        <f t="shared" si="2"/>
        <v>0.90000000000000013</v>
      </c>
      <c r="F6">
        <v>35</v>
      </c>
      <c r="G6" s="7">
        <f t="shared" si="3"/>
        <v>4666.2828947368425</v>
      </c>
      <c r="H6">
        <f t="shared" si="4"/>
        <v>3.4719681389300775E-5</v>
      </c>
      <c r="I6" s="7">
        <f t="shared" si="5"/>
        <v>-10.268203844789669</v>
      </c>
      <c r="J6">
        <f t="shared" si="6"/>
        <v>3.3283659071274071E-5</v>
      </c>
      <c r="K6" s="6">
        <f t="shared" si="7"/>
        <v>0.73290147463317257</v>
      </c>
      <c r="L6" s="7">
        <f t="shared" si="8"/>
        <v>4.1360469352383769</v>
      </c>
      <c r="V6">
        <v>-10.268203844789669</v>
      </c>
      <c r="W6">
        <f t="shared" si="9"/>
        <v>-8.3381608939051138E-2</v>
      </c>
      <c r="X6">
        <f t="shared" si="10"/>
        <v>3.9078090689253342E-5</v>
      </c>
      <c r="Y6">
        <f t="shared" si="11"/>
        <v>12.553137372094827</v>
      </c>
    </row>
    <row r="7" spans="1:34" x14ac:dyDescent="0.3">
      <c r="A7">
        <v>4.4000000000000004</v>
      </c>
      <c r="B7">
        <f t="shared" si="0"/>
        <v>0.88000000000000012</v>
      </c>
      <c r="C7">
        <v>252</v>
      </c>
      <c r="D7">
        <f t="shared" si="1"/>
        <v>6.9999999999999994E-5</v>
      </c>
      <c r="E7" s="7">
        <f t="shared" si="2"/>
        <v>0.84</v>
      </c>
      <c r="F7">
        <v>42</v>
      </c>
      <c r="G7" s="7">
        <f t="shared" si="3"/>
        <v>5599.5394736842109</v>
      </c>
      <c r="H7">
        <f t="shared" si="4"/>
        <v>2.9581615289819193E-5</v>
      </c>
      <c r="I7" s="7">
        <f t="shared" si="5"/>
        <v>-10.428357494673596</v>
      </c>
      <c r="J7">
        <f t="shared" si="6"/>
        <v>2.8494029040222953E-5</v>
      </c>
      <c r="K7" s="6">
        <f t="shared" si="7"/>
        <v>0.62743449742409729</v>
      </c>
      <c r="L7" s="7">
        <f t="shared" si="8"/>
        <v>3.6765614011975325</v>
      </c>
      <c r="V7">
        <v>-10.428357494673596</v>
      </c>
      <c r="W7">
        <f t="shared" si="9"/>
        <v>-0.12783337150988477</v>
      </c>
      <c r="X7">
        <f t="shared" si="10"/>
        <v>3.4343619909992289E-5</v>
      </c>
      <c r="Y7">
        <f t="shared" si="11"/>
        <v>16.097851904023603</v>
      </c>
      <c r="AH7" t="s">
        <v>18</v>
      </c>
    </row>
    <row r="8" spans="1:34" x14ac:dyDescent="0.3">
      <c r="A8">
        <v>4.2</v>
      </c>
      <c r="B8">
        <f t="shared" si="0"/>
        <v>0.84000000000000008</v>
      </c>
      <c r="C8">
        <v>236</v>
      </c>
      <c r="D8">
        <f t="shared" si="1"/>
        <v>6.5555555555555557E-5</v>
      </c>
      <c r="E8" s="7">
        <f t="shared" si="2"/>
        <v>0.78666666666666674</v>
      </c>
      <c r="F8">
        <v>48</v>
      </c>
      <c r="G8" s="7">
        <f t="shared" si="3"/>
        <v>6399.4736842105267</v>
      </c>
      <c r="H8">
        <f t="shared" si="4"/>
        <v>2.5914174175990318E-5</v>
      </c>
      <c r="I8" s="7">
        <f t="shared" si="5"/>
        <v>-10.560720473471672</v>
      </c>
      <c r="J8">
        <f t="shared" si="6"/>
        <v>2.4393642814524536E-5</v>
      </c>
      <c r="K8" s="6">
        <f t="shared" si="7"/>
        <v>0.53714457151947881</v>
      </c>
      <c r="L8" s="7">
        <f t="shared" si="8"/>
        <v>5.8675663408736618</v>
      </c>
      <c r="V8">
        <v>-10.560720473471672</v>
      </c>
      <c r="W8">
        <f t="shared" si="9"/>
        <v>-0.17435338714477766</v>
      </c>
      <c r="X8">
        <f t="shared" si="10"/>
        <v>3.0001928480893213E-5</v>
      </c>
      <c r="Y8">
        <f t="shared" si="11"/>
        <v>15.774202477539227</v>
      </c>
    </row>
    <row r="9" spans="1:34" x14ac:dyDescent="0.3">
      <c r="A9">
        <v>4</v>
      </c>
      <c r="B9">
        <f t="shared" si="0"/>
        <v>0.8</v>
      </c>
      <c r="C9">
        <v>217</v>
      </c>
      <c r="D9">
        <f t="shared" si="1"/>
        <v>6.0277777777777776E-5</v>
      </c>
      <c r="E9" s="7">
        <f t="shared" si="2"/>
        <v>0.72333333333333338</v>
      </c>
      <c r="F9">
        <v>55</v>
      </c>
      <c r="G9" s="7">
        <f t="shared" si="3"/>
        <v>7332.730263157895</v>
      </c>
      <c r="H9">
        <f t="shared" si="4"/>
        <v>2.2259959931986271E-5</v>
      </c>
      <c r="I9" s="7">
        <f t="shared" si="5"/>
        <v>-10.712721012119113</v>
      </c>
      <c r="J9">
        <f t="shared" si="6"/>
        <v>2.0883315901819843E-5</v>
      </c>
      <c r="K9" s="6">
        <f t="shared" si="7"/>
        <v>0.45984766839784441</v>
      </c>
      <c r="L9" s="7">
        <f t="shared" si="8"/>
        <v>6.1843958137061614</v>
      </c>
      <c r="V9">
        <v>-10.712721012119113</v>
      </c>
      <c r="W9">
        <f t="shared" si="9"/>
        <v>-0.22314355131420971</v>
      </c>
      <c r="X9">
        <f t="shared" si="10"/>
        <v>2.6036817611476809E-5</v>
      </c>
      <c r="Y9">
        <f t="shared" si="11"/>
        <v>16.967046171828066</v>
      </c>
    </row>
    <row r="10" spans="1:34" x14ac:dyDescent="0.3">
      <c r="A10">
        <v>3.8</v>
      </c>
      <c r="B10">
        <f t="shared" si="0"/>
        <v>0.76</v>
      </c>
      <c r="C10">
        <v>195</v>
      </c>
      <c r="D10">
        <f t="shared" si="1"/>
        <v>5.4166666666666671E-5</v>
      </c>
      <c r="E10" s="7">
        <f t="shared" si="2"/>
        <v>0.65</v>
      </c>
      <c r="F10">
        <v>63</v>
      </c>
      <c r="G10" s="7">
        <f t="shared" si="3"/>
        <v>8399.3092105263149</v>
      </c>
      <c r="H10">
        <f t="shared" si="4"/>
        <v>1.8690044086424841E-5</v>
      </c>
      <c r="I10" s="7">
        <f t="shared" si="5"/>
        <v>-10.887519577675356</v>
      </c>
      <c r="J10">
        <f t="shared" si="6"/>
        <v>1.7878136790439924E-5</v>
      </c>
      <c r="K10" s="6">
        <f t="shared" si="7"/>
        <v>0.39367404855782961</v>
      </c>
      <c r="L10" s="7">
        <f t="shared" si="8"/>
        <v>4.3440630328669494</v>
      </c>
      <c r="V10">
        <v>-10.887519577675356</v>
      </c>
      <c r="W10">
        <f t="shared" si="9"/>
        <v>-0.2744368457017603</v>
      </c>
      <c r="X10">
        <f t="shared" si="10"/>
        <v>2.2432015237945476E-5</v>
      </c>
      <c r="Y10">
        <f t="shared" si="11"/>
        <v>20.021200240177841</v>
      </c>
    </row>
    <row r="11" spans="1:34" x14ac:dyDescent="0.3">
      <c r="A11">
        <v>3.6</v>
      </c>
      <c r="B11">
        <f t="shared" si="0"/>
        <v>0.72</v>
      </c>
      <c r="C11">
        <v>176</v>
      </c>
      <c r="D11">
        <f t="shared" si="1"/>
        <v>4.8888888888888883E-5</v>
      </c>
      <c r="E11" s="7">
        <f t="shared" si="2"/>
        <v>0.58666666666666667</v>
      </c>
      <c r="F11">
        <v>70</v>
      </c>
      <c r="G11" s="7">
        <f t="shared" si="3"/>
        <v>9332.5657894736851</v>
      </c>
      <c r="H11">
        <f t="shared" si="4"/>
        <v>1.6003303328066392E-5</v>
      </c>
      <c r="I11" s="7">
        <f t="shared" si="5"/>
        <v>-11.042715399029865</v>
      </c>
      <c r="J11">
        <f t="shared" si="6"/>
        <v>1.5305413019674142E-5</v>
      </c>
      <c r="K11" s="6">
        <f t="shared" si="7"/>
        <v>0.33702303427540625</v>
      </c>
      <c r="L11" s="7">
        <f t="shared" si="8"/>
        <v>4.3609140818339576</v>
      </c>
      <c r="V11">
        <v>-11.042715399029865</v>
      </c>
      <c r="W11">
        <f t="shared" si="9"/>
        <v>-0.3285040669720361</v>
      </c>
      <c r="X11">
        <f t="shared" si="10"/>
        <v>1.9171171996321726E-5</v>
      </c>
      <c r="Y11">
        <f t="shared" si="11"/>
        <v>19.795092321343216</v>
      </c>
    </row>
    <row r="12" spans="1:34" x14ac:dyDescent="0.3">
      <c r="A12">
        <v>3.4</v>
      </c>
      <c r="B12">
        <f t="shared" si="0"/>
        <v>0.67999999999999994</v>
      </c>
      <c r="C12">
        <v>158</v>
      </c>
      <c r="D12">
        <f t="shared" si="1"/>
        <v>4.388888888888889E-5</v>
      </c>
      <c r="E12" s="7">
        <f t="shared" si="2"/>
        <v>0.52666666666666673</v>
      </c>
      <c r="F12">
        <v>76</v>
      </c>
      <c r="G12" s="7">
        <f t="shared" si="3"/>
        <v>10132.5</v>
      </c>
      <c r="H12">
        <f t="shared" si="4"/>
        <v>1.3787841427193721E-5</v>
      </c>
      <c r="I12" s="7">
        <f t="shared" si="5"/>
        <v>-11.191723410159534</v>
      </c>
      <c r="J12">
        <f t="shared" si="6"/>
        <v>1.3102912817406993E-5</v>
      </c>
      <c r="K12" s="6">
        <f t="shared" si="7"/>
        <v>0.28852429071284447</v>
      </c>
      <c r="L12" s="7">
        <f t="shared" si="8"/>
        <v>4.9676275536201384</v>
      </c>
      <c r="V12">
        <v>-11.191723410159534</v>
      </c>
      <c r="W12">
        <f t="shared" si="9"/>
        <v>-0.38566248081198479</v>
      </c>
      <c r="X12">
        <f t="shared" si="10"/>
        <v>1.6237856749336227E-5</v>
      </c>
      <c r="Y12">
        <f t="shared" si="11"/>
        <v>17.769390046148541</v>
      </c>
    </row>
    <row r="13" spans="1:34" x14ac:dyDescent="0.3">
      <c r="A13">
        <v>3.2</v>
      </c>
      <c r="B13">
        <f t="shared" si="0"/>
        <v>0.64</v>
      </c>
      <c r="C13">
        <v>137</v>
      </c>
      <c r="D13">
        <f t="shared" si="1"/>
        <v>3.805555555555556E-5</v>
      </c>
      <c r="E13" s="7">
        <f t="shared" si="2"/>
        <v>0.45666666666666672</v>
      </c>
      <c r="F13">
        <v>82</v>
      </c>
      <c r="G13" s="7">
        <f t="shared" si="3"/>
        <v>10932.434210526315</v>
      </c>
      <c r="H13">
        <f t="shared" si="4"/>
        <v>1.1509584086564689E-5</v>
      </c>
      <c r="I13" s="7">
        <f t="shared" si="5"/>
        <v>-11.372330470847338</v>
      </c>
      <c r="J13">
        <f t="shared" si="6"/>
        <v>1.1217359771988938E-5</v>
      </c>
      <c r="K13" s="6">
        <f t="shared" si="7"/>
        <v>0.24700467880579152</v>
      </c>
      <c r="L13" s="7">
        <f t="shared" si="8"/>
        <v>2.5389650258245946</v>
      </c>
      <c r="V13">
        <v>-11.372330470847338</v>
      </c>
      <c r="W13">
        <f t="shared" si="9"/>
        <v>-0.44628710262841947</v>
      </c>
      <c r="X13">
        <f t="shared" si="10"/>
        <v>1.3615551589843646E-5</v>
      </c>
      <c r="Y13">
        <f t="shared" si="11"/>
        <v>18.297511773142912</v>
      </c>
    </row>
    <row r="14" spans="1:34" x14ac:dyDescent="0.3">
      <c r="A14">
        <v>3</v>
      </c>
      <c r="B14">
        <f t="shared" si="0"/>
        <v>0.6</v>
      </c>
      <c r="C14">
        <v>121</v>
      </c>
      <c r="D14">
        <f t="shared" si="1"/>
        <v>3.361111111111111E-5</v>
      </c>
      <c r="E14" s="7">
        <f t="shared" si="2"/>
        <v>0.40333333333333332</v>
      </c>
      <c r="F14">
        <v>88</v>
      </c>
      <c r="G14" s="7">
        <f t="shared" si="3"/>
        <v>11732.368421052632</v>
      </c>
      <c r="H14">
        <f t="shared" si="4"/>
        <v>9.8127339344571121E-6</v>
      </c>
      <c r="I14" s="7">
        <f t="shared" si="5"/>
        <v>-11.531829634685698</v>
      </c>
      <c r="J14">
        <f t="shared" si="6"/>
        <v>9.6031441258674645E-6</v>
      </c>
      <c r="K14" s="6">
        <f t="shared" si="7"/>
        <v>0.21145987813093348</v>
      </c>
      <c r="L14" s="7">
        <f t="shared" si="8"/>
        <v>2.1358961731722839</v>
      </c>
      <c r="V14">
        <v>-11.531829634685698</v>
      </c>
      <c r="W14">
        <f t="shared" si="9"/>
        <v>-0.51082562376599072</v>
      </c>
      <c r="X14">
        <f t="shared" si="10"/>
        <v>1.1287646224796314E-5</v>
      </c>
      <c r="Y14">
        <f t="shared" si="11"/>
        <v>15.030594941131476</v>
      </c>
    </row>
    <row r="15" spans="1:34" x14ac:dyDescent="0.3">
      <c r="I15" s="7"/>
      <c r="K15" s="6"/>
      <c r="L15" s="7"/>
    </row>
    <row r="16" spans="1:34" x14ac:dyDescent="0.3">
      <c r="I16" s="7"/>
      <c r="K16" s="6" t="s">
        <v>16</v>
      </c>
      <c r="L16" s="7">
        <f>AVERAGE(L4:L14)</f>
        <v>3.8921596724880314</v>
      </c>
      <c r="X16" t="s">
        <v>17</v>
      </c>
      <c r="Y16">
        <f>AVERAGE(Y4:Y14)</f>
        <v>15.512648000175837</v>
      </c>
    </row>
    <row r="17" spans="1:23" x14ac:dyDescent="0.3">
      <c r="I17" s="7"/>
      <c r="K17" s="6"/>
      <c r="L17" s="7"/>
    </row>
    <row r="18" spans="1:23" x14ac:dyDescent="0.3">
      <c r="A18" t="s">
        <v>14</v>
      </c>
      <c r="I18" s="7"/>
      <c r="K18" s="6"/>
      <c r="L18" s="7"/>
    </row>
    <row r="19" spans="1:23" x14ac:dyDescent="0.3">
      <c r="I19" s="7"/>
      <c r="K19" s="6"/>
      <c r="L19" s="7"/>
    </row>
    <row r="20" spans="1:23" x14ac:dyDescent="0.3">
      <c r="A20" s="1" t="s">
        <v>0</v>
      </c>
      <c r="B20" s="3" t="s">
        <v>1</v>
      </c>
      <c r="C20" s="3" t="s">
        <v>19</v>
      </c>
      <c r="D20" s="3" t="s">
        <v>20</v>
      </c>
      <c r="E20" s="3" t="s">
        <v>2</v>
      </c>
      <c r="F20" s="3" t="s">
        <v>3</v>
      </c>
      <c r="G20" s="3" t="s">
        <v>4</v>
      </c>
      <c r="H20" s="2" t="s">
        <v>5</v>
      </c>
      <c r="I20" s="9" t="s">
        <v>6</v>
      </c>
      <c r="J20" s="3" t="s">
        <v>7</v>
      </c>
      <c r="K20" s="8" t="s">
        <v>10</v>
      </c>
      <c r="L20" s="9" t="s">
        <v>21</v>
      </c>
      <c r="V20" t="s">
        <v>6</v>
      </c>
      <c r="W20" t="s">
        <v>15</v>
      </c>
    </row>
    <row r="21" spans="1:23" x14ac:dyDescent="0.3">
      <c r="A21">
        <v>3</v>
      </c>
      <c r="B21">
        <f>A21/5</f>
        <v>0.6</v>
      </c>
      <c r="C21">
        <v>121</v>
      </c>
      <c r="D21">
        <f>C21*0.001/3600</f>
        <v>3.361111111111111E-5</v>
      </c>
      <c r="E21" s="7">
        <f>D21/$D$31</f>
        <v>0.40878378378378377</v>
      </c>
      <c r="F21">
        <v>88</v>
      </c>
      <c r="G21" s="7">
        <f>F21*101325/760</f>
        <v>11732.368421052632</v>
      </c>
      <c r="H21">
        <f>D21*SQRT(1000/G21)</f>
        <v>9.8127339344571121E-6</v>
      </c>
      <c r="I21" s="7">
        <f>LN(H21)</f>
        <v>-11.531829634685698</v>
      </c>
      <c r="J21">
        <f>EXP(3.8842*B21-13.851)</f>
        <v>9.9247392874801566E-6</v>
      </c>
      <c r="K21" s="6">
        <f>J21/$J$31</f>
        <v>0.21146833669522891</v>
      </c>
      <c r="L21" s="7">
        <f>ABS(J21-H21)/H21*100</f>
        <v>1.1414286148097956</v>
      </c>
      <c r="V21">
        <v>-11.531829634685698</v>
      </c>
      <c r="W21">
        <f>LN(B21)</f>
        <v>-0.51082562376599072</v>
      </c>
    </row>
    <row r="22" spans="1:23" x14ac:dyDescent="0.3">
      <c r="A22">
        <v>3.2</v>
      </c>
      <c r="B22">
        <f t="shared" ref="B22:B31" si="12">A22/5</f>
        <v>0.64</v>
      </c>
      <c r="C22">
        <v>136</v>
      </c>
      <c r="D22">
        <f t="shared" ref="D22:D31" si="13">C22*0.001/3600</f>
        <v>3.7777777777777778E-5</v>
      </c>
      <c r="E22" s="7">
        <f t="shared" ref="E22:E31" si="14">D22/$D$31</f>
        <v>0.45945945945945948</v>
      </c>
      <c r="F22">
        <v>83</v>
      </c>
      <c r="G22" s="7">
        <f t="shared" ref="G22:G31" si="15">F22*101325/760</f>
        <v>11065.756578947368</v>
      </c>
      <c r="H22">
        <f t="shared" ref="H22:H31" si="16">D22*SQRT(1000/G22)</f>
        <v>1.1356535199859695E-5</v>
      </c>
      <c r="I22" s="7">
        <f t="shared" ref="I22:I31" si="17">LN(H22)</f>
        <v>-11.385717191205583</v>
      </c>
      <c r="J22">
        <f t="shared" ref="J22:J31" si="18">EXP(3.8842*B22-13.851)</f>
        <v>1.1592966267618858E-5</v>
      </c>
      <c r="K22" s="6">
        <f t="shared" ref="K22:K31" si="19">J22/$J$31</f>
        <v>0.24701357113428937</v>
      </c>
      <c r="L22" s="7">
        <f t="shared" ref="L22:L31" si="20">ABS(J22-H22)/H22*100</f>
        <v>2.0818943770991325</v>
      </c>
      <c r="V22">
        <v>-11.385717191205583</v>
      </c>
      <c r="W22">
        <f t="shared" ref="W22:W31" si="21">LN(B22)</f>
        <v>-0.44628710262841947</v>
      </c>
    </row>
    <row r="23" spans="1:23" x14ac:dyDescent="0.3">
      <c r="A23">
        <v>3.4</v>
      </c>
      <c r="B23">
        <f t="shared" si="12"/>
        <v>0.67999999999999994</v>
      </c>
      <c r="C23">
        <v>155</v>
      </c>
      <c r="D23">
        <f t="shared" si="13"/>
        <v>4.3055555555555553E-5</v>
      </c>
      <c r="E23" s="7">
        <f t="shared" si="14"/>
        <v>0.52364864864864868</v>
      </c>
      <c r="F23">
        <v>75</v>
      </c>
      <c r="G23" s="7">
        <f t="shared" si="15"/>
        <v>9999.1776315789466</v>
      </c>
      <c r="H23">
        <f t="shared" si="16"/>
        <v>1.361592202467288E-5</v>
      </c>
      <c r="I23" s="7">
        <f t="shared" si="17"/>
        <v>-11.204270712892244</v>
      </c>
      <c r="J23">
        <f t="shared" si="18"/>
        <v>1.3541601747835051E-5</v>
      </c>
      <c r="K23" s="6">
        <f t="shared" si="19"/>
        <v>0.28853352363787305</v>
      </c>
      <c r="L23" s="7">
        <f t="shared" si="20"/>
        <v>0.54583359616158778</v>
      </c>
      <c r="V23">
        <v>-11.204270712892244</v>
      </c>
      <c r="W23">
        <f t="shared" si="21"/>
        <v>-0.38566248081198479</v>
      </c>
    </row>
    <row r="24" spans="1:23" x14ac:dyDescent="0.3">
      <c r="A24">
        <v>3.6</v>
      </c>
      <c r="B24">
        <f t="shared" si="12"/>
        <v>0.72</v>
      </c>
      <c r="C24">
        <v>175</v>
      </c>
      <c r="D24">
        <f t="shared" si="13"/>
        <v>4.8611111111111115E-5</v>
      </c>
      <c r="E24" s="7">
        <f t="shared" si="14"/>
        <v>0.59121621621621634</v>
      </c>
      <c r="F24">
        <v>69</v>
      </c>
      <c r="G24" s="7">
        <f t="shared" si="15"/>
        <v>9199.2434210526317</v>
      </c>
      <c r="H24">
        <f t="shared" si="16"/>
        <v>1.6027267757863222E-5</v>
      </c>
      <c r="I24" s="7">
        <f t="shared" si="17"/>
        <v>-11.041219051418452</v>
      </c>
      <c r="J24">
        <f t="shared" si="18"/>
        <v>1.5817778958709389E-5</v>
      </c>
      <c r="K24" s="6">
        <f t="shared" si="19"/>
        <v>0.33703247105247974</v>
      </c>
      <c r="L24" s="7">
        <f t="shared" si="20"/>
        <v>1.3070774277858723</v>
      </c>
      <c r="V24">
        <v>-11.041219051418452</v>
      </c>
      <c r="W24">
        <f t="shared" si="21"/>
        <v>-0.3285040669720361</v>
      </c>
    </row>
    <row r="25" spans="1:23" x14ac:dyDescent="0.3">
      <c r="A25">
        <v>3.8</v>
      </c>
      <c r="B25">
        <f t="shared" si="12"/>
        <v>0.76</v>
      </c>
      <c r="C25">
        <v>198</v>
      </c>
      <c r="D25">
        <f t="shared" si="13"/>
        <v>5.5000000000000002E-5</v>
      </c>
      <c r="E25" s="7">
        <f t="shared" si="14"/>
        <v>0.66891891891891897</v>
      </c>
      <c r="F25">
        <v>63</v>
      </c>
      <c r="G25" s="7">
        <f t="shared" si="15"/>
        <v>8399.3092105263149</v>
      </c>
      <c r="H25">
        <f t="shared" si="16"/>
        <v>1.8977583226215991E-5</v>
      </c>
      <c r="I25" s="7">
        <f t="shared" si="17"/>
        <v>-10.872252105544566</v>
      </c>
      <c r="J25">
        <f t="shared" si="18"/>
        <v>1.8476553648950003E-5</v>
      </c>
      <c r="K25" s="6">
        <f t="shared" si="19"/>
        <v>0.39368349684837317</v>
      </c>
      <c r="L25" s="7">
        <f t="shared" si="20"/>
        <v>2.6401126597292754</v>
      </c>
      <c r="V25">
        <v>-10.872252105544566</v>
      </c>
      <c r="W25">
        <f t="shared" si="21"/>
        <v>-0.2744368457017603</v>
      </c>
    </row>
    <row r="26" spans="1:23" x14ac:dyDescent="0.3">
      <c r="A26">
        <v>4</v>
      </c>
      <c r="B26">
        <f t="shared" si="12"/>
        <v>0.8</v>
      </c>
      <c r="C26">
        <v>214</v>
      </c>
      <c r="D26">
        <f t="shared" si="13"/>
        <v>5.9444444444444445E-5</v>
      </c>
      <c r="E26" s="7">
        <f t="shared" si="14"/>
        <v>0.72297297297297303</v>
      </c>
      <c r="F26">
        <v>59</v>
      </c>
      <c r="G26" s="7">
        <f t="shared" si="15"/>
        <v>7866.019736842105</v>
      </c>
      <c r="H26">
        <f t="shared" si="16"/>
        <v>2.1195016387669389E-5</v>
      </c>
      <c r="I26" s="7">
        <f t="shared" si="17"/>
        <v>-10.761744479974345</v>
      </c>
      <c r="J26">
        <f t="shared" si="18"/>
        <v>2.1582235763546328E-5</v>
      </c>
      <c r="K26" s="6">
        <f t="shared" si="19"/>
        <v>0.45985686544318216</v>
      </c>
      <c r="L26" s="7">
        <f t="shared" si="20"/>
        <v>1.8269359588804632</v>
      </c>
      <c r="V26">
        <v>-10.761744479974345</v>
      </c>
      <c r="W26">
        <f t="shared" si="21"/>
        <v>-0.22314355131420971</v>
      </c>
    </row>
    <row r="27" spans="1:23" x14ac:dyDescent="0.3">
      <c r="A27">
        <v>4.2</v>
      </c>
      <c r="B27">
        <f t="shared" si="12"/>
        <v>0.84000000000000008</v>
      </c>
      <c r="C27">
        <v>236</v>
      </c>
      <c r="D27">
        <f t="shared" si="13"/>
        <v>6.5555555555555557E-5</v>
      </c>
      <c r="E27" s="7">
        <f t="shared" si="14"/>
        <v>0.79729729729729737</v>
      </c>
      <c r="F27">
        <v>50</v>
      </c>
      <c r="G27" s="7">
        <f t="shared" si="15"/>
        <v>6666.1184210526317</v>
      </c>
      <c r="H27">
        <f t="shared" si="16"/>
        <v>2.5390601534714003E-5</v>
      </c>
      <c r="I27" s="7">
        <f t="shared" si="17"/>
        <v>-10.581131470731799</v>
      </c>
      <c r="J27">
        <f t="shared" si="18"/>
        <v>2.5209944960691759E-5</v>
      </c>
      <c r="K27" s="6">
        <f t="shared" si="19"/>
        <v>0.53715316590137818</v>
      </c>
      <c r="L27" s="7">
        <f t="shared" si="20"/>
        <v>0.71150962601358814</v>
      </c>
      <c r="V27">
        <v>-10.581131470731799</v>
      </c>
      <c r="W27">
        <f t="shared" si="21"/>
        <v>-0.17435338714477766</v>
      </c>
    </row>
    <row r="28" spans="1:23" x14ac:dyDescent="0.3">
      <c r="A28">
        <v>4.4000000000000004</v>
      </c>
      <c r="B28">
        <f t="shared" si="12"/>
        <v>0.88000000000000012</v>
      </c>
      <c r="C28">
        <v>257</v>
      </c>
      <c r="D28">
        <f t="shared" si="13"/>
        <v>7.1388888888888888E-5</v>
      </c>
      <c r="E28" s="7">
        <f t="shared" si="14"/>
        <v>0.86824324324324331</v>
      </c>
      <c r="F28">
        <v>41</v>
      </c>
      <c r="G28" s="7">
        <f t="shared" si="15"/>
        <v>5466.2171052631575</v>
      </c>
      <c r="H28">
        <f t="shared" si="16"/>
        <v>3.0534244872341509E-5</v>
      </c>
      <c r="I28" s="7">
        <f t="shared" si="17"/>
        <v>-10.396661721500271</v>
      </c>
      <c r="J28">
        <f t="shared" si="18"/>
        <v>2.9447427592027958E-5</v>
      </c>
      <c r="K28" s="6">
        <f t="shared" si="19"/>
        <v>0.62744202668324178</v>
      </c>
      <c r="L28" s="7">
        <f t="shared" si="20"/>
        <v>3.5593389810599514</v>
      </c>
      <c r="V28">
        <v>-10.396661721500271</v>
      </c>
      <c r="W28">
        <f t="shared" si="21"/>
        <v>-0.12783337150988477</v>
      </c>
    </row>
    <row r="29" spans="1:23" x14ac:dyDescent="0.3">
      <c r="A29">
        <v>4.5999999999999996</v>
      </c>
      <c r="B29">
        <f t="shared" si="12"/>
        <v>0.91999999999999993</v>
      </c>
      <c r="C29">
        <v>269</v>
      </c>
      <c r="D29">
        <f t="shared" si="13"/>
        <v>7.4722222222222225E-5</v>
      </c>
      <c r="E29" s="7">
        <f t="shared" si="14"/>
        <v>0.90878378378378388</v>
      </c>
      <c r="F29">
        <v>36</v>
      </c>
      <c r="G29" s="7">
        <f t="shared" si="15"/>
        <v>4799.605263157895</v>
      </c>
      <c r="H29">
        <f t="shared" si="16"/>
        <v>3.4107274681136246E-5</v>
      </c>
      <c r="I29" s="7">
        <f t="shared" si="17"/>
        <v>-10.285999862669552</v>
      </c>
      <c r="J29">
        <f t="shared" si="18"/>
        <v>3.4397179094988984E-5</v>
      </c>
      <c r="K29" s="6">
        <f t="shared" si="19"/>
        <v>0.73290733786842188</v>
      </c>
      <c r="L29" s="7">
        <f t="shared" si="20"/>
        <v>0.84997824236328257</v>
      </c>
      <c r="V29">
        <v>-10.285999862669552</v>
      </c>
      <c r="W29">
        <f t="shared" si="21"/>
        <v>-8.3381608939051138E-2</v>
      </c>
    </row>
    <row r="30" spans="1:23" x14ac:dyDescent="0.3">
      <c r="A30">
        <v>4.8</v>
      </c>
      <c r="B30">
        <f t="shared" si="12"/>
        <v>0.96</v>
      </c>
      <c r="C30">
        <v>283</v>
      </c>
      <c r="D30">
        <f t="shared" si="13"/>
        <v>7.8611111111111113E-5</v>
      </c>
      <c r="E30" s="7">
        <f t="shared" si="14"/>
        <v>0.95608108108108114</v>
      </c>
      <c r="F30">
        <v>29</v>
      </c>
      <c r="G30" s="7">
        <f t="shared" si="15"/>
        <v>3866.3486842105262</v>
      </c>
      <c r="H30">
        <f t="shared" si="16"/>
        <v>3.9979137980470661E-5</v>
      </c>
      <c r="I30" s="7">
        <f t="shared" si="17"/>
        <v>-10.127152790393335</v>
      </c>
      <c r="J30">
        <f t="shared" si="18"/>
        <v>4.0178923133274141E-5</v>
      </c>
      <c r="K30" s="6">
        <f t="shared" si="19"/>
        <v>0.85610007468077043</v>
      </c>
      <c r="L30" s="7">
        <f t="shared" si="20"/>
        <v>0.49972351305091323</v>
      </c>
      <c r="V30">
        <v>-10.127152790393335</v>
      </c>
      <c r="W30">
        <f t="shared" si="21"/>
        <v>-4.0821994520255166E-2</v>
      </c>
    </row>
    <row r="31" spans="1:23" x14ac:dyDescent="0.3">
      <c r="A31">
        <v>5</v>
      </c>
      <c r="B31">
        <f t="shared" si="12"/>
        <v>1</v>
      </c>
      <c r="C31">
        <v>296</v>
      </c>
      <c r="D31">
        <f t="shared" si="13"/>
        <v>8.2222222222222218E-5</v>
      </c>
      <c r="E31" s="7">
        <f t="shared" si="14"/>
        <v>1</v>
      </c>
      <c r="F31">
        <v>24</v>
      </c>
      <c r="G31" s="7">
        <f t="shared" si="15"/>
        <v>3199.7368421052633</v>
      </c>
      <c r="H31">
        <f t="shared" si="16"/>
        <v>4.5965509605532636E-5</v>
      </c>
      <c r="I31" s="7">
        <f t="shared" si="17"/>
        <v>-9.9876192338932483</v>
      </c>
      <c r="J31">
        <f t="shared" si="18"/>
        <v>4.6932507450436079E-5</v>
      </c>
      <c r="K31" s="6">
        <f t="shared" si="19"/>
        <v>1</v>
      </c>
      <c r="L31" s="7">
        <f t="shared" si="20"/>
        <v>2.1037465987041957</v>
      </c>
      <c r="V31">
        <v>-9.9876192338932483</v>
      </c>
      <c r="W31">
        <f t="shared" si="21"/>
        <v>0</v>
      </c>
    </row>
  </sheetData>
  <pageMargins left="0.7" right="0.7" top="0.75" bottom="0.75" header="0.3" footer="0.3"/>
  <pageSetup orientation="portrait" horizontalDpi="1200" verticalDpi="1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Inherent Charactersitics</vt:lpstr>
      <vt:lpstr>Installed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Manan Mohnot</cp:lastModifiedBy>
  <dcterms:created xsi:type="dcterms:W3CDTF">2022-10-03T17:45:42Z</dcterms:created>
  <dcterms:modified xsi:type="dcterms:W3CDTF">2022-10-04T10:11:14Z</dcterms:modified>
</cp:coreProperties>
</file>