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fileSharing readOnlyRecommended="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IFRS9 Assignment\"/>
    </mc:Choice>
  </mc:AlternateContent>
  <xr:revisionPtr revIDLastSave="0" documentId="13_ncr:1_{CDAE4CDF-E5DE-4315-B593-5273C06EC8A3}" xr6:coauthVersionLast="47" xr6:coauthVersionMax="47" xr10:uidLastSave="{00000000-0000-0000-0000-000000000000}"/>
  <bookViews>
    <workbookView xWindow="-120" yWindow="-120" windowWidth="20730" windowHeight="11040" firstSheet="3" activeTab="5" xr2:uid="{00000000-000D-0000-FFFF-FFFF00000000}"/>
  </bookViews>
  <sheets>
    <sheet name="Recon to ECL summary (restated)" sheetId="21" r:id="rId1"/>
    <sheet name="Assumptions" sheetId="16" r:id="rId2"/>
    <sheet name="Provision Summary" sheetId="14" r:id="rId3"/>
    <sheet name="Check sheet" sheetId="19" r:id="rId4"/>
    <sheet name="ECL Calculation" sheetId="12" r:id="rId5"/>
    <sheet name="Copy PiT PD Structure T2" sheetId="24" r:id="rId6"/>
    <sheet name="Input Sheet" sheetId="2" r:id="rId7"/>
    <sheet name="Rating Lookup" sheetId="5" r:id="rId8"/>
    <sheet name="Country's MEV" sheetId="4" state="hidden" r:id="rId9"/>
    <sheet name="Moody's Default Matrix" sheetId="7" state="hidden" r:id="rId10"/>
    <sheet name="Moody's Investment Default Rate" sheetId="8" state="hidden" r:id="rId11"/>
    <sheet name="Rating Lookup Copy" sheetId="22" r:id="rId12"/>
    <sheet name="Rating Matrix" sheetId="17" r:id="rId13"/>
    <sheet name="PiT PD Structure" sheetId="11" r:id="rId14"/>
    <sheet name="Lookup Table" sheetId="13" r:id="rId15"/>
    <sheet name="Gov. Net Revenue  MEV Modelling" sheetId="18" r:id="rId16"/>
  </sheets>
  <definedNames>
    <definedName name="_xlnm._FilterDatabase" localSheetId="4" hidden="1">'ECL Calculation'!$AL$5:$BK$510</definedName>
    <definedName name="_xlnm._FilterDatabase" localSheetId="15" hidden="1">'Gov. Net Revenue  MEV Modelling'!$A$2:$X$64</definedName>
    <definedName name="_xlnm._FilterDatabase" localSheetId="6" hidden="1">'Input Sheet'!$A$2:$AE$232</definedName>
    <definedName name="_xlnm._FilterDatabase" localSheetId="14" hidden="1">'Lookup Table'!$J$33:$K$176</definedName>
    <definedName name="_xlnm._FilterDatabase" localSheetId="11" hidden="1">'Rating Lookup Copy'!$A$2:$I$2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" i="2" l="1"/>
  <c r="AM3" i="2" l="1"/>
  <c r="AA3" i="2"/>
  <c r="AB3" i="2" s="1"/>
  <c r="AC3" i="2"/>
  <c r="AD3" i="2" s="1"/>
  <c r="AA4" i="2"/>
  <c r="AB4" i="2" s="1"/>
  <c r="AC4" i="2"/>
  <c r="AD4" i="2" s="1"/>
  <c r="AG4" i="2"/>
  <c r="AH4" i="2"/>
  <c r="AI4" i="2"/>
  <c r="AJ4" i="2"/>
  <c r="AK4" i="2"/>
  <c r="AL4" i="2"/>
  <c r="AM4" i="2"/>
  <c r="AN4" i="2"/>
  <c r="AO4" i="2"/>
  <c r="AQ4" i="2"/>
  <c r="AR4" i="2"/>
  <c r="AS4" i="2"/>
  <c r="AT4" i="2"/>
  <c r="AU4" i="2"/>
  <c r="AV4" i="2"/>
  <c r="AY4" i="2"/>
  <c r="AZ4" i="2"/>
  <c r="BC4" i="2"/>
  <c r="BD4" i="2"/>
  <c r="BE4" i="2"/>
  <c r="AA5" i="2"/>
  <c r="AB5" i="2" s="1"/>
  <c r="AC5" i="2"/>
  <c r="AD5" i="2" s="1"/>
  <c r="AG5" i="2"/>
  <c r="AH5" i="2"/>
  <c r="AI5" i="2"/>
  <c r="AJ5" i="2"/>
  <c r="AK5" i="2"/>
  <c r="AL5" i="2"/>
  <c r="AM5" i="2"/>
  <c r="AN5" i="2"/>
  <c r="AO5" i="2"/>
  <c r="AQ5" i="2"/>
  <c r="AR5" i="2"/>
  <c r="AS5" i="2"/>
  <c r="AT5" i="2"/>
  <c r="AU5" i="2"/>
  <c r="AV5" i="2"/>
  <c r="AY5" i="2"/>
  <c r="AZ5" i="2"/>
  <c r="BC5" i="2"/>
  <c r="BD5" i="2"/>
  <c r="BE5" i="2"/>
  <c r="AA6" i="2"/>
  <c r="AB6" i="2" s="1"/>
  <c r="AC6" i="2"/>
  <c r="AD6" i="2" s="1"/>
  <c r="AG6" i="2"/>
  <c r="AH6" i="2"/>
  <c r="AI6" i="2"/>
  <c r="AJ6" i="2"/>
  <c r="AK6" i="2"/>
  <c r="AL6" i="2"/>
  <c r="AM6" i="2"/>
  <c r="AN6" i="2"/>
  <c r="AO6" i="2"/>
  <c r="AQ6" i="2"/>
  <c r="AR6" i="2"/>
  <c r="AS6" i="2"/>
  <c r="AT6" i="2"/>
  <c r="AU6" i="2"/>
  <c r="AV6" i="2"/>
  <c r="AY6" i="2"/>
  <c r="AZ6" i="2"/>
  <c r="BC6" i="2"/>
  <c r="BD6" i="2"/>
  <c r="BE6" i="2"/>
  <c r="AA7" i="2"/>
  <c r="AB7" i="2" s="1"/>
  <c r="AC7" i="2"/>
  <c r="AD7" i="2" s="1"/>
  <c r="AG7" i="2"/>
  <c r="AH7" i="2"/>
  <c r="AI7" i="2"/>
  <c r="AJ7" i="2"/>
  <c r="AK7" i="2"/>
  <c r="AL7" i="2"/>
  <c r="AM7" i="2"/>
  <c r="AN7" i="2"/>
  <c r="AO7" i="2"/>
  <c r="AQ7" i="2"/>
  <c r="AR7" i="2"/>
  <c r="AS7" i="2"/>
  <c r="AT7" i="2"/>
  <c r="AU7" i="2"/>
  <c r="AV7" i="2"/>
  <c r="AY7" i="2"/>
  <c r="AZ7" i="2"/>
  <c r="BC7" i="2"/>
  <c r="BD7" i="2"/>
  <c r="BE7" i="2"/>
  <c r="AA8" i="2"/>
  <c r="AB8" i="2" s="1"/>
  <c r="AC8" i="2"/>
  <c r="AD8" i="2" s="1"/>
  <c r="AG8" i="2"/>
  <c r="AH8" i="2"/>
  <c r="AI8" i="2"/>
  <c r="AJ8" i="2"/>
  <c r="AK8" i="2"/>
  <c r="AL8" i="2"/>
  <c r="AM8" i="2"/>
  <c r="AN8" i="2"/>
  <c r="AO8" i="2"/>
  <c r="AQ8" i="2"/>
  <c r="AR8" i="2"/>
  <c r="AS8" i="2"/>
  <c r="AT8" i="2"/>
  <c r="AU8" i="2"/>
  <c r="AV8" i="2"/>
  <c r="AY8" i="2"/>
  <c r="AZ8" i="2"/>
  <c r="BC8" i="2"/>
  <c r="BD8" i="2"/>
  <c r="BE8" i="2"/>
  <c r="AA9" i="2"/>
  <c r="AB9" i="2" s="1"/>
  <c r="AC9" i="2"/>
  <c r="AD9" i="2" s="1"/>
  <c r="AG9" i="2"/>
  <c r="AH9" i="2"/>
  <c r="AI9" i="2"/>
  <c r="AJ9" i="2"/>
  <c r="AK9" i="2"/>
  <c r="AL9" i="2"/>
  <c r="AM9" i="2"/>
  <c r="AN9" i="2"/>
  <c r="AO9" i="2"/>
  <c r="AQ9" i="2"/>
  <c r="AR9" i="2"/>
  <c r="AS9" i="2"/>
  <c r="AT9" i="2"/>
  <c r="AU9" i="2"/>
  <c r="AV9" i="2"/>
  <c r="AY9" i="2"/>
  <c r="AZ9" i="2"/>
  <c r="BC9" i="2"/>
  <c r="BD9" i="2"/>
  <c r="BE9" i="2"/>
  <c r="AA10" i="2"/>
  <c r="AB10" i="2" s="1"/>
  <c r="AC10" i="2"/>
  <c r="AD10" i="2" s="1"/>
  <c r="AG10" i="2"/>
  <c r="AH10" i="2"/>
  <c r="AI10" i="2"/>
  <c r="AJ10" i="2"/>
  <c r="AK10" i="2"/>
  <c r="AL10" i="2"/>
  <c r="AM10" i="2"/>
  <c r="AN10" i="2"/>
  <c r="AO10" i="2"/>
  <c r="AQ10" i="2"/>
  <c r="AR10" i="2"/>
  <c r="AS10" i="2"/>
  <c r="AT10" i="2"/>
  <c r="AU10" i="2"/>
  <c r="AV10" i="2"/>
  <c r="AY10" i="2"/>
  <c r="AZ10" i="2"/>
  <c r="BC10" i="2"/>
  <c r="BD10" i="2"/>
  <c r="BE10" i="2"/>
  <c r="AA11" i="2"/>
  <c r="AB11" i="2" s="1"/>
  <c r="AC11" i="2"/>
  <c r="AD11" i="2" s="1"/>
  <c r="AG11" i="2"/>
  <c r="AH11" i="2"/>
  <c r="AI11" i="2"/>
  <c r="AJ11" i="2"/>
  <c r="AK11" i="2"/>
  <c r="AL11" i="2"/>
  <c r="AM11" i="2"/>
  <c r="AN11" i="2"/>
  <c r="AO11" i="2"/>
  <c r="AQ11" i="2"/>
  <c r="AR11" i="2"/>
  <c r="AS11" i="2"/>
  <c r="AT11" i="2"/>
  <c r="AU11" i="2"/>
  <c r="AV11" i="2"/>
  <c r="AY11" i="2"/>
  <c r="AZ11" i="2"/>
  <c r="BC11" i="2"/>
  <c r="BD11" i="2"/>
  <c r="BE11" i="2"/>
  <c r="AA12" i="2"/>
  <c r="AB12" i="2" s="1"/>
  <c r="AC12" i="2"/>
  <c r="AD12" i="2" s="1"/>
  <c r="AG12" i="2"/>
  <c r="AH12" i="2"/>
  <c r="AI12" i="2"/>
  <c r="AJ12" i="2"/>
  <c r="AK12" i="2"/>
  <c r="AL12" i="2"/>
  <c r="AM12" i="2"/>
  <c r="AN12" i="2"/>
  <c r="AO12" i="2"/>
  <c r="AQ12" i="2"/>
  <c r="AR12" i="2"/>
  <c r="AS12" i="2"/>
  <c r="AT12" i="2"/>
  <c r="AU12" i="2"/>
  <c r="AV12" i="2"/>
  <c r="AY12" i="2"/>
  <c r="AZ12" i="2"/>
  <c r="BC12" i="2"/>
  <c r="BD12" i="2"/>
  <c r="BE12" i="2"/>
  <c r="BG12" i="2"/>
  <c r="AA13" i="2"/>
  <c r="AC13" i="2"/>
  <c r="AD13" i="2" s="1"/>
  <c r="AG13" i="2"/>
  <c r="AH13" i="2"/>
  <c r="AI13" i="2"/>
  <c r="AJ13" i="2"/>
  <c r="AK13" i="2"/>
  <c r="AL13" i="2"/>
  <c r="AM13" i="2"/>
  <c r="AN13" i="2"/>
  <c r="AO13" i="2"/>
  <c r="AQ13" i="2"/>
  <c r="AR13" i="2"/>
  <c r="AS13" i="2"/>
  <c r="AT13" i="2"/>
  <c r="AU13" i="2"/>
  <c r="AV13" i="2"/>
  <c r="AY13" i="2"/>
  <c r="AZ13" i="2"/>
  <c r="BC13" i="2"/>
  <c r="BD13" i="2"/>
  <c r="BE13" i="2"/>
  <c r="BG13" i="2"/>
  <c r="AA14" i="2"/>
  <c r="AC14" i="2"/>
  <c r="AD14" i="2" s="1"/>
  <c r="AG14" i="2"/>
  <c r="AH14" i="2"/>
  <c r="AI14" i="2"/>
  <c r="AJ14" i="2"/>
  <c r="AK14" i="2"/>
  <c r="AL14" i="2"/>
  <c r="AM14" i="2"/>
  <c r="AN14" i="2"/>
  <c r="AO14" i="2"/>
  <c r="AQ14" i="2"/>
  <c r="AR14" i="2"/>
  <c r="AS14" i="2"/>
  <c r="AT14" i="2"/>
  <c r="AU14" i="2"/>
  <c r="AV14" i="2"/>
  <c r="AY14" i="2"/>
  <c r="AZ14" i="2"/>
  <c r="BC14" i="2"/>
  <c r="BD14" i="2"/>
  <c r="BE14" i="2"/>
  <c r="BG14" i="2"/>
  <c r="AA15" i="2"/>
  <c r="AC15" i="2"/>
  <c r="AD15" i="2" s="1"/>
  <c r="AG15" i="2"/>
  <c r="AH15" i="2"/>
  <c r="AI15" i="2"/>
  <c r="AJ15" i="2"/>
  <c r="AK15" i="2"/>
  <c r="AL15" i="2"/>
  <c r="AM15" i="2"/>
  <c r="AN15" i="2"/>
  <c r="AO15" i="2"/>
  <c r="AQ15" i="2"/>
  <c r="AR15" i="2"/>
  <c r="AS15" i="2"/>
  <c r="AT15" i="2"/>
  <c r="AU15" i="2"/>
  <c r="AV15" i="2"/>
  <c r="AY15" i="2"/>
  <c r="AZ15" i="2"/>
  <c r="BC15" i="2"/>
  <c r="BD15" i="2"/>
  <c r="BE15" i="2"/>
  <c r="AA16" i="2"/>
  <c r="AC16" i="2"/>
  <c r="AD16" i="2" s="1"/>
  <c r="AG16" i="2"/>
  <c r="AH16" i="2"/>
  <c r="AI16" i="2"/>
  <c r="AJ16" i="2"/>
  <c r="AK16" i="2"/>
  <c r="AL16" i="2"/>
  <c r="AM16" i="2"/>
  <c r="AN16" i="2"/>
  <c r="AO16" i="2"/>
  <c r="AQ16" i="2"/>
  <c r="AR16" i="2"/>
  <c r="AS16" i="2"/>
  <c r="AT16" i="2"/>
  <c r="AU16" i="2"/>
  <c r="AV16" i="2"/>
  <c r="AY16" i="2"/>
  <c r="AZ16" i="2"/>
  <c r="BC16" i="2"/>
  <c r="BD16" i="2"/>
  <c r="BE16" i="2"/>
  <c r="AA17" i="2"/>
  <c r="AC17" i="2"/>
  <c r="AD17" i="2" s="1"/>
  <c r="AG17" i="2"/>
  <c r="AH17" i="2"/>
  <c r="AI17" i="2"/>
  <c r="AJ17" i="2"/>
  <c r="AK17" i="2"/>
  <c r="AL17" i="2"/>
  <c r="AM17" i="2"/>
  <c r="AN17" i="2"/>
  <c r="AO17" i="2"/>
  <c r="AQ17" i="2"/>
  <c r="AR17" i="2"/>
  <c r="AS17" i="2"/>
  <c r="AT17" i="2"/>
  <c r="AU17" i="2"/>
  <c r="AV17" i="2"/>
  <c r="AY17" i="2"/>
  <c r="AZ17" i="2"/>
  <c r="BC17" i="2"/>
  <c r="BD17" i="2"/>
  <c r="BE17" i="2"/>
  <c r="AA18" i="2"/>
  <c r="AC18" i="2"/>
  <c r="AD18" i="2" s="1"/>
  <c r="AG18" i="2"/>
  <c r="AH18" i="2"/>
  <c r="AI18" i="2"/>
  <c r="AJ18" i="2"/>
  <c r="AK18" i="2"/>
  <c r="AL18" i="2"/>
  <c r="AM18" i="2"/>
  <c r="AN18" i="2"/>
  <c r="AO18" i="2"/>
  <c r="AQ18" i="2"/>
  <c r="AR18" i="2"/>
  <c r="AS18" i="2"/>
  <c r="AT18" i="2"/>
  <c r="AU18" i="2"/>
  <c r="AV18" i="2"/>
  <c r="AY18" i="2"/>
  <c r="AZ18" i="2"/>
  <c r="BC18" i="2"/>
  <c r="BD18" i="2"/>
  <c r="BE18" i="2"/>
  <c r="AA19" i="2"/>
  <c r="AC19" i="2"/>
  <c r="AD19" i="2" s="1"/>
  <c r="AG19" i="2"/>
  <c r="AH19" i="2"/>
  <c r="AI19" i="2"/>
  <c r="AJ19" i="2"/>
  <c r="AK19" i="2"/>
  <c r="AL19" i="2"/>
  <c r="AM19" i="2"/>
  <c r="AN19" i="2"/>
  <c r="AO19" i="2"/>
  <c r="AQ19" i="2"/>
  <c r="AR19" i="2"/>
  <c r="AS19" i="2"/>
  <c r="AT19" i="2"/>
  <c r="AU19" i="2"/>
  <c r="AV19" i="2"/>
  <c r="AY19" i="2"/>
  <c r="AZ19" i="2"/>
  <c r="BC19" i="2"/>
  <c r="BD19" i="2"/>
  <c r="BE19" i="2"/>
  <c r="AA20" i="2"/>
  <c r="AC20" i="2"/>
  <c r="AD20" i="2" s="1"/>
  <c r="AG20" i="2"/>
  <c r="AH20" i="2"/>
  <c r="AI20" i="2"/>
  <c r="AJ20" i="2"/>
  <c r="AK20" i="2"/>
  <c r="AL20" i="2"/>
  <c r="AM20" i="2"/>
  <c r="AN20" i="2"/>
  <c r="AO20" i="2"/>
  <c r="AQ20" i="2"/>
  <c r="AR20" i="2"/>
  <c r="AS20" i="2"/>
  <c r="AT20" i="2"/>
  <c r="AU20" i="2"/>
  <c r="AV20" i="2"/>
  <c r="AY20" i="2"/>
  <c r="AZ20" i="2"/>
  <c r="BC20" i="2"/>
  <c r="BD20" i="2"/>
  <c r="BE20" i="2"/>
  <c r="AA21" i="2"/>
  <c r="AC21" i="2"/>
  <c r="AD21" i="2" s="1"/>
  <c r="AG21" i="2"/>
  <c r="AH21" i="2"/>
  <c r="AI21" i="2"/>
  <c r="AJ21" i="2"/>
  <c r="AK21" i="2"/>
  <c r="AL21" i="2"/>
  <c r="AM21" i="2"/>
  <c r="AN21" i="2"/>
  <c r="AO21" i="2"/>
  <c r="AQ21" i="2"/>
  <c r="AR21" i="2"/>
  <c r="AS21" i="2"/>
  <c r="AT21" i="2"/>
  <c r="AU21" i="2"/>
  <c r="AV21" i="2"/>
  <c r="AY21" i="2"/>
  <c r="AZ21" i="2"/>
  <c r="BC21" i="2"/>
  <c r="BD21" i="2"/>
  <c r="BE21" i="2"/>
  <c r="AA22" i="2"/>
  <c r="AC22" i="2"/>
  <c r="AD22" i="2" s="1"/>
  <c r="AG22" i="2"/>
  <c r="AH22" i="2"/>
  <c r="AI22" i="2"/>
  <c r="AJ22" i="2"/>
  <c r="AK22" i="2"/>
  <c r="AL22" i="2"/>
  <c r="AM22" i="2"/>
  <c r="AN22" i="2"/>
  <c r="AO22" i="2"/>
  <c r="AQ22" i="2"/>
  <c r="AR22" i="2"/>
  <c r="AS22" i="2"/>
  <c r="AT22" i="2"/>
  <c r="AU22" i="2"/>
  <c r="AV22" i="2"/>
  <c r="AY22" i="2"/>
  <c r="AZ22" i="2"/>
  <c r="BC22" i="2"/>
  <c r="BD22" i="2"/>
  <c r="BE22" i="2"/>
  <c r="AA23" i="2"/>
  <c r="AC23" i="2"/>
  <c r="AD23" i="2" s="1"/>
  <c r="AG23" i="2"/>
  <c r="AH23" i="2"/>
  <c r="AI23" i="2"/>
  <c r="AJ23" i="2"/>
  <c r="AK23" i="2"/>
  <c r="AL23" i="2"/>
  <c r="AM23" i="2"/>
  <c r="AN23" i="2"/>
  <c r="AO23" i="2"/>
  <c r="AQ23" i="2"/>
  <c r="AR23" i="2"/>
  <c r="AS23" i="2"/>
  <c r="AT23" i="2"/>
  <c r="AU23" i="2"/>
  <c r="AV23" i="2"/>
  <c r="AY23" i="2"/>
  <c r="AZ23" i="2"/>
  <c r="BC23" i="2"/>
  <c r="BD23" i="2"/>
  <c r="BE23" i="2"/>
  <c r="AA24" i="2"/>
  <c r="AC24" i="2"/>
  <c r="AD24" i="2" s="1"/>
  <c r="AG24" i="2"/>
  <c r="AH24" i="2"/>
  <c r="AI24" i="2"/>
  <c r="AJ24" i="2"/>
  <c r="AK24" i="2"/>
  <c r="AL24" i="2"/>
  <c r="AM24" i="2"/>
  <c r="AN24" i="2"/>
  <c r="AO24" i="2"/>
  <c r="AQ24" i="2"/>
  <c r="AR24" i="2"/>
  <c r="AS24" i="2"/>
  <c r="AT24" i="2"/>
  <c r="AU24" i="2"/>
  <c r="AV24" i="2"/>
  <c r="AY24" i="2"/>
  <c r="AZ24" i="2"/>
  <c r="BC24" i="2"/>
  <c r="BD24" i="2"/>
  <c r="BE24" i="2"/>
  <c r="AA25" i="2"/>
  <c r="AC25" i="2"/>
  <c r="AD25" i="2" s="1"/>
  <c r="AG25" i="2"/>
  <c r="AH25" i="2"/>
  <c r="AI25" i="2"/>
  <c r="AJ25" i="2"/>
  <c r="AK25" i="2"/>
  <c r="AL25" i="2"/>
  <c r="AM25" i="2"/>
  <c r="AN25" i="2"/>
  <c r="AO25" i="2"/>
  <c r="AQ25" i="2"/>
  <c r="AR25" i="2"/>
  <c r="AS25" i="2"/>
  <c r="AT25" i="2"/>
  <c r="AU25" i="2"/>
  <c r="AV25" i="2"/>
  <c r="AY25" i="2"/>
  <c r="AZ25" i="2"/>
  <c r="BC25" i="2"/>
  <c r="BD25" i="2"/>
  <c r="BE25" i="2"/>
  <c r="AA26" i="2"/>
  <c r="AC26" i="2"/>
  <c r="AD26" i="2" s="1"/>
  <c r="AG26" i="2"/>
  <c r="AH26" i="2"/>
  <c r="AI26" i="2"/>
  <c r="AJ26" i="2"/>
  <c r="AK26" i="2"/>
  <c r="AL26" i="2"/>
  <c r="AM26" i="2"/>
  <c r="AN26" i="2"/>
  <c r="AO26" i="2"/>
  <c r="AQ26" i="2"/>
  <c r="AR26" i="2"/>
  <c r="AS26" i="2"/>
  <c r="AT26" i="2"/>
  <c r="AU26" i="2"/>
  <c r="AV26" i="2"/>
  <c r="AY26" i="2"/>
  <c r="AZ26" i="2"/>
  <c r="BC26" i="2"/>
  <c r="BD26" i="2"/>
  <c r="BE26" i="2"/>
  <c r="AA27" i="2"/>
  <c r="AC27" i="2"/>
  <c r="AD27" i="2" s="1"/>
  <c r="AG27" i="2"/>
  <c r="AH27" i="2"/>
  <c r="AI27" i="2"/>
  <c r="AJ27" i="2"/>
  <c r="AK27" i="2"/>
  <c r="AL27" i="2"/>
  <c r="AM27" i="2"/>
  <c r="AN27" i="2"/>
  <c r="AO27" i="2"/>
  <c r="AQ27" i="2"/>
  <c r="AR27" i="2"/>
  <c r="AS27" i="2"/>
  <c r="AT27" i="2"/>
  <c r="AU27" i="2"/>
  <c r="AV27" i="2"/>
  <c r="AY27" i="2"/>
  <c r="AZ27" i="2"/>
  <c r="BC27" i="2"/>
  <c r="BD27" i="2"/>
  <c r="BE27" i="2"/>
  <c r="AA28" i="2"/>
  <c r="AC28" i="2"/>
  <c r="AD28" i="2" s="1"/>
  <c r="AG28" i="2"/>
  <c r="AH28" i="2"/>
  <c r="AI28" i="2"/>
  <c r="AJ28" i="2"/>
  <c r="AK28" i="2"/>
  <c r="AL28" i="2"/>
  <c r="AM28" i="2"/>
  <c r="AN28" i="2"/>
  <c r="AO28" i="2"/>
  <c r="AQ28" i="2"/>
  <c r="AR28" i="2"/>
  <c r="AS28" i="2"/>
  <c r="AT28" i="2"/>
  <c r="AU28" i="2"/>
  <c r="AV28" i="2"/>
  <c r="AY28" i="2"/>
  <c r="AZ28" i="2"/>
  <c r="BC28" i="2"/>
  <c r="BD28" i="2"/>
  <c r="BE28" i="2"/>
  <c r="AA29" i="2"/>
  <c r="AC29" i="2"/>
  <c r="AD29" i="2" s="1"/>
  <c r="AG29" i="2"/>
  <c r="AH29" i="2"/>
  <c r="AI29" i="2"/>
  <c r="AJ29" i="2"/>
  <c r="AK29" i="2"/>
  <c r="AL29" i="2"/>
  <c r="AM29" i="2"/>
  <c r="AN29" i="2"/>
  <c r="AO29" i="2"/>
  <c r="AQ29" i="2"/>
  <c r="AR29" i="2"/>
  <c r="AS29" i="2"/>
  <c r="AT29" i="2"/>
  <c r="AU29" i="2"/>
  <c r="AV29" i="2"/>
  <c r="AY29" i="2"/>
  <c r="AZ29" i="2"/>
  <c r="BC29" i="2"/>
  <c r="BD29" i="2"/>
  <c r="BE29" i="2"/>
  <c r="AA30" i="2"/>
  <c r="AC30" i="2"/>
  <c r="AD30" i="2" s="1"/>
  <c r="AG30" i="2"/>
  <c r="AH30" i="2"/>
  <c r="AI30" i="2"/>
  <c r="AJ30" i="2"/>
  <c r="AK30" i="2"/>
  <c r="AL30" i="2"/>
  <c r="AM30" i="2"/>
  <c r="AN30" i="2"/>
  <c r="AO30" i="2"/>
  <c r="AQ30" i="2"/>
  <c r="AR30" i="2"/>
  <c r="AS30" i="2"/>
  <c r="AT30" i="2"/>
  <c r="AU30" i="2"/>
  <c r="AV30" i="2"/>
  <c r="AY30" i="2"/>
  <c r="AZ30" i="2"/>
  <c r="BC30" i="2"/>
  <c r="BD30" i="2"/>
  <c r="BE30" i="2"/>
  <c r="AA31" i="2"/>
  <c r="AC31" i="2"/>
  <c r="AD31" i="2" s="1"/>
  <c r="AG31" i="2"/>
  <c r="AH31" i="2"/>
  <c r="AI31" i="2"/>
  <c r="AJ31" i="2"/>
  <c r="AK31" i="2"/>
  <c r="AL31" i="2"/>
  <c r="AM31" i="2"/>
  <c r="AN31" i="2"/>
  <c r="AO31" i="2"/>
  <c r="AQ31" i="2"/>
  <c r="AR31" i="2"/>
  <c r="AS31" i="2"/>
  <c r="AT31" i="2"/>
  <c r="AU31" i="2"/>
  <c r="AV31" i="2"/>
  <c r="AY31" i="2"/>
  <c r="AZ31" i="2"/>
  <c r="BC31" i="2"/>
  <c r="BD31" i="2"/>
  <c r="BE31" i="2"/>
  <c r="AA32" i="2"/>
  <c r="AC32" i="2"/>
  <c r="AD32" i="2" s="1"/>
  <c r="AG32" i="2"/>
  <c r="AH32" i="2"/>
  <c r="AI32" i="2"/>
  <c r="AJ32" i="2"/>
  <c r="AK32" i="2"/>
  <c r="AL32" i="2"/>
  <c r="AM32" i="2"/>
  <c r="AN32" i="2"/>
  <c r="AO32" i="2"/>
  <c r="AQ32" i="2"/>
  <c r="AR32" i="2"/>
  <c r="AS32" i="2"/>
  <c r="AT32" i="2"/>
  <c r="AU32" i="2"/>
  <c r="AV32" i="2"/>
  <c r="AY32" i="2"/>
  <c r="AZ32" i="2"/>
  <c r="BC32" i="2"/>
  <c r="BD32" i="2"/>
  <c r="BE32" i="2"/>
  <c r="AA33" i="2"/>
  <c r="AC33" i="2"/>
  <c r="AD33" i="2" s="1"/>
  <c r="AG33" i="2"/>
  <c r="AH33" i="2"/>
  <c r="AI33" i="2"/>
  <c r="AJ33" i="2"/>
  <c r="AK33" i="2"/>
  <c r="AL33" i="2"/>
  <c r="AM33" i="2"/>
  <c r="AN33" i="2"/>
  <c r="AO33" i="2"/>
  <c r="AQ33" i="2"/>
  <c r="AR33" i="2"/>
  <c r="AS33" i="2"/>
  <c r="AT33" i="2"/>
  <c r="AU33" i="2"/>
  <c r="AV33" i="2"/>
  <c r="AY33" i="2"/>
  <c r="AZ33" i="2"/>
  <c r="BC33" i="2"/>
  <c r="BD33" i="2"/>
  <c r="BE33" i="2"/>
  <c r="BG33" i="2"/>
  <c r="AA34" i="2"/>
  <c r="AC34" i="2"/>
  <c r="AD34" i="2" s="1"/>
  <c r="AG34" i="2"/>
  <c r="AH34" i="2"/>
  <c r="AI34" i="2"/>
  <c r="AJ34" i="2"/>
  <c r="AK34" i="2"/>
  <c r="AL34" i="2"/>
  <c r="AM34" i="2"/>
  <c r="AN34" i="2"/>
  <c r="AO34" i="2"/>
  <c r="AQ34" i="2"/>
  <c r="AR34" i="2"/>
  <c r="AS34" i="2"/>
  <c r="AT34" i="2"/>
  <c r="AU34" i="2"/>
  <c r="AV34" i="2"/>
  <c r="AY34" i="2"/>
  <c r="AZ34" i="2"/>
  <c r="BC34" i="2"/>
  <c r="BD34" i="2"/>
  <c r="BE34" i="2"/>
  <c r="BG34" i="2"/>
  <c r="AA35" i="2"/>
  <c r="AC35" i="2"/>
  <c r="AD35" i="2" s="1"/>
  <c r="AG35" i="2"/>
  <c r="AH35" i="2"/>
  <c r="AI35" i="2"/>
  <c r="AJ35" i="2"/>
  <c r="AK35" i="2"/>
  <c r="AL35" i="2"/>
  <c r="AM35" i="2"/>
  <c r="AN35" i="2"/>
  <c r="AO35" i="2"/>
  <c r="AQ35" i="2"/>
  <c r="AR35" i="2"/>
  <c r="AS35" i="2"/>
  <c r="AT35" i="2"/>
  <c r="AU35" i="2"/>
  <c r="AV35" i="2"/>
  <c r="AY35" i="2"/>
  <c r="AZ35" i="2"/>
  <c r="BC35" i="2"/>
  <c r="BD35" i="2"/>
  <c r="BE35" i="2"/>
  <c r="AA36" i="2"/>
  <c r="AC36" i="2"/>
  <c r="AD36" i="2" s="1"/>
  <c r="AG36" i="2"/>
  <c r="AH36" i="2"/>
  <c r="AI36" i="2"/>
  <c r="AJ36" i="2"/>
  <c r="AK36" i="2"/>
  <c r="AL36" i="2"/>
  <c r="AM36" i="2"/>
  <c r="AN36" i="2"/>
  <c r="AO36" i="2"/>
  <c r="AQ36" i="2"/>
  <c r="AR36" i="2"/>
  <c r="AS36" i="2"/>
  <c r="AT36" i="2"/>
  <c r="AU36" i="2"/>
  <c r="AV36" i="2"/>
  <c r="AY36" i="2"/>
  <c r="AZ36" i="2"/>
  <c r="BC36" i="2"/>
  <c r="BD36" i="2"/>
  <c r="BE36" i="2"/>
  <c r="AA37" i="2"/>
  <c r="AC37" i="2"/>
  <c r="AD37" i="2" s="1"/>
  <c r="AG37" i="2"/>
  <c r="AH37" i="2"/>
  <c r="AI37" i="2"/>
  <c r="AJ37" i="2"/>
  <c r="AK37" i="2"/>
  <c r="AL37" i="2"/>
  <c r="AM37" i="2"/>
  <c r="AN37" i="2"/>
  <c r="AO37" i="2"/>
  <c r="AQ37" i="2"/>
  <c r="AR37" i="2"/>
  <c r="AS37" i="2"/>
  <c r="AT37" i="2"/>
  <c r="AU37" i="2"/>
  <c r="AV37" i="2"/>
  <c r="AY37" i="2"/>
  <c r="AZ37" i="2"/>
  <c r="BC37" i="2"/>
  <c r="BD37" i="2"/>
  <c r="BE37" i="2"/>
  <c r="AA38" i="2"/>
  <c r="AC38" i="2"/>
  <c r="AD38" i="2" s="1"/>
  <c r="AG38" i="2"/>
  <c r="AH38" i="2"/>
  <c r="AI38" i="2"/>
  <c r="AJ38" i="2"/>
  <c r="AK38" i="2"/>
  <c r="AL38" i="2"/>
  <c r="AM38" i="2"/>
  <c r="AN38" i="2"/>
  <c r="AO38" i="2"/>
  <c r="AQ38" i="2"/>
  <c r="AR38" i="2"/>
  <c r="AS38" i="2"/>
  <c r="AT38" i="2"/>
  <c r="AU38" i="2"/>
  <c r="AV38" i="2"/>
  <c r="AY38" i="2"/>
  <c r="AZ38" i="2"/>
  <c r="BC38" i="2"/>
  <c r="BD38" i="2"/>
  <c r="BE38" i="2"/>
  <c r="AA39" i="2"/>
  <c r="AC39" i="2"/>
  <c r="AD39" i="2" s="1"/>
  <c r="AG39" i="2"/>
  <c r="AH39" i="2"/>
  <c r="AI39" i="2"/>
  <c r="AJ39" i="2"/>
  <c r="AK39" i="2"/>
  <c r="AL39" i="2"/>
  <c r="AM39" i="2"/>
  <c r="AN39" i="2"/>
  <c r="AO39" i="2"/>
  <c r="AQ39" i="2"/>
  <c r="AR39" i="2"/>
  <c r="AS39" i="2"/>
  <c r="AT39" i="2"/>
  <c r="BG39" i="2" s="1"/>
  <c r="AU39" i="2"/>
  <c r="AV39" i="2"/>
  <c r="AY39" i="2"/>
  <c r="AZ39" i="2"/>
  <c r="BC39" i="2"/>
  <c r="BD39" i="2"/>
  <c r="BE39" i="2"/>
  <c r="AA40" i="2"/>
  <c r="AC40" i="2"/>
  <c r="AD40" i="2" s="1"/>
  <c r="AG40" i="2"/>
  <c r="AH40" i="2"/>
  <c r="AI40" i="2"/>
  <c r="AJ40" i="2"/>
  <c r="AK40" i="2"/>
  <c r="AL40" i="2"/>
  <c r="AM40" i="2"/>
  <c r="AN40" i="2"/>
  <c r="AO40" i="2"/>
  <c r="AQ40" i="2"/>
  <c r="AR40" i="2"/>
  <c r="AS40" i="2"/>
  <c r="AT40" i="2"/>
  <c r="AU40" i="2"/>
  <c r="AV40" i="2"/>
  <c r="AY40" i="2"/>
  <c r="AZ40" i="2"/>
  <c r="BC40" i="2"/>
  <c r="BD40" i="2"/>
  <c r="BE40" i="2"/>
  <c r="AA41" i="2"/>
  <c r="AC41" i="2"/>
  <c r="AD41" i="2" s="1"/>
  <c r="AG41" i="2"/>
  <c r="AH41" i="2"/>
  <c r="AI41" i="2"/>
  <c r="AJ41" i="2"/>
  <c r="AK41" i="2"/>
  <c r="AL41" i="2"/>
  <c r="AM41" i="2"/>
  <c r="AN41" i="2"/>
  <c r="AO41" i="2"/>
  <c r="AQ41" i="2"/>
  <c r="AR41" i="2"/>
  <c r="AS41" i="2"/>
  <c r="AT41" i="2"/>
  <c r="AU41" i="2"/>
  <c r="AV41" i="2"/>
  <c r="AY41" i="2"/>
  <c r="AZ41" i="2"/>
  <c r="BC41" i="2"/>
  <c r="BD41" i="2"/>
  <c r="BE41" i="2"/>
  <c r="AA42" i="2"/>
  <c r="AC42" i="2"/>
  <c r="AD42" i="2" s="1"/>
  <c r="AG42" i="2"/>
  <c r="AH42" i="2"/>
  <c r="AI42" i="2"/>
  <c r="AJ42" i="2"/>
  <c r="AK42" i="2"/>
  <c r="AL42" i="2"/>
  <c r="AM42" i="2"/>
  <c r="AN42" i="2"/>
  <c r="AO42" i="2"/>
  <c r="AQ42" i="2"/>
  <c r="AR42" i="2"/>
  <c r="AS42" i="2"/>
  <c r="AT42" i="2"/>
  <c r="BG42" i="2" s="1"/>
  <c r="AU42" i="2"/>
  <c r="AV42" i="2"/>
  <c r="AY42" i="2"/>
  <c r="AZ42" i="2"/>
  <c r="BC42" i="2"/>
  <c r="BD42" i="2"/>
  <c r="BE42" i="2"/>
  <c r="AA43" i="2"/>
  <c r="AC43" i="2"/>
  <c r="AD43" i="2" s="1"/>
  <c r="AG43" i="2"/>
  <c r="AH43" i="2"/>
  <c r="AI43" i="2"/>
  <c r="AJ43" i="2"/>
  <c r="AK43" i="2"/>
  <c r="AL43" i="2"/>
  <c r="AM43" i="2"/>
  <c r="AN43" i="2"/>
  <c r="AO43" i="2"/>
  <c r="AQ43" i="2"/>
  <c r="AR43" i="2"/>
  <c r="AS43" i="2"/>
  <c r="AT43" i="2"/>
  <c r="AU43" i="2"/>
  <c r="AV43" i="2"/>
  <c r="AY43" i="2"/>
  <c r="AZ43" i="2"/>
  <c r="BC43" i="2"/>
  <c r="BD43" i="2"/>
  <c r="BE43" i="2"/>
  <c r="AA44" i="2"/>
  <c r="AC44" i="2"/>
  <c r="AD44" i="2" s="1"/>
  <c r="AG44" i="2"/>
  <c r="AH44" i="2"/>
  <c r="AI44" i="2"/>
  <c r="AJ44" i="2"/>
  <c r="AK44" i="2"/>
  <c r="AL44" i="2"/>
  <c r="AM44" i="2"/>
  <c r="AN44" i="2"/>
  <c r="AO44" i="2"/>
  <c r="AQ44" i="2"/>
  <c r="AR44" i="2"/>
  <c r="AS44" i="2"/>
  <c r="AT44" i="2"/>
  <c r="AU44" i="2"/>
  <c r="AV44" i="2"/>
  <c r="AY44" i="2"/>
  <c r="AZ44" i="2"/>
  <c r="BC44" i="2"/>
  <c r="BD44" i="2"/>
  <c r="BE44" i="2"/>
  <c r="AA45" i="2"/>
  <c r="AC45" i="2"/>
  <c r="AD45" i="2" s="1"/>
  <c r="AG45" i="2"/>
  <c r="AH45" i="2"/>
  <c r="AI45" i="2"/>
  <c r="AJ45" i="2"/>
  <c r="AK45" i="2"/>
  <c r="AL45" i="2"/>
  <c r="AM45" i="2"/>
  <c r="AN45" i="2"/>
  <c r="AO45" i="2"/>
  <c r="AQ45" i="2"/>
  <c r="AR45" i="2"/>
  <c r="AS45" i="2"/>
  <c r="AT45" i="2"/>
  <c r="AU45" i="2"/>
  <c r="AV45" i="2"/>
  <c r="AY45" i="2"/>
  <c r="AZ45" i="2"/>
  <c r="BC45" i="2"/>
  <c r="BD45" i="2"/>
  <c r="BE45" i="2"/>
  <c r="AA46" i="2"/>
  <c r="AC46" i="2"/>
  <c r="AD46" i="2" s="1"/>
  <c r="AG46" i="2"/>
  <c r="AH46" i="2"/>
  <c r="AI46" i="2"/>
  <c r="AJ46" i="2"/>
  <c r="AK46" i="2"/>
  <c r="AL46" i="2"/>
  <c r="AM46" i="2"/>
  <c r="AN46" i="2"/>
  <c r="AO46" i="2"/>
  <c r="AQ46" i="2"/>
  <c r="AR46" i="2"/>
  <c r="AS46" i="2"/>
  <c r="AT46" i="2"/>
  <c r="BG46" i="2" s="1"/>
  <c r="AU46" i="2"/>
  <c r="AV46" i="2"/>
  <c r="AY46" i="2"/>
  <c r="AZ46" i="2"/>
  <c r="BC46" i="2"/>
  <c r="BD46" i="2"/>
  <c r="BE46" i="2"/>
  <c r="AA47" i="2"/>
  <c r="AW47" i="2" s="1"/>
  <c r="AC47" i="2"/>
  <c r="AD47" i="2" s="1"/>
  <c r="AG47" i="2"/>
  <c r="AH47" i="2"/>
  <c r="AI47" i="2"/>
  <c r="AJ47" i="2"/>
  <c r="AK47" i="2"/>
  <c r="AL47" i="2"/>
  <c r="AM47" i="2"/>
  <c r="AN47" i="2"/>
  <c r="AO47" i="2"/>
  <c r="AQ47" i="2"/>
  <c r="AR47" i="2"/>
  <c r="AS47" i="2"/>
  <c r="AT47" i="2"/>
  <c r="AU47" i="2"/>
  <c r="AV47" i="2"/>
  <c r="AY47" i="2"/>
  <c r="AZ47" i="2"/>
  <c r="BC47" i="2"/>
  <c r="BD47" i="2"/>
  <c r="BE47" i="2"/>
  <c r="AA48" i="2"/>
  <c r="AC48" i="2"/>
  <c r="AD48" i="2" s="1"/>
  <c r="AG48" i="2"/>
  <c r="AH48" i="2"/>
  <c r="AI48" i="2"/>
  <c r="AJ48" i="2"/>
  <c r="AK48" i="2"/>
  <c r="AL48" i="2"/>
  <c r="AM48" i="2"/>
  <c r="AN48" i="2"/>
  <c r="AO48" i="2"/>
  <c r="AQ48" i="2"/>
  <c r="AR48" i="2"/>
  <c r="AS48" i="2"/>
  <c r="AT48" i="2"/>
  <c r="AU48" i="2"/>
  <c r="AV48" i="2"/>
  <c r="AY48" i="2"/>
  <c r="AZ48" i="2"/>
  <c r="BC48" i="2"/>
  <c r="BD48" i="2"/>
  <c r="BE48" i="2"/>
  <c r="AA49" i="2"/>
  <c r="AW49" i="2" s="1"/>
  <c r="AC49" i="2"/>
  <c r="AD49" i="2" s="1"/>
  <c r="AG49" i="2"/>
  <c r="AH49" i="2"/>
  <c r="AI49" i="2"/>
  <c r="AJ49" i="2"/>
  <c r="AK49" i="2"/>
  <c r="AL49" i="2"/>
  <c r="AM49" i="2"/>
  <c r="AN49" i="2"/>
  <c r="AO49" i="2"/>
  <c r="AQ49" i="2"/>
  <c r="AR49" i="2"/>
  <c r="AS49" i="2"/>
  <c r="AT49" i="2"/>
  <c r="AU49" i="2"/>
  <c r="AV49" i="2"/>
  <c r="AY49" i="2"/>
  <c r="AZ49" i="2"/>
  <c r="BC49" i="2"/>
  <c r="BD49" i="2"/>
  <c r="BE49" i="2"/>
  <c r="AA50" i="2"/>
  <c r="AW50" i="2" s="1"/>
  <c r="AC50" i="2"/>
  <c r="AD50" i="2" s="1"/>
  <c r="AG50" i="2"/>
  <c r="AH50" i="2"/>
  <c r="AI50" i="2"/>
  <c r="AJ50" i="2"/>
  <c r="AK50" i="2"/>
  <c r="AL50" i="2"/>
  <c r="AM50" i="2"/>
  <c r="AN50" i="2"/>
  <c r="AO50" i="2"/>
  <c r="AQ50" i="2"/>
  <c r="AR50" i="2"/>
  <c r="AS50" i="2"/>
  <c r="AT50" i="2"/>
  <c r="AU50" i="2"/>
  <c r="AV50" i="2"/>
  <c r="AY50" i="2"/>
  <c r="AZ50" i="2"/>
  <c r="BC50" i="2"/>
  <c r="BD50" i="2"/>
  <c r="BE50" i="2"/>
  <c r="BG50" i="2"/>
  <c r="AA51" i="2"/>
  <c r="AW51" i="2" s="1"/>
  <c r="AC51" i="2"/>
  <c r="AD51" i="2" s="1"/>
  <c r="AG51" i="2"/>
  <c r="AH51" i="2"/>
  <c r="AI51" i="2"/>
  <c r="AJ51" i="2"/>
  <c r="AK51" i="2"/>
  <c r="AL51" i="2"/>
  <c r="AM51" i="2"/>
  <c r="AN51" i="2"/>
  <c r="AO51" i="2"/>
  <c r="AQ51" i="2"/>
  <c r="AR51" i="2"/>
  <c r="AS51" i="2"/>
  <c r="AT51" i="2"/>
  <c r="AU51" i="2"/>
  <c r="AV51" i="2"/>
  <c r="AY51" i="2"/>
  <c r="AZ51" i="2"/>
  <c r="BC51" i="2"/>
  <c r="BD51" i="2"/>
  <c r="BE51" i="2"/>
  <c r="AA52" i="2"/>
  <c r="AB52" i="2" s="1"/>
  <c r="AC52" i="2"/>
  <c r="AD52" i="2" s="1"/>
  <c r="AG52" i="2"/>
  <c r="AH52" i="2"/>
  <c r="AI52" i="2"/>
  <c r="AJ52" i="2"/>
  <c r="AK52" i="2"/>
  <c r="AL52" i="2"/>
  <c r="AM52" i="2"/>
  <c r="AN52" i="2"/>
  <c r="AO52" i="2"/>
  <c r="AQ52" i="2"/>
  <c r="AR52" i="2"/>
  <c r="AS52" i="2"/>
  <c r="AT52" i="2"/>
  <c r="AU52" i="2"/>
  <c r="AV52" i="2"/>
  <c r="AY52" i="2"/>
  <c r="AZ52" i="2"/>
  <c r="BC52" i="2"/>
  <c r="BD52" i="2"/>
  <c r="BE52" i="2"/>
  <c r="AA53" i="2"/>
  <c r="AW53" i="2" s="1"/>
  <c r="AC53" i="2"/>
  <c r="AD53" i="2" s="1"/>
  <c r="AG53" i="2"/>
  <c r="AH53" i="2"/>
  <c r="AI53" i="2"/>
  <c r="AJ53" i="2"/>
  <c r="AK53" i="2"/>
  <c r="AL53" i="2"/>
  <c r="AM53" i="2"/>
  <c r="AN53" i="2"/>
  <c r="AO53" i="2"/>
  <c r="AQ53" i="2"/>
  <c r="AR53" i="2"/>
  <c r="AS53" i="2"/>
  <c r="AT53" i="2"/>
  <c r="AU53" i="2"/>
  <c r="AV53" i="2"/>
  <c r="AY53" i="2"/>
  <c r="AZ53" i="2"/>
  <c r="BC53" i="2"/>
  <c r="BD53" i="2"/>
  <c r="BE53" i="2"/>
  <c r="AA54" i="2"/>
  <c r="AC54" i="2"/>
  <c r="AD54" i="2" s="1"/>
  <c r="AG54" i="2"/>
  <c r="AH54" i="2"/>
  <c r="AI54" i="2"/>
  <c r="AJ54" i="2"/>
  <c r="AK54" i="2"/>
  <c r="AL54" i="2"/>
  <c r="AM54" i="2"/>
  <c r="AN54" i="2"/>
  <c r="AO54" i="2"/>
  <c r="AQ54" i="2"/>
  <c r="AR54" i="2"/>
  <c r="AS54" i="2"/>
  <c r="AT54" i="2"/>
  <c r="AU54" i="2"/>
  <c r="AV54" i="2"/>
  <c r="AY54" i="2"/>
  <c r="AZ54" i="2"/>
  <c r="BC54" i="2"/>
  <c r="BD54" i="2"/>
  <c r="BE54" i="2"/>
  <c r="AA55" i="2"/>
  <c r="BA55" i="2" s="1"/>
  <c r="AC55" i="2"/>
  <c r="AD55" i="2" s="1"/>
  <c r="AG55" i="2"/>
  <c r="AH55" i="2"/>
  <c r="AI55" i="2"/>
  <c r="AJ55" i="2"/>
  <c r="AK55" i="2"/>
  <c r="AL55" i="2"/>
  <c r="AM55" i="2"/>
  <c r="AN55" i="2"/>
  <c r="AO55" i="2"/>
  <c r="AQ55" i="2"/>
  <c r="AR55" i="2"/>
  <c r="AS55" i="2"/>
  <c r="AT55" i="2"/>
  <c r="AU55" i="2"/>
  <c r="AV55" i="2"/>
  <c r="AY55" i="2"/>
  <c r="AZ55" i="2"/>
  <c r="BC55" i="2"/>
  <c r="BD55" i="2"/>
  <c r="BE55" i="2"/>
  <c r="AA56" i="2"/>
  <c r="AC56" i="2"/>
  <c r="AD56" i="2" s="1"/>
  <c r="AG56" i="2"/>
  <c r="AH56" i="2"/>
  <c r="AI56" i="2"/>
  <c r="AJ56" i="2"/>
  <c r="AK56" i="2"/>
  <c r="AL56" i="2"/>
  <c r="AM56" i="2"/>
  <c r="AN56" i="2"/>
  <c r="AO56" i="2"/>
  <c r="AQ56" i="2"/>
  <c r="AR56" i="2"/>
  <c r="AS56" i="2"/>
  <c r="AT56" i="2"/>
  <c r="AU56" i="2"/>
  <c r="AV56" i="2"/>
  <c r="AY56" i="2"/>
  <c r="AZ56" i="2"/>
  <c r="BC56" i="2"/>
  <c r="BD56" i="2"/>
  <c r="BE56" i="2"/>
  <c r="AA57" i="2"/>
  <c r="BA57" i="2" s="1"/>
  <c r="AC57" i="2"/>
  <c r="AD57" i="2" s="1"/>
  <c r="AG57" i="2"/>
  <c r="AH57" i="2"/>
  <c r="AI57" i="2"/>
  <c r="AJ57" i="2"/>
  <c r="AK57" i="2"/>
  <c r="AL57" i="2"/>
  <c r="AM57" i="2"/>
  <c r="AN57" i="2"/>
  <c r="AO57" i="2"/>
  <c r="AQ57" i="2"/>
  <c r="AR57" i="2"/>
  <c r="AS57" i="2"/>
  <c r="AT57" i="2"/>
  <c r="AU57" i="2"/>
  <c r="AV57" i="2"/>
  <c r="AY57" i="2"/>
  <c r="AZ57" i="2"/>
  <c r="BC57" i="2"/>
  <c r="BD57" i="2"/>
  <c r="BE57" i="2"/>
  <c r="AA58" i="2"/>
  <c r="AC58" i="2"/>
  <c r="AD58" i="2" s="1"/>
  <c r="AG58" i="2"/>
  <c r="AH58" i="2"/>
  <c r="AI58" i="2"/>
  <c r="AJ58" i="2"/>
  <c r="AK58" i="2"/>
  <c r="AL58" i="2"/>
  <c r="AM58" i="2"/>
  <c r="AN58" i="2"/>
  <c r="AO58" i="2"/>
  <c r="AQ58" i="2"/>
  <c r="AR58" i="2"/>
  <c r="AS58" i="2"/>
  <c r="AT58" i="2"/>
  <c r="AU58" i="2"/>
  <c r="AV58" i="2"/>
  <c r="AY58" i="2"/>
  <c r="AZ58" i="2"/>
  <c r="BC58" i="2"/>
  <c r="BD58" i="2"/>
  <c r="BE58" i="2"/>
  <c r="AA59" i="2"/>
  <c r="BA59" i="2" s="1"/>
  <c r="AC59" i="2"/>
  <c r="AD59" i="2" s="1"/>
  <c r="AG59" i="2"/>
  <c r="AH59" i="2"/>
  <c r="AI59" i="2"/>
  <c r="AJ59" i="2"/>
  <c r="AK59" i="2"/>
  <c r="AL59" i="2"/>
  <c r="AM59" i="2"/>
  <c r="AN59" i="2"/>
  <c r="AO59" i="2"/>
  <c r="AQ59" i="2"/>
  <c r="AR59" i="2"/>
  <c r="AS59" i="2"/>
  <c r="AT59" i="2"/>
  <c r="AU59" i="2"/>
  <c r="AV59" i="2"/>
  <c r="AY59" i="2"/>
  <c r="AZ59" i="2"/>
  <c r="BC59" i="2"/>
  <c r="BD59" i="2"/>
  <c r="BE59" i="2"/>
  <c r="AA60" i="2"/>
  <c r="AC60" i="2"/>
  <c r="AD60" i="2" s="1"/>
  <c r="AG60" i="2"/>
  <c r="AH60" i="2"/>
  <c r="AI60" i="2"/>
  <c r="AJ60" i="2"/>
  <c r="AK60" i="2"/>
  <c r="AL60" i="2"/>
  <c r="AM60" i="2"/>
  <c r="AN60" i="2"/>
  <c r="AO60" i="2"/>
  <c r="AQ60" i="2"/>
  <c r="AR60" i="2"/>
  <c r="AS60" i="2"/>
  <c r="AT60" i="2"/>
  <c r="AU60" i="2"/>
  <c r="AV60" i="2"/>
  <c r="AY60" i="2"/>
  <c r="AZ60" i="2"/>
  <c r="BC60" i="2"/>
  <c r="BD60" i="2"/>
  <c r="BE60" i="2"/>
  <c r="AA61" i="2"/>
  <c r="BA61" i="2" s="1"/>
  <c r="AC61" i="2"/>
  <c r="AD61" i="2" s="1"/>
  <c r="AG61" i="2"/>
  <c r="AH61" i="2"/>
  <c r="AI61" i="2"/>
  <c r="AJ61" i="2"/>
  <c r="AK61" i="2"/>
  <c r="AL61" i="2"/>
  <c r="AM61" i="2"/>
  <c r="AN61" i="2"/>
  <c r="AO61" i="2"/>
  <c r="AQ61" i="2"/>
  <c r="AR61" i="2"/>
  <c r="AS61" i="2"/>
  <c r="AT61" i="2"/>
  <c r="AU61" i="2"/>
  <c r="AV61" i="2"/>
  <c r="AY61" i="2"/>
  <c r="AZ61" i="2"/>
  <c r="BC61" i="2"/>
  <c r="BD61" i="2"/>
  <c r="BE61" i="2"/>
  <c r="AA62" i="2"/>
  <c r="AC62" i="2"/>
  <c r="AD62" i="2" s="1"/>
  <c r="AG62" i="2"/>
  <c r="AH62" i="2"/>
  <c r="AI62" i="2"/>
  <c r="AJ62" i="2"/>
  <c r="AK62" i="2"/>
  <c r="AL62" i="2"/>
  <c r="AM62" i="2"/>
  <c r="AN62" i="2"/>
  <c r="AO62" i="2"/>
  <c r="AQ62" i="2"/>
  <c r="AR62" i="2"/>
  <c r="AS62" i="2"/>
  <c r="AT62" i="2"/>
  <c r="AU62" i="2"/>
  <c r="AV62" i="2"/>
  <c r="AY62" i="2"/>
  <c r="AZ62" i="2"/>
  <c r="BC62" i="2"/>
  <c r="BD62" i="2"/>
  <c r="BE62" i="2"/>
  <c r="AA63" i="2"/>
  <c r="BA63" i="2" s="1"/>
  <c r="AC63" i="2"/>
  <c r="AD63" i="2" s="1"/>
  <c r="AG63" i="2"/>
  <c r="AH63" i="2"/>
  <c r="AI63" i="2"/>
  <c r="AJ63" i="2"/>
  <c r="AK63" i="2"/>
  <c r="AL63" i="2"/>
  <c r="AM63" i="2"/>
  <c r="AN63" i="2"/>
  <c r="AO63" i="2"/>
  <c r="AQ63" i="2"/>
  <c r="AR63" i="2"/>
  <c r="AS63" i="2"/>
  <c r="AT63" i="2"/>
  <c r="AU63" i="2"/>
  <c r="AV63" i="2"/>
  <c r="AY63" i="2"/>
  <c r="AZ63" i="2"/>
  <c r="BC63" i="2"/>
  <c r="BD63" i="2"/>
  <c r="BE63" i="2"/>
  <c r="AA64" i="2"/>
  <c r="AC64" i="2"/>
  <c r="AD64" i="2" s="1"/>
  <c r="AG64" i="2"/>
  <c r="AH64" i="2"/>
  <c r="AI64" i="2"/>
  <c r="AJ64" i="2"/>
  <c r="AK64" i="2"/>
  <c r="AL64" i="2"/>
  <c r="AM64" i="2"/>
  <c r="AN64" i="2"/>
  <c r="AO64" i="2"/>
  <c r="AQ64" i="2"/>
  <c r="AR64" i="2"/>
  <c r="AS64" i="2"/>
  <c r="AT64" i="2"/>
  <c r="AU64" i="2"/>
  <c r="AV64" i="2"/>
  <c r="AY64" i="2"/>
  <c r="AZ64" i="2"/>
  <c r="BC64" i="2"/>
  <c r="BD64" i="2"/>
  <c r="BE64" i="2"/>
  <c r="AA65" i="2"/>
  <c r="BA65" i="2" s="1"/>
  <c r="AC65" i="2"/>
  <c r="AD65" i="2" s="1"/>
  <c r="AG65" i="2"/>
  <c r="AH65" i="2"/>
  <c r="AI65" i="2"/>
  <c r="AJ65" i="2"/>
  <c r="AK65" i="2"/>
  <c r="AL65" i="2"/>
  <c r="AM65" i="2"/>
  <c r="AN65" i="2"/>
  <c r="AO65" i="2"/>
  <c r="AQ65" i="2"/>
  <c r="AR65" i="2"/>
  <c r="AS65" i="2"/>
  <c r="AT65" i="2"/>
  <c r="AU65" i="2"/>
  <c r="AV65" i="2"/>
  <c r="AY65" i="2"/>
  <c r="AZ65" i="2"/>
  <c r="BC65" i="2"/>
  <c r="BD65" i="2"/>
  <c r="BE65" i="2"/>
  <c r="AA66" i="2"/>
  <c r="AC66" i="2"/>
  <c r="AD66" i="2" s="1"/>
  <c r="AG66" i="2"/>
  <c r="AH66" i="2"/>
  <c r="AI66" i="2"/>
  <c r="AJ66" i="2"/>
  <c r="AK66" i="2"/>
  <c r="AL66" i="2"/>
  <c r="AM66" i="2"/>
  <c r="AN66" i="2"/>
  <c r="AO66" i="2"/>
  <c r="AQ66" i="2"/>
  <c r="AR66" i="2"/>
  <c r="AS66" i="2"/>
  <c r="AT66" i="2"/>
  <c r="AU66" i="2"/>
  <c r="AV66" i="2"/>
  <c r="AY66" i="2"/>
  <c r="AZ66" i="2"/>
  <c r="BC66" i="2"/>
  <c r="BD66" i="2"/>
  <c r="BE66" i="2"/>
  <c r="AA67" i="2"/>
  <c r="BA67" i="2" s="1"/>
  <c r="AC67" i="2"/>
  <c r="AD67" i="2" s="1"/>
  <c r="AG67" i="2"/>
  <c r="AH67" i="2"/>
  <c r="AI67" i="2"/>
  <c r="AJ67" i="2"/>
  <c r="AK67" i="2"/>
  <c r="AL67" i="2"/>
  <c r="AM67" i="2"/>
  <c r="AN67" i="2"/>
  <c r="AO67" i="2"/>
  <c r="AQ67" i="2"/>
  <c r="AR67" i="2"/>
  <c r="AS67" i="2"/>
  <c r="AT67" i="2"/>
  <c r="AU67" i="2"/>
  <c r="AV67" i="2"/>
  <c r="AY67" i="2"/>
  <c r="AZ67" i="2"/>
  <c r="BC67" i="2"/>
  <c r="BD67" i="2"/>
  <c r="BE67" i="2"/>
  <c r="AA68" i="2"/>
  <c r="AC68" i="2"/>
  <c r="AD68" i="2" s="1"/>
  <c r="AG68" i="2"/>
  <c r="AH68" i="2"/>
  <c r="AI68" i="2"/>
  <c r="AJ68" i="2"/>
  <c r="AK68" i="2"/>
  <c r="AL68" i="2"/>
  <c r="AM68" i="2"/>
  <c r="AN68" i="2"/>
  <c r="AO68" i="2"/>
  <c r="AQ68" i="2"/>
  <c r="AR68" i="2"/>
  <c r="AS68" i="2"/>
  <c r="AT68" i="2"/>
  <c r="AU68" i="2"/>
  <c r="AV68" i="2"/>
  <c r="AY68" i="2"/>
  <c r="AZ68" i="2"/>
  <c r="BC68" i="2"/>
  <c r="BD68" i="2"/>
  <c r="BE68" i="2"/>
  <c r="AA69" i="2"/>
  <c r="BA69" i="2" s="1"/>
  <c r="AC69" i="2"/>
  <c r="AD69" i="2" s="1"/>
  <c r="AG69" i="2"/>
  <c r="AH69" i="2"/>
  <c r="AI69" i="2"/>
  <c r="AJ69" i="2"/>
  <c r="AK69" i="2"/>
  <c r="AL69" i="2"/>
  <c r="AM69" i="2"/>
  <c r="AN69" i="2"/>
  <c r="AO69" i="2"/>
  <c r="AQ69" i="2"/>
  <c r="AR69" i="2"/>
  <c r="AS69" i="2"/>
  <c r="AT69" i="2"/>
  <c r="AU69" i="2"/>
  <c r="AV69" i="2"/>
  <c r="AY69" i="2"/>
  <c r="AZ69" i="2"/>
  <c r="BC69" i="2"/>
  <c r="BD69" i="2"/>
  <c r="BE69" i="2"/>
  <c r="AA70" i="2"/>
  <c r="AC70" i="2"/>
  <c r="AD70" i="2" s="1"/>
  <c r="AG70" i="2"/>
  <c r="AH70" i="2"/>
  <c r="AI70" i="2"/>
  <c r="AJ70" i="2"/>
  <c r="AK70" i="2"/>
  <c r="AL70" i="2"/>
  <c r="AM70" i="2"/>
  <c r="AN70" i="2"/>
  <c r="AO70" i="2"/>
  <c r="AQ70" i="2"/>
  <c r="AR70" i="2"/>
  <c r="AS70" i="2"/>
  <c r="AT70" i="2"/>
  <c r="AU70" i="2"/>
  <c r="AV70" i="2"/>
  <c r="AY70" i="2"/>
  <c r="AZ70" i="2"/>
  <c r="BC70" i="2"/>
  <c r="BD70" i="2"/>
  <c r="BE70" i="2"/>
  <c r="AA71" i="2"/>
  <c r="BA71" i="2" s="1"/>
  <c r="AC71" i="2"/>
  <c r="AD71" i="2" s="1"/>
  <c r="AG71" i="2"/>
  <c r="AH71" i="2"/>
  <c r="AI71" i="2"/>
  <c r="AJ71" i="2"/>
  <c r="AK71" i="2"/>
  <c r="AL71" i="2"/>
  <c r="AM71" i="2"/>
  <c r="AN71" i="2"/>
  <c r="AO71" i="2"/>
  <c r="AQ71" i="2"/>
  <c r="AR71" i="2"/>
  <c r="AS71" i="2"/>
  <c r="AT71" i="2"/>
  <c r="AU71" i="2"/>
  <c r="AV71" i="2"/>
  <c r="AY71" i="2"/>
  <c r="AZ71" i="2"/>
  <c r="BC71" i="2"/>
  <c r="BD71" i="2"/>
  <c r="BE71" i="2"/>
  <c r="AA72" i="2"/>
  <c r="AC72" i="2"/>
  <c r="AD72" i="2" s="1"/>
  <c r="AG72" i="2"/>
  <c r="AH72" i="2"/>
  <c r="AI72" i="2"/>
  <c r="AJ72" i="2"/>
  <c r="AK72" i="2"/>
  <c r="AL72" i="2"/>
  <c r="AM72" i="2"/>
  <c r="AN72" i="2"/>
  <c r="AO72" i="2"/>
  <c r="AQ72" i="2"/>
  <c r="AR72" i="2"/>
  <c r="AS72" i="2"/>
  <c r="AT72" i="2"/>
  <c r="AU72" i="2"/>
  <c r="AV72" i="2"/>
  <c r="AY72" i="2"/>
  <c r="AZ72" i="2"/>
  <c r="BC72" i="2"/>
  <c r="BD72" i="2"/>
  <c r="BE72" i="2"/>
  <c r="AA73" i="2"/>
  <c r="BA73" i="2" s="1"/>
  <c r="AC73" i="2"/>
  <c r="AD73" i="2" s="1"/>
  <c r="AG73" i="2"/>
  <c r="AH73" i="2"/>
  <c r="AI73" i="2"/>
  <c r="AJ73" i="2"/>
  <c r="AK73" i="2"/>
  <c r="AL73" i="2"/>
  <c r="AM73" i="2"/>
  <c r="AN73" i="2"/>
  <c r="AO73" i="2"/>
  <c r="AQ73" i="2"/>
  <c r="AR73" i="2"/>
  <c r="AS73" i="2"/>
  <c r="AT73" i="2"/>
  <c r="AU73" i="2"/>
  <c r="AV73" i="2"/>
  <c r="AY73" i="2"/>
  <c r="AZ73" i="2"/>
  <c r="BC73" i="2"/>
  <c r="BD73" i="2"/>
  <c r="BE73" i="2"/>
  <c r="AA74" i="2"/>
  <c r="AC74" i="2"/>
  <c r="AD74" i="2" s="1"/>
  <c r="AG74" i="2"/>
  <c r="AH74" i="2"/>
  <c r="AI74" i="2"/>
  <c r="AJ74" i="2"/>
  <c r="AK74" i="2"/>
  <c r="AL74" i="2"/>
  <c r="AM74" i="2"/>
  <c r="AN74" i="2"/>
  <c r="AO74" i="2"/>
  <c r="AQ74" i="2"/>
  <c r="AR74" i="2"/>
  <c r="AS74" i="2"/>
  <c r="AT74" i="2"/>
  <c r="AU74" i="2"/>
  <c r="AV74" i="2"/>
  <c r="AY74" i="2"/>
  <c r="AZ74" i="2"/>
  <c r="BC74" i="2"/>
  <c r="BD74" i="2"/>
  <c r="BE74" i="2"/>
  <c r="AA75" i="2"/>
  <c r="BA75" i="2" s="1"/>
  <c r="AC75" i="2"/>
  <c r="AD75" i="2" s="1"/>
  <c r="AG75" i="2"/>
  <c r="AH75" i="2"/>
  <c r="AI75" i="2"/>
  <c r="AJ75" i="2"/>
  <c r="AK75" i="2"/>
  <c r="AL75" i="2"/>
  <c r="AM75" i="2"/>
  <c r="AN75" i="2"/>
  <c r="AO75" i="2"/>
  <c r="AQ75" i="2"/>
  <c r="AR75" i="2"/>
  <c r="AS75" i="2"/>
  <c r="AT75" i="2"/>
  <c r="AU75" i="2"/>
  <c r="AV75" i="2"/>
  <c r="AY75" i="2"/>
  <c r="AZ75" i="2"/>
  <c r="BC75" i="2"/>
  <c r="BD75" i="2"/>
  <c r="BE75" i="2"/>
  <c r="AA76" i="2"/>
  <c r="AC76" i="2"/>
  <c r="AD76" i="2" s="1"/>
  <c r="AG76" i="2"/>
  <c r="AH76" i="2"/>
  <c r="AI76" i="2"/>
  <c r="AJ76" i="2"/>
  <c r="AK76" i="2"/>
  <c r="AL76" i="2"/>
  <c r="AM76" i="2"/>
  <c r="AN76" i="2"/>
  <c r="AO76" i="2"/>
  <c r="AQ76" i="2"/>
  <c r="AR76" i="2"/>
  <c r="AS76" i="2"/>
  <c r="AT76" i="2"/>
  <c r="AU76" i="2"/>
  <c r="AV76" i="2"/>
  <c r="AY76" i="2"/>
  <c r="AZ76" i="2"/>
  <c r="BC76" i="2"/>
  <c r="BD76" i="2"/>
  <c r="BE76" i="2"/>
  <c r="AA77" i="2"/>
  <c r="BA77" i="2" s="1"/>
  <c r="AC77" i="2"/>
  <c r="AD77" i="2" s="1"/>
  <c r="AG77" i="2"/>
  <c r="AH77" i="2"/>
  <c r="AI77" i="2"/>
  <c r="AJ77" i="2"/>
  <c r="AK77" i="2"/>
  <c r="AL77" i="2"/>
  <c r="AM77" i="2"/>
  <c r="AN77" i="2"/>
  <c r="AO77" i="2"/>
  <c r="AQ77" i="2"/>
  <c r="AR77" i="2"/>
  <c r="AS77" i="2"/>
  <c r="AT77" i="2"/>
  <c r="AU77" i="2"/>
  <c r="AV77" i="2"/>
  <c r="AY77" i="2"/>
  <c r="AZ77" i="2"/>
  <c r="BC77" i="2"/>
  <c r="BD77" i="2"/>
  <c r="BE77" i="2"/>
  <c r="AA78" i="2"/>
  <c r="AC78" i="2"/>
  <c r="AD78" i="2" s="1"/>
  <c r="AG78" i="2"/>
  <c r="AH78" i="2"/>
  <c r="AI78" i="2"/>
  <c r="AJ78" i="2"/>
  <c r="AK78" i="2"/>
  <c r="AL78" i="2"/>
  <c r="AM78" i="2"/>
  <c r="AN78" i="2"/>
  <c r="AO78" i="2"/>
  <c r="AQ78" i="2"/>
  <c r="AR78" i="2"/>
  <c r="AS78" i="2"/>
  <c r="AT78" i="2"/>
  <c r="AU78" i="2"/>
  <c r="AV78" i="2"/>
  <c r="AY78" i="2"/>
  <c r="AZ78" i="2"/>
  <c r="BC78" i="2"/>
  <c r="BD78" i="2"/>
  <c r="BE78" i="2"/>
  <c r="AA79" i="2"/>
  <c r="AC79" i="2"/>
  <c r="AD79" i="2" s="1"/>
  <c r="AG79" i="2"/>
  <c r="AH79" i="2"/>
  <c r="AI79" i="2"/>
  <c r="AJ79" i="2"/>
  <c r="AK79" i="2"/>
  <c r="AL79" i="2"/>
  <c r="AM79" i="2"/>
  <c r="AN79" i="2"/>
  <c r="AO79" i="2"/>
  <c r="AQ79" i="2"/>
  <c r="AR79" i="2"/>
  <c r="AS79" i="2"/>
  <c r="AT79" i="2"/>
  <c r="AU79" i="2"/>
  <c r="AV79" i="2"/>
  <c r="AY79" i="2"/>
  <c r="AZ79" i="2"/>
  <c r="BC79" i="2"/>
  <c r="BD79" i="2"/>
  <c r="BE79" i="2"/>
  <c r="BG79" i="2"/>
  <c r="AA80" i="2"/>
  <c r="AW80" i="2" s="1"/>
  <c r="AC80" i="2"/>
  <c r="AD80" i="2" s="1"/>
  <c r="AG80" i="2"/>
  <c r="AH80" i="2"/>
  <c r="AI80" i="2"/>
  <c r="AJ80" i="2"/>
  <c r="AK80" i="2"/>
  <c r="AL80" i="2"/>
  <c r="AM80" i="2"/>
  <c r="AN80" i="2"/>
  <c r="AO80" i="2"/>
  <c r="AQ80" i="2"/>
  <c r="AR80" i="2"/>
  <c r="AS80" i="2"/>
  <c r="AT80" i="2"/>
  <c r="AU80" i="2"/>
  <c r="AV80" i="2"/>
  <c r="AY80" i="2"/>
  <c r="AZ80" i="2"/>
  <c r="BC80" i="2"/>
  <c r="BD80" i="2"/>
  <c r="BE80" i="2"/>
  <c r="AA81" i="2"/>
  <c r="BA81" i="2" s="1"/>
  <c r="AC81" i="2"/>
  <c r="AD81" i="2" s="1"/>
  <c r="AG81" i="2"/>
  <c r="AH81" i="2"/>
  <c r="AI81" i="2"/>
  <c r="AJ81" i="2"/>
  <c r="AK81" i="2"/>
  <c r="AL81" i="2"/>
  <c r="AM81" i="2"/>
  <c r="AN81" i="2"/>
  <c r="AO81" i="2"/>
  <c r="AQ81" i="2"/>
  <c r="AR81" i="2"/>
  <c r="AS81" i="2"/>
  <c r="AT81" i="2"/>
  <c r="AU81" i="2"/>
  <c r="AV81" i="2"/>
  <c r="AY81" i="2"/>
  <c r="AZ81" i="2"/>
  <c r="BC81" i="2"/>
  <c r="BD81" i="2"/>
  <c r="BE81" i="2"/>
  <c r="AA82" i="2"/>
  <c r="AB82" i="2" s="1"/>
  <c r="AC82" i="2"/>
  <c r="AD82" i="2" s="1"/>
  <c r="AG82" i="2"/>
  <c r="AH82" i="2"/>
  <c r="AI82" i="2"/>
  <c r="AJ82" i="2"/>
  <c r="AK82" i="2"/>
  <c r="AL82" i="2"/>
  <c r="AM82" i="2"/>
  <c r="AN82" i="2"/>
  <c r="AO82" i="2"/>
  <c r="AQ82" i="2"/>
  <c r="AR82" i="2"/>
  <c r="AS82" i="2"/>
  <c r="AT82" i="2"/>
  <c r="AU82" i="2"/>
  <c r="AV82" i="2"/>
  <c r="AY82" i="2"/>
  <c r="AZ82" i="2"/>
  <c r="BC82" i="2"/>
  <c r="BD82" i="2"/>
  <c r="BE82" i="2"/>
  <c r="AA83" i="2"/>
  <c r="AC83" i="2"/>
  <c r="AD83" i="2" s="1"/>
  <c r="AG83" i="2"/>
  <c r="AH83" i="2"/>
  <c r="AI83" i="2"/>
  <c r="AJ83" i="2"/>
  <c r="AK83" i="2"/>
  <c r="AL83" i="2"/>
  <c r="AM83" i="2"/>
  <c r="AN83" i="2"/>
  <c r="AO83" i="2"/>
  <c r="AQ83" i="2"/>
  <c r="AR83" i="2"/>
  <c r="AS83" i="2"/>
  <c r="AT83" i="2"/>
  <c r="AU83" i="2"/>
  <c r="AV83" i="2"/>
  <c r="AY83" i="2"/>
  <c r="AZ83" i="2"/>
  <c r="BC83" i="2"/>
  <c r="BD83" i="2"/>
  <c r="BE83" i="2"/>
  <c r="AA84" i="2"/>
  <c r="BA84" i="2" s="1"/>
  <c r="AC84" i="2"/>
  <c r="AD84" i="2" s="1"/>
  <c r="AG84" i="2"/>
  <c r="AH84" i="2"/>
  <c r="AI84" i="2"/>
  <c r="AJ84" i="2"/>
  <c r="AK84" i="2"/>
  <c r="AL84" i="2"/>
  <c r="AM84" i="2"/>
  <c r="AN84" i="2"/>
  <c r="AO84" i="2"/>
  <c r="AQ84" i="2"/>
  <c r="AR84" i="2"/>
  <c r="AS84" i="2"/>
  <c r="AT84" i="2"/>
  <c r="AU84" i="2"/>
  <c r="AV84" i="2"/>
  <c r="AY84" i="2"/>
  <c r="AZ84" i="2"/>
  <c r="BC84" i="2"/>
  <c r="BD84" i="2"/>
  <c r="BE84" i="2"/>
  <c r="AA85" i="2"/>
  <c r="AB85" i="2" s="1"/>
  <c r="AC85" i="2"/>
  <c r="AD85" i="2" s="1"/>
  <c r="AG85" i="2"/>
  <c r="AH85" i="2"/>
  <c r="AI85" i="2"/>
  <c r="AJ85" i="2"/>
  <c r="AK85" i="2"/>
  <c r="AL85" i="2"/>
  <c r="AM85" i="2"/>
  <c r="AN85" i="2"/>
  <c r="AO85" i="2"/>
  <c r="AQ85" i="2"/>
  <c r="AR85" i="2"/>
  <c r="AS85" i="2"/>
  <c r="AT85" i="2"/>
  <c r="AU85" i="2"/>
  <c r="AV85" i="2"/>
  <c r="AY85" i="2"/>
  <c r="AZ85" i="2"/>
  <c r="BC85" i="2"/>
  <c r="BD85" i="2"/>
  <c r="BE85" i="2"/>
  <c r="AA86" i="2"/>
  <c r="BA86" i="2" s="1"/>
  <c r="AC86" i="2"/>
  <c r="AD86" i="2" s="1"/>
  <c r="AG86" i="2"/>
  <c r="AH86" i="2"/>
  <c r="AI86" i="2"/>
  <c r="AJ86" i="2"/>
  <c r="AK86" i="2"/>
  <c r="AL86" i="2"/>
  <c r="AM86" i="2"/>
  <c r="AN86" i="2"/>
  <c r="AO86" i="2"/>
  <c r="AQ86" i="2"/>
  <c r="AR86" i="2"/>
  <c r="AS86" i="2"/>
  <c r="AT86" i="2"/>
  <c r="AU86" i="2"/>
  <c r="AV86" i="2"/>
  <c r="AY86" i="2"/>
  <c r="AZ86" i="2"/>
  <c r="BC86" i="2"/>
  <c r="BD86" i="2"/>
  <c r="BE86" i="2"/>
  <c r="AA87" i="2"/>
  <c r="BA87" i="2" s="1"/>
  <c r="AC87" i="2"/>
  <c r="AD87" i="2" s="1"/>
  <c r="AG87" i="2"/>
  <c r="AH87" i="2"/>
  <c r="AI87" i="2"/>
  <c r="AJ87" i="2"/>
  <c r="AK87" i="2"/>
  <c r="AL87" i="2"/>
  <c r="AM87" i="2"/>
  <c r="AN87" i="2"/>
  <c r="AO87" i="2"/>
  <c r="AQ87" i="2"/>
  <c r="AR87" i="2"/>
  <c r="AS87" i="2"/>
  <c r="AT87" i="2"/>
  <c r="AU87" i="2"/>
  <c r="AV87" i="2"/>
  <c r="AY87" i="2"/>
  <c r="AZ87" i="2"/>
  <c r="BC87" i="2"/>
  <c r="BD87" i="2"/>
  <c r="BE87" i="2"/>
  <c r="AA88" i="2"/>
  <c r="AC88" i="2"/>
  <c r="AD88" i="2" s="1"/>
  <c r="AG88" i="2"/>
  <c r="AH88" i="2"/>
  <c r="AI88" i="2"/>
  <c r="AJ88" i="2"/>
  <c r="AK88" i="2"/>
  <c r="AL88" i="2"/>
  <c r="AM88" i="2"/>
  <c r="AN88" i="2"/>
  <c r="AO88" i="2"/>
  <c r="AQ88" i="2"/>
  <c r="AR88" i="2"/>
  <c r="AS88" i="2"/>
  <c r="AT88" i="2"/>
  <c r="AU88" i="2"/>
  <c r="AV88" i="2"/>
  <c r="AY88" i="2"/>
  <c r="AZ88" i="2"/>
  <c r="BC88" i="2"/>
  <c r="BD88" i="2"/>
  <c r="BE88" i="2"/>
  <c r="AA89" i="2"/>
  <c r="AW89" i="2" s="1"/>
  <c r="AC89" i="2"/>
  <c r="AD89" i="2" s="1"/>
  <c r="AG89" i="2"/>
  <c r="AH89" i="2"/>
  <c r="AI89" i="2"/>
  <c r="AJ89" i="2"/>
  <c r="AK89" i="2"/>
  <c r="AL89" i="2"/>
  <c r="AM89" i="2"/>
  <c r="AN89" i="2"/>
  <c r="AO89" i="2"/>
  <c r="AQ89" i="2"/>
  <c r="AR89" i="2"/>
  <c r="AS89" i="2"/>
  <c r="AT89" i="2"/>
  <c r="AU89" i="2"/>
  <c r="AV89" i="2"/>
  <c r="AY89" i="2"/>
  <c r="AZ89" i="2"/>
  <c r="BC89" i="2"/>
  <c r="BD89" i="2"/>
  <c r="BE89" i="2"/>
  <c r="AA90" i="2"/>
  <c r="BA90" i="2" s="1"/>
  <c r="AC90" i="2"/>
  <c r="AD90" i="2" s="1"/>
  <c r="AG90" i="2"/>
  <c r="AH90" i="2"/>
  <c r="AI90" i="2"/>
  <c r="AJ90" i="2"/>
  <c r="AK90" i="2"/>
  <c r="AL90" i="2"/>
  <c r="AM90" i="2"/>
  <c r="AN90" i="2"/>
  <c r="AO90" i="2"/>
  <c r="AQ90" i="2"/>
  <c r="AR90" i="2"/>
  <c r="AS90" i="2"/>
  <c r="AT90" i="2"/>
  <c r="AU90" i="2"/>
  <c r="AV90" i="2"/>
  <c r="AY90" i="2"/>
  <c r="AZ90" i="2"/>
  <c r="BC90" i="2"/>
  <c r="BD90" i="2"/>
  <c r="BE90" i="2"/>
  <c r="AA91" i="2"/>
  <c r="AB91" i="2" s="1"/>
  <c r="AC91" i="2"/>
  <c r="AD91" i="2" s="1"/>
  <c r="AG91" i="2"/>
  <c r="AH91" i="2"/>
  <c r="AI91" i="2"/>
  <c r="AJ91" i="2"/>
  <c r="AK91" i="2"/>
  <c r="AL91" i="2"/>
  <c r="AM91" i="2"/>
  <c r="AN91" i="2"/>
  <c r="AO91" i="2"/>
  <c r="AQ91" i="2"/>
  <c r="AR91" i="2"/>
  <c r="AS91" i="2"/>
  <c r="AT91" i="2"/>
  <c r="AU91" i="2"/>
  <c r="AV91" i="2"/>
  <c r="AY91" i="2"/>
  <c r="AZ91" i="2"/>
  <c r="BC91" i="2"/>
  <c r="BD91" i="2"/>
  <c r="BE91" i="2"/>
  <c r="AA92" i="2"/>
  <c r="AB92" i="2" s="1"/>
  <c r="AC92" i="2"/>
  <c r="AD92" i="2" s="1"/>
  <c r="AG92" i="2"/>
  <c r="AH92" i="2"/>
  <c r="AI92" i="2"/>
  <c r="AJ92" i="2"/>
  <c r="AK92" i="2"/>
  <c r="AL92" i="2"/>
  <c r="AM92" i="2"/>
  <c r="AN92" i="2"/>
  <c r="AO92" i="2"/>
  <c r="AQ92" i="2"/>
  <c r="AR92" i="2"/>
  <c r="AS92" i="2"/>
  <c r="AT92" i="2"/>
  <c r="AU92" i="2"/>
  <c r="AV92" i="2"/>
  <c r="AY92" i="2"/>
  <c r="AZ92" i="2"/>
  <c r="BC92" i="2"/>
  <c r="BD92" i="2"/>
  <c r="BE92" i="2"/>
  <c r="AA93" i="2"/>
  <c r="AW93" i="2" s="1"/>
  <c r="AC93" i="2"/>
  <c r="AD93" i="2" s="1"/>
  <c r="AG93" i="2"/>
  <c r="AH93" i="2"/>
  <c r="AI93" i="2"/>
  <c r="AJ93" i="2"/>
  <c r="AK93" i="2"/>
  <c r="AL93" i="2"/>
  <c r="AM93" i="2"/>
  <c r="AN93" i="2"/>
  <c r="AO93" i="2"/>
  <c r="AQ93" i="2"/>
  <c r="AR93" i="2"/>
  <c r="AS93" i="2"/>
  <c r="AT93" i="2"/>
  <c r="AU93" i="2"/>
  <c r="AV93" i="2"/>
  <c r="AY93" i="2"/>
  <c r="AZ93" i="2"/>
  <c r="BC93" i="2"/>
  <c r="BD93" i="2"/>
  <c r="BE93" i="2"/>
  <c r="BG93" i="2"/>
  <c r="AA94" i="2"/>
  <c r="AB94" i="2" s="1"/>
  <c r="AC94" i="2"/>
  <c r="AD94" i="2" s="1"/>
  <c r="AG94" i="2"/>
  <c r="AH94" i="2"/>
  <c r="AI94" i="2"/>
  <c r="AJ94" i="2"/>
  <c r="AK94" i="2"/>
  <c r="AL94" i="2"/>
  <c r="AM94" i="2"/>
  <c r="AN94" i="2"/>
  <c r="AO94" i="2"/>
  <c r="AQ94" i="2"/>
  <c r="AR94" i="2"/>
  <c r="AS94" i="2"/>
  <c r="AT94" i="2"/>
  <c r="AU94" i="2"/>
  <c r="AV94" i="2"/>
  <c r="AY94" i="2"/>
  <c r="AZ94" i="2"/>
  <c r="BC94" i="2"/>
  <c r="BD94" i="2"/>
  <c r="BE94" i="2"/>
  <c r="AA95" i="2"/>
  <c r="AB95" i="2" s="1"/>
  <c r="AC95" i="2"/>
  <c r="AD95" i="2" s="1"/>
  <c r="AG95" i="2"/>
  <c r="AH95" i="2"/>
  <c r="AI95" i="2"/>
  <c r="AJ95" i="2"/>
  <c r="AK95" i="2"/>
  <c r="AL95" i="2"/>
  <c r="AM95" i="2"/>
  <c r="AN95" i="2"/>
  <c r="AO95" i="2"/>
  <c r="AQ95" i="2"/>
  <c r="AR95" i="2"/>
  <c r="AS95" i="2"/>
  <c r="AT95" i="2"/>
  <c r="AU95" i="2"/>
  <c r="AV95" i="2"/>
  <c r="AY95" i="2"/>
  <c r="AZ95" i="2"/>
  <c r="BC95" i="2"/>
  <c r="BD95" i="2"/>
  <c r="BE95" i="2"/>
  <c r="AA96" i="2"/>
  <c r="BA96" i="2" s="1"/>
  <c r="AC96" i="2"/>
  <c r="AD96" i="2" s="1"/>
  <c r="AG96" i="2"/>
  <c r="AH96" i="2"/>
  <c r="AI96" i="2"/>
  <c r="AJ96" i="2"/>
  <c r="AK96" i="2"/>
  <c r="AL96" i="2"/>
  <c r="AM96" i="2"/>
  <c r="AN96" i="2"/>
  <c r="AO96" i="2"/>
  <c r="AQ96" i="2"/>
  <c r="AR96" i="2"/>
  <c r="AS96" i="2"/>
  <c r="AT96" i="2"/>
  <c r="AU96" i="2"/>
  <c r="AV96" i="2"/>
  <c r="AY96" i="2"/>
  <c r="AZ96" i="2"/>
  <c r="BC96" i="2"/>
  <c r="BD96" i="2"/>
  <c r="BE96" i="2"/>
  <c r="AA97" i="2"/>
  <c r="AB97" i="2" s="1"/>
  <c r="AC97" i="2"/>
  <c r="AD97" i="2" s="1"/>
  <c r="AG97" i="2"/>
  <c r="AH97" i="2"/>
  <c r="AI97" i="2"/>
  <c r="AJ97" i="2"/>
  <c r="AK97" i="2"/>
  <c r="AL97" i="2"/>
  <c r="AM97" i="2"/>
  <c r="AN97" i="2"/>
  <c r="AO97" i="2"/>
  <c r="AQ97" i="2"/>
  <c r="AR97" i="2"/>
  <c r="AS97" i="2"/>
  <c r="AT97" i="2"/>
  <c r="AU97" i="2"/>
  <c r="AV97" i="2"/>
  <c r="AY97" i="2"/>
  <c r="AZ97" i="2"/>
  <c r="BC97" i="2"/>
  <c r="BD97" i="2"/>
  <c r="BE97" i="2"/>
  <c r="AA98" i="2"/>
  <c r="BA98" i="2" s="1"/>
  <c r="AC98" i="2"/>
  <c r="AD98" i="2" s="1"/>
  <c r="AG98" i="2"/>
  <c r="AH98" i="2"/>
  <c r="AI98" i="2"/>
  <c r="AJ98" i="2"/>
  <c r="AK98" i="2"/>
  <c r="AL98" i="2"/>
  <c r="AM98" i="2"/>
  <c r="AN98" i="2"/>
  <c r="AO98" i="2"/>
  <c r="AQ98" i="2"/>
  <c r="AR98" i="2"/>
  <c r="AS98" i="2"/>
  <c r="AT98" i="2"/>
  <c r="AU98" i="2"/>
  <c r="AV98" i="2"/>
  <c r="AY98" i="2"/>
  <c r="AZ98" i="2"/>
  <c r="BC98" i="2"/>
  <c r="BD98" i="2"/>
  <c r="BE98" i="2"/>
  <c r="AA99" i="2"/>
  <c r="AB99" i="2" s="1"/>
  <c r="AC99" i="2"/>
  <c r="AD99" i="2" s="1"/>
  <c r="AG99" i="2"/>
  <c r="AH99" i="2"/>
  <c r="AI99" i="2"/>
  <c r="AJ99" i="2"/>
  <c r="AK99" i="2"/>
  <c r="AL99" i="2"/>
  <c r="AM99" i="2"/>
  <c r="AN99" i="2"/>
  <c r="AO99" i="2"/>
  <c r="AQ99" i="2"/>
  <c r="AR99" i="2"/>
  <c r="AS99" i="2"/>
  <c r="AT99" i="2"/>
  <c r="AU99" i="2"/>
  <c r="AV99" i="2"/>
  <c r="AY99" i="2"/>
  <c r="AZ99" i="2"/>
  <c r="BC99" i="2"/>
  <c r="BD99" i="2"/>
  <c r="BE99" i="2"/>
  <c r="AA100" i="2"/>
  <c r="AC100" i="2"/>
  <c r="AD100" i="2" s="1"/>
  <c r="AG100" i="2"/>
  <c r="AH100" i="2"/>
  <c r="AI100" i="2"/>
  <c r="AJ100" i="2"/>
  <c r="AK100" i="2"/>
  <c r="AL100" i="2"/>
  <c r="AM100" i="2"/>
  <c r="AN100" i="2"/>
  <c r="AO100" i="2"/>
  <c r="AQ100" i="2"/>
  <c r="AR100" i="2"/>
  <c r="AS100" i="2"/>
  <c r="AT100" i="2"/>
  <c r="AU100" i="2"/>
  <c r="AV100" i="2"/>
  <c r="AY100" i="2"/>
  <c r="AZ100" i="2"/>
  <c r="BC100" i="2"/>
  <c r="BD100" i="2"/>
  <c r="BE100" i="2"/>
  <c r="AA101" i="2"/>
  <c r="AC101" i="2"/>
  <c r="AD101" i="2" s="1"/>
  <c r="AG101" i="2"/>
  <c r="AH101" i="2"/>
  <c r="AI101" i="2"/>
  <c r="AJ101" i="2"/>
  <c r="AK101" i="2"/>
  <c r="AL101" i="2"/>
  <c r="AM101" i="2"/>
  <c r="AN101" i="2"/>
  <c r="AO101" i="2"/>
  <c r="AQ101" i="2"/>
  <c r="AR101" i="2"/>
  <c r="AS101" i="2"/>
  <c r="AT101" i="2"/>
  <c r="AU101" i="2"/>
  <c r="AV101" i="2"/>
  <c r="AY101" i="2"/>
  <c r="AZ101" i="2"/>
  <c r="BC101" i="2"/>
  <c r="BD101" i="2"/>
  <c r="BE101" i="2"/>
  <c r="AA102" i="2"/>
  <c r="AB102" i="2" s="1"/>
  <c r="AC102" i="2"/>
  <c r="AD102" i="2" s="1"/>
  <c r="AG102" i="2"/>
  <c r="AH102" i="2"/>
  <c r="AI102" i="2"/>
  <c r="AJ102" i="2"/>
  <c r="AK102" i="2"/>
  <c r="AL102" i="2"/>
  <c r="AM102" i="2"/>
  <c r="AN102" i="2"/>
  <c r="AO102" i="2"/>
  <c r="AQ102" i="2"/>
  <c r="AR102" i="2"/>
  <c r="AS102" i="2"/>
  <c r="AT102" i="2"/>
  <c r="AU102" i="2"/>
  <c r="AV102" i="2"/>
  <c r="AY102" i="2"/>
  <c r="AZ102" i="2"/>
  <c r="BC102" i="2"/>
  <c r="BD102" i="2"/>
  <c r="BE102" i="2"/>
  <c r="AA103" i="2"/>
  <c r="AB103" i="2" s="1"/>
  <c r="AC103" i="2"/>
  <c r="AD103" i="2" s="1"/>
  <c r="AG103" i="2"/>
  <c r="AH103" i="2"/>
  <c r="AI103" i="2"/>
  <c r="AJ103" i="2"/>
  <c r="AK103" i="2"/>
  <c r="AL103" i="2"/>
  <c r="AM103" i="2"/>
  <c r="AN103" i="2"/>
  <c r="AO103" i="2"/>
  <c r="AQ103" i="2"/>
  <c r="AR103" i="2"/>
  <c r="AS103" i="2"/>
  <c r="AT103" i="2"/>
  <c r="AU103" i="2"/>
  <c r="AV103" i="2"/>
  <c r="AY103" i="2"/>
  <c r="AZ103" i="2"/>
  <c r="BC103" i="2"/>
  <c r="BD103" i="2"/>
  <c r="BE103" i="2"/>
  <c r="AA104" i="2"/>
  <c r="AB104" i="2" s="1"/>
  <c r="AC104" i="2"/>
  <c r="AD104" i="2" s="1"/>
  <c r="AG104" i="2"/>
  <c r="AH104" i="2"/>
  <c r="AI104" i="2"/>
  <c r="AJ104" i="2"/>
  <c r="AK104" i="2"/>
  <c r="AL104" i="2"/>
  <c r="AM104" i="2"/>
  <c r="AN104" i="2"/>
  <c r="AO104" i="2"/>
  <c r="AQ104" i="2"/>
  <c r="AR104" i="2"/>
  <c r="AS104" i="2"/>
  <c r="AT104" i="2"/>
  <c r="AU104" i="2"/>
  <c r="AV104" i="2"/>
  <c r="AY104" i="2"/>
  <c r="AZ104" i="2"/>
  <c r="BC104" i="2"/>
  <c r="BD104" i="2"/>
  <c r="BE104" i="2"/>
  <c r="AA105" i="2"/>
  <c r="AC105" i="2"/>
  <c r="AD105" i="2" s="1"/>
  <c r="AG105" i="2"/>
  <c r="AH105" i="2"/>
  <c r="AI105" i="2"/>
  <c r="AJ105" i="2"/>
  <c r="AK105" i="2"/>
  <c r="AL105" i="2"/>
  <c r="AM105" i="2"/>
  <c r="AN105" i="2"/>
  <c r="AO105" i="2"/>
  <c r="AQ105" i="2"/>
  <c r="AR105" i="2"/>
  <c r="AS105" i="2"/>
  <c r="AT105" i="2"/>
  <c r="AU105" i="2"/>
  <c r="AV105" i="2"/>
  <c r="AY105" i="2"/>
  <c r="AZ105" i="2"/>
  <c r="BC105" i="2"/>
  <c r="BD105" i="2"/>
  <c r="BE105" i="2"/>
  <c r="AA106" i="2"/>
  <c r="AB106" i="2" s="1"/>
  <c r="AC106" i="2"/>
  <c r="AD106" i="2" s="1"/>
  <c r="AG106" i="2"/>
  <c r="AH106" i="2"/>
  <c r="AI106" i="2"/>
  <c r="AJ106" i="2"/>
  <c r="AK106" i="2"/>
  <c r="AL106" i="2"/>
  <c r="AM106" i="2"/>
  <c r="AN106" i="2"/>
  <c r="AO106" i="2"/>
  <c r="AQ106" i="2"/>
  <c r="AR106" i="2"/>
  <c r="AS106" i="2"/>
  <c r="AT106" i="2"/>
  <c r="AU106" i="2"/>
  <c r="AV106" i="2"/>
  <c r="AY106" i="2"/>
  <c r="AZ106" i="2"/>
  <c r="BC106" i="2"/>
  <c r="BD106" i="2"/>
  <c r="BE106" i="2"/>
  <c r="AA107" i="2"/>
  <c r="AB107" i="2" s="1"/>
  <c r="AC107" i="2"/>
  <c r="AD107" i="2" s="1"/>
  <c r="AG107" i="2"/>
  <c r="AH107" i="2"/>
  <c r="AI107" i="2"/>
  <c r="AJ107" i="2"/>
  <c r="AK107" i="2"/>
  <c r="AL107" i="2"/>
  <c r="AM107" i="2"/>
  <c r="AN107" i="2"/>
  <c r="AO107" i="2"/>
  <c r="AQ107" i="2"/>
  <c r="AR107" i="2"/>
  <c r="AS107" i="2"/>
  <c r="AT107" i="2"/>
  <c r="AU107" i="2"/>
  <c r="AV107" i="2"/>
  <c r="AY107" i="2"/>
  <c r="AZ107" i="2"/>
  <c r="BC107" i="2"/>
  <c r="BD107" i="2"/>
  <c r="BE107" i="2"/>
  <c r="AA108" i="2"/>
  <c r="AC108" i="2"/>
  <c r="AD108" i="2" s="1"/>
  <c r="AG108" i="2"/>
  <c r="AH108" i="2"/>
  <c r="AI108" i="2"/>
  <c r="AJ108" i="2"/>
  <c r="AK108" i="2"/>
  <c r="AL108" i="2"/>
  <c r="AM108" i="2"/>
  <c r="AN108" i="2"/>
  <c r="AO108" i="2"/>
  <c r="AQ108" i="2"/>
  <c r="AR108" i="2"/>
  <c r="AS108" i="2"/>
  <c r="AT108" i="2"/>
  <c r="AU108" i="2"/>
  <c r="AV108" i="2"/>
  <c r="AY108" i="2"/>
  <c r="AZ108" i="2"/>
  <c r="BC108" i="2"/>
  <c r="BD108" i="2"/>
  <c r="BE108" i="2"/>
  <c r="AA109" i="2"/>
  <c r="AB109" i="2" s="1"/>
  <c r="AC109" i="2"/>
  <c r="AD109" i="2" s="1"/>
  <c r="AG109" i="2"/>
  <c r="AH109" i="2"/>
  <c r="AI109" i="2"/>
  <c r="AJ109" i="2"/>
  <c r="AK109" i="2"/>
  <c r="AL109" i="2"/>
  <c r="AM109" i="2"/>
  <c r="AN109" i="2"/>
  <c r="AO109" i="2"/>
  <c r="AQ109" i="2"/>
  <c r="AR109" i="2"/>
  <c r="AS109" i="2"/>
  <c r="AT109" i="2"/>
  <c r="AU109" i="2"/>
  <c r="AV109" i="2"/>
  <c r="AY109" i="2"/>
  <c r="AZ109" i="2"/>
  <c r="BC109" i="2"/>
  <c r="BD109" i="2"/>
  <c r="BE109" i="2"/>
  <c r="AA110" i="2"/>
  <c r="BA110" i="2" s="1"/>
  <c r="AC110" i="2"/>
  <c r="AD110" i="2" s="1"/>
  <c r="AG110" i="2"/>
  <c r="AH110" i="2"/>
  <c r="AI110" i="2"/>
  <c r="AJ110" i="2"/>
  <c r="AK110" i="2"/>
  <c r="AL110" i="2"/>
  <c r="AM110" i="2"/>
  <c r="AN110" i="2"/>
  <c r="AO110" i="2"/>
  <c r="AQ110" i="2"/>
  <c r="AR110" i="2"/>
  <c r="AS110" i="2"/>
  <c r="AT110" i="2"/>
  <c r="AU110" i="2"/>
  <c r="AV110" i="2"/>
  <c r="AY110" i="2"/>
  <c r="AZ110" i="2"/>
  <c r="BC110" i="2"/>
  <c r="BD110" i="2"/>
  <c r="BE110" i="2"/>
  <c r="AA111" i="2"/>
  <c r="AW111" i="2" s="1"/>
  <c r="AC111" i="2"/>
  <c r="AD111" i="2" s="1"/>
  <c r="AG111" i="2"/>
  <c r="AH111" i="2"/>
  <c r="AI111" i="2"/>
  <c r="AJ111" i="2"/>
  <c r="AK111" i="2"/>
  <c r="AL111" i="2"/>
  <c r="AM111" i="2"/>
  <c r="AN111" i="2"/>
  <c r="AO111" i="2"/>
  <c r="AQ111" i="2"/>
  <c r="AR111" i="2"/>
  <c r="AS111" i="2"/>
  <c r="AT111" i="2"/>
  <c r="AU111" i="2"/>
  <c r="AV111" i="2"/>
  <c r="AY111" i="2"/>
  <c r="AZ111" i="2"/>
  <c r="BC111" i="2"/>
  <c r="BD111" i="2"/>
  <c r="BE111" i="2"/>
  <c r="AA112" i="2"/>
  <c r="AC112" i="2"/>
  <c r="AD112" i="2" s="1"/>
  <c r="AG112" i="2"/>
  <c r="AH112" i="2"/>
  <c r="AI112" i="2"/>
  <c r="AJ112" i="2"/>
  <c r="AK112" i="2"/>
  <c r="AL112" i="2"/>
  <c r="AM112" i="2"/>
  <c r="AN112" i="2"/>
  <c r="AO112" i="2"/>
  <c r="AQ112" i="2"/>
  <c r="AR112" i="2"/>
  <c r="AS112" i="2"/>
  <c r="AT112" i="2"/>
  <c r="AU112" i="2"/>
  <c r="AV112" i="2"/>
  <c r="AY112" i="2"/>
  <c r="AZ112" i="2"/>
  <c r="BC112" i="2"/>
  <c r="BD112" i="2"/>
  <c r="BE112" i="2"/>
  <c r="AA113" i="2"/>
  <c r="AB113" i="2" s="1"/>
  <c r="AC113" i="2"/>
  <c r="AD113" i="2" s="1"/>
  <c r="AG113" i="2"/>
  <c r="AH113" i="2"/>
  <c r="AI113" i="2"/>
  <c r="AJ113" i="2"/>
  <c r="AK113" i="2"/>
  <c r="AL113" i="2"/>
  <c r="AM113" i="2"/>
  <c r="AN113" i="2"/>
  <c r="AO113" i="2"/>
  <c r="AQ113" i="2"/>
  <c r="AR113" i="2"/>
  <c r="AS113" i="2"/>
  <c r="AT113" i="2"/>
  <c r="AU113" i="2"/>
  <c r="AV113" i="2"/>
  <c r="AY113" i="2"/>
  <c r="AZ113" i="2"/>
  <c r="BC113" i="2"/>
  <c r="BD113" i="2"/>
  <c r="BE113" i="2"/>
  <c r="AA114" i="2"/>
  <c r="AB114" i="2" s="1"/>
  <c r="AC114" i="2"/>
  <c r="AD114" i="2" s="1"/>
  <c r="AG114" i="2"/>
  <c r="AH114" i="2"/>
  <c r="AI114" i="2"/>
  <c r="AJ114" i="2"/>
  <c r="AK114" i="2"/>
  <c r="AL114" i="2"/>
  <c r="AM114" i="2"/>
  <c r="AN114" i="2"/>
  <c r="AO114" i="2"/>
  <c r="AQ114" i="2"/>
  <c r="AR114" i="2"/>
  <c r="AS114" i="2"/>
  <c r="AT114" i="2"/>
  <c r="AU114" i="2"/>
  <c r="AV114" i="2"/>
  <c r="AY114" i="2"/>
  <c r="AZ114" i="2"/>
  <c r="BC114" i="2"/>
  <c r="BD114" i="2"/>
  <c r="BE114" i="2"/>
  <c r="AA115" i="2"/>
  <c r="BA115" i="2" s="1"/>
  <c r="AC115" i="2"/>
  <c r="AD115" i="2" s="1"/>
  <c r="AG115" i="2"/>
  <c r="AH115" i="2"/>
  <c r="AI115" i="2"/>
  <c r="AJ115" i="2"/>
  <c r="AK115" i="2"/>
  <c r="AL115" i="2"/>
  <c r="AM115" i="2"/>
  <c r="AN115" i="2"/>
  <c r="AO115" i="2"/>
  <c r="AQ115" i="2"/>
  <c r="AR115" i="2"/>
  <c r="AS115" i="2"/>
  <c r="AT115" i="2"/>
  <c r="AU115" i="2"/>
  <c r="AV115" i="2"/>
  <c r="AY115" i="2"/>
  <c r="AZ115" i="2"/>
  <c r="BC115" i="2"/>
  <c r="BD115" i="2"/>
  <c r="BE115" i="2"/>
  <c r="AA116" i="2"/>
  <c r="AW116" i="2" s="1"/>
  <c r="AC116" i="2"/>
  <c r="AD116" i="2" s="1"/>
  <c r="AG116" i="2"/>
  <c r="AH116" i="2"/>
  <c r="AI116" i="2"/>
  <c r="AJ116" i="2"/>
  <c r="AK116" i="2"/>
  <c r="AL116" i="2"/>
  <c r="AM116" i="2"/>
  <c r="AN116" i="2"/>
  <c r="AO116" i="2"/>
  <c r="AQ116" i="2"/>
  <c r="AR116" i="2"/>
  <c r="AS116" i="2"/>
  <c r="AT116" i="2"/>
  <c r="AU116" i="2"/>
  <c r="AV116" i="2"/>
  <c r="AY116" i="2"/>
  <c r="AZ116" i="2"/>
  <c r="BC116" i="2"/>
  <c r="BD116" i="2"/>
  <c r="BE116" i="2"/>
  <c r="AA117" i="2"/>
  <c r="BA117" i="2" s="1"/>
  <c r="AC117" i="2"/>
  <c r="AD117" i="2" s="1"/>
  <c r="AG117" i="2"/>
  <c r="AH117" i="2"/>
  <c r="AI117" i="2"/>
  <c r="AJ117" i="2"/>
  <c r="AK117" i="2"/>
  <c r="AL117" i="2"/>
  <c r="AM117" i="2"/>
  <c r="AN117" i="2"/>
  <c r="AO117" i="2"/>
  <c r="AQ117" i="2"/>
  <c r="AR117" i="2"/>
  <c r="AS117" i="2"/>
  <c r="AT117" i="2"/>
  <c r="AU117" i="2"/>
  <c r="AV117" i="2"/>
  <c r="AY117" i="2"/>
  <c r="AZ117" i="2"/>
  <c r="BC117" i="2"/>
  <c r="BD117" i="2"/>
  <c r="BE117" i="2"/>
  <c r="AA118" i="2"/>
  <c r="BA118" i="2" s="1"/>
  <c r="AC118" i="2"/>
  <c r="AD118" i="2" s="1"/>
  <c r="AG118" i="2"/>
  <c r="AH118" i="2"/>
  <c r="AI118" i="2"/>
  <c r="AJ118" i="2"/>
  <c r="AK118" i="2"/>
  <c r="AL118" i="2"/>
  <c r="AM118" i="2"/>
  <c r="AN118" i="2"/>
  <c r="AO118" i="2"/>
  <c r="AQ118" i="2"/>
  <c r="AR118" i="2"/>
  <c r="AS118" i="2"/>
  <c r="AT118" i="2"/>
  <c r="AU118" i="2"/>
  <c r="AV118" i="2"/>
  <c r="AY118" i="2"/>
  <c r="AZ118" i="2"/>
  <c r="BC118" i="2"/>
  <c r="BD118" i="2"/>
  <c r="BE118" i="2"/>
  <c r="AA119" i="2"/>
  <c r="AC119" i="2"/>
  <c r="AD119" i="2" s="1"/>
  <c r="AG119" i="2"/>
  <c r="AH119" i="2"/>
  <c r="AI119" i="2"/>
  <c r="AJ119" i="2"/>
  <c r="AK119" i="2"/>
  <c r="AL119" i="2"/>
  <c r="AM119" i="2"/>
  <c r="AN119" i="2"/>
  <c r="AO119" i="2"/>
  <c r="AQ119" i="2"/>
  <c r="AR119" i="2"/>
  <c r="AS119" i="2"/>
  <c r="AT119" i="2"/>
  <c r="AU119" i="2"/>
  <c r="AV119" i="2"/>
  <c r="AY119" i="2"/>
  <c r="AZ119" i="2"/>
  <c r="BC119" i="2"/>
  <c r="BD119" i="2"/>
  <c r="BE119" i="2"/>
  <c r="AA120" i="2"/>
  <c r="BA120" i="2" s="1"/>
  <c r="AC120" i="2"/>
  <c r="AD120" i="2" s="1"/>
  <c r="AG120" i="2"/>
  <c r="AH120" i="2"/>
  <c r="AI120" i="2"/>
  <c r="AJ120" i="2"/>
  <c r="AK120" i="2"/>
  <c r="AL120" i="2"/>
  <c r="AM120" i="2"/>
  <c r="AN120" i="2"/>
  <c r="AO120" i="2"/>
  <c r="AQ120" i="2"/>
  <c r="AR120" i="2"/>
  <c r="AS120" i="2"/>
  <c r="AT120" i="2"/>
  <c r="AU120" i="2"/>
  <c r="AV120" i="2"/>
  <c r="AY120" i="2"/>
  <c r="AZ120" i="2"/>
  <c r="BC120" i="2"/>
  <c r="BD120" i="2"/>
  <c r="BE120" i="2"/>
  <c r="AA121" i="2"/>
  <c r="BA121" i="2" s="1"/>
  <c r="AC121" i="2"/>
  <c r="AD121" i="2" s="1"/>
  <c r="AG121" i="2"/>
  <c r="AH121" i="2"/>
  <c r="AI121" i="2"/>
  <c r="AJ121" i="2"/>
  <c r="AK121" i="2"/>
  <c r="AL121" i="2"/>
  <c r="AM121" i="2"/>
  <c r="AN121" i="2"/>
  <c r="AO121" i="2"/>
  <c r="AQ121" i="2"/>
  <c r="AR121" i="2"/>
  <c r="AS121" i="2"/>
  <c r="AT121" i="2"/>
  <c r="AU121" i="2"/>
  <c r="AV121" i="2"/>
  <c r="AY121" i="2"/>
  <c r="AZ121" i="2"/>
  <c r="BC121" i="2"/>
  <c r="BD121" i="2"/>
  <c r="BE121" i="2"/>
  <c r="AA122" i="2"/>
  <c r="AB122" i="2" s="1"/>
  <c r="AC122" i="2"/>
  <c r="AD122" i="2" s="1"/>
  <c r="AG122" i="2"/>
  <c r="AH122" i="2"/>
  <c r="AI122" i="2"/>
  <c r="AJ122" i="2"/>
  <c r="AK122" i="2"/>
  <c r="AL122" i="2"/>
  <c r="AM122" i="2"/>
  <c r="AN122" i="2"/>
  <c r="AO122" i="2"/>
  <c r="AQ122" i="2"/>
  <c r="AR122" i="2"/>
  <c r="AS122" i="2"/>
  <c r="AT122" i="2"/>
  <c r="AU122" i="2"/>
  <c r="AV122" i="2"/>
  <c r="AY122" i="2"/>
  <c r="AZ122" i="2"/>
  <c r="BC122" i="2"/>
  <c r="BD122" i="2"/>
  <c r="BE122" i="2"/>
  <c r="AA123" i="2"/>
  <c r="BA123" i="2" s="1"/>
  <c r="AC123" i="2"/>
  <c r="AD123" i="2" s="1"/>
  <c r="AG123" i="2"/>
  <c r="AH123" i="2"/>
  <c r="AI123" i="2"/>
  <c r="AJ123" i="2"/>
  <c r="AK123" i="2"/>
  <c r="AL123" i="2"/>
  <c r="AM123" i="2"/>
  <c r="AN123" i="2"/>
  <c r="AO123" i="2"/>
  <c r="AQ123" i="2"/>
  <c r="AR123" i="2"/>
  <c r="AS123" i="2"/>
  <c r="AT123" i="2"/>
  <c r="AU123" i="2"/>
  <c r="AV123" i="2"/>
  <c r="AY123" i="2"/>
  <c r="AZ123" i="2"/>
  <c r="BC123" i="2"/>
  <c r="BD123" i="2"/>
  <c r="BE123" i="2"/>
  <c r="AA124" i="2"/>
  <c r="AB124" i="2" s="1"/>
  <c r="AC124" i="2"/>
  <c r="AD124" i="2" s="1"/>
  <c r="AG124" i="2"/>
  <c r="AH124" i="2"/>
  <c r="AI124" i="2"/>
  <c r="AJ124" i="2"/>
  <c r="AK124" i="2"/>
  <c r="AL124" i="2"/>
  <c r="AM124" i="2"/>
  <c r="AN124" i="2"/>
  <c r="AO124" i="2"/>
  <c r="AQ124" i="2"/>
  <c r="AR124" i="2"/>
  <c r="AS124" i="2"/>
  <c r="AT124" i="2"/>
  <c r="AU124" i="2"/>
  <c r="AV124" i="2"/>
  <c r="AY124" i="2"/>
  <c r="AZ124" i="2"/>
  <c r="BC124" i="2"/>
  <c r="BD124" i="2"/>
  <c r="BE124" i="2"/>
  <c r="AA125" i="2"/>
  <c r="BA125" i="2" s="1"/>
  <c r="AC125" i="2"/>
  <c r="AD125" i="2" s="1"/>
  <c r="AG125" i="2"/>
  <c r="AH125" i="2"/>
  <c r="AI125" i="2"/>
  <c r="AJ125" i="2"/>
  <c r="AK125" i="2"/>
  <c r="AL125" i="2"/>
  <c r="AM125" i="2"/>
  <c r="AN125" i="2"/>
  <c r="AO125" i="2"/>
  <c r="AQ125" i="2"/>
  <c r="AR125" i="2"/>
  <c r="AS125" i="2"/>
  <c r="AT125" i="2"/>
  <c r="AU125" i="2"/>
  <c r="AV125" i="2"/>
  <c r="AY125" i="2"/>
  <c r="AZ125" i="2"/>
  <c r="BC125" i="2"/>
  <c r="BD125" i="2"/>
  <c r="BE125" i="2"/>
  <c r="AA126" i="2"/>
  <c r="AW126" i="2" s="1"/>
  <c r="AC126" i="2"/>
  <c r="AD126" i="2" s="1"/>
  <c r="AG126" i="2"/>
  <c r="AH126" i="2"/>
  <c r="AI126" i="2"/>
  <c r="AJ126" i="2"/>
  <c r="AK126" i="2"/>
  <c r="AL126" i="2"/>
  <c r="AM126" i="2"/>
  <c r="AN126" i="2"/>
  <c r="AO126" i="2"/>
  <c r="AQ126" i="2"/>
  <c r="AR126" i="2"/>
  <c r="AS126" i="2"/>
  <c r="AT126" i="2"/>
  <c r="AU126" i="2"/>
  <c r="AV126" i="2"/>
  <c r="AY126" i="2"/>
  <c r="AZ126" i="2"/>
  <c r="BC126" i="2"/>
  <c r="BD126" i="2"/>
  <c r="BE126" i="2"/>
  <c r="AA127" i="2"/>
  <c r="AW127" i="2" s="1"/>
  <c r="AC127" i="2"/>
  <c r="AD127" i="2" s="1"/>
  <c r="AG127" i="2"/>
  <c r="AH127" i="2"/>
  <c r="AI127" i="2"/>
  <c r="AJ127" i="2"/>
  <c r="AK127" i="2"/>
  <c r="AL127" i="2"/>
  <c r="AM127" i="2"/>
  <c r="AN127" i="2"/>
  <c r="AO127" i="2"/>
  <c r="AQ127" i="2"/>
  <c r="AR127" i="2"/>
  <c r="AS127" i="2"/>
  <c r="AT127" i="2"/>
  <c r="AU127" i="2"/>
  <c r="AV127" i="2"/>
  <c r="AY127" i="2"/>
  <c r="AZ127" i="2"/>
  <c r="BC127" i="2"/>
  <c r="BD127" i="2"/>
  <c r="BE127" i="2"/>
  <c r="AA128" i="2"/>
  <c r="AW128" i="2" s="1"/>
  <c r="AC128" i="2"/>
  <c r="AD128" i="2" s="1"/>
  <c r="AG128" i="2"/>
  <c r="AH128" i="2"/>
  <c r="AI128" i="2"/>
  <c r="AJ128" i="2"/>
  <c r="AK128" i="2"/>
  <c r="AL128" i="2"/>
  <c r="AM128" i="2"/>
  <c r="AN128" i="2"/>
  <c r="AO128" i="2"/>
  <c r="AQ128" i="2"/>
  <c r="AR128" i="2"/>
  <c r="AS128" i="2"/>
  <c r="AT128" i="2"/>
  <c r="AU128" i="2"/>
  <c r="AV128" i="2"/>
  <c r="AY128" i="2"/>
  <c r="AZ128" i="2"/>
  <c r="BC128" i="2"/>
  <c r="BD128" i="2"/>
  <c r="BE128" i="2"/>
  <c r="AA129" i="2"/>
  <c r="AW129" i="2" s="1"/>
  <c r="AC129" i="2"/>
  <c r="AD129" i="2" s="1"/>
  <c r="AG129" i="2"/>
  <c r="AH129" i="2"/>
  <c r="AI129" i="2"/>
  <c r="AJ129" i="2"/>
  <c r="AK129" i="2"/>
  <c r="AL129" i="2"/>
  <c r="AM129" i="2"/>
  <c r="AN129" i="2"/>
  <c r="AO129" i="2"/>
  <c r="AQ129" i="2"/>
  <c r="AR129" i="2"/>
  <c r="AS129" i="2"/>
  <c r="AT129" i="2"/>
  <c r="AU129" i="2"/>
  <c r="AV129" i="2"/>
  <c r="AY129" i="2"/>
  <c r="AZ129" i="2"/>
  <c r="BC129" i="2"/>
  <c r="BD129" i="2"/>
  <c r="BE129" i="2"/>
  <c r="AA130" i="2"/>
  <c r="AB130" i="2" s="1"/>
  <c r="AC130" i="2"/>
  <c r="AD130" i="2" s="1"/>
  <c r="AG130" i="2"/>
  <c r="AH130" i="2"/>
  <c r="AI130" i="2"/>
  <c r="AJ130" i="2"/>
  <c r="AK130" i="2"/>
  <c r="AL130" i="2"/>
  <c r="AM130" i="2"/>
  <c r="AN130" i="2"/>
  <c r="AO130" i="2"/>
  <c r="AQ130" i="2"/>
  <c r="AR130" i="2"/>
  <c r="AS130" i="2"/>
  <c r="AT130" i="2"/>
  <c r="AU130" i="2"/>
  <c r="AV130" i="2"/>
  <c r="AY130" i="2"/>
  <c r="AZ130" i="2"/>
  <c r="BC130" i="2"/>
  <c r="BD130" i="2"/>
  <c r="BE130" i="2"/>
  <c r="AA131" i="2"/>
  <c r="AW131" i="2" s="1"/>
  <c r="AC131" i="2"/>
  <c r="AD131" i="2" s="1"/>
  <c r="AG131" i="2"/>
  <c r="AH131" i="2"/>
  <c r="AI131" i="2"/>
  <c r="AJ131" i="2"/>
  <c r="AK131" i="2"/>
  <c r="AL131" i="2"/>
  <c r="AM131" i="2"/>
  <c r="AN131" i="2"/>
  <c r="AO131" i="2"/>
  <c r="AQ131" i="2"/>
  <c r="AR131" i="2"/>
  <c r="AS131" i="2"/>
  <c r="AT131" i="2"/>
  <c r="AU131" i="2"/>
  <c r="AV131" i="2"/>
  <c r="AY131" i="2"/>
  <c r="AZ131" i="2"/>
  <c r="BC131" i="2"/>
  <c r="BD131" i="2"/>
  <c r="BE131" i="2"/>
  <c r="AA132" i="2"/>
  <c r="AW132" i="2" s="1"/>
  <c r="AC132" i="2"/>
  <c r="AD132" i="2" s="1"/>
  <c r="AG132" i="2"/>
  <c r="AH132" i="2"/>
  <c r="AI132" i="2"/>
  <c r="AJ132" i="2"/>
  <c r="AK132" i="2"/>
  <c r="AL132" i="2"/>
  <c r="AM132" i="2"/>
  <c r="AN132" i="2"/>
  <c r="AO132" i="2"/>
  <c r="AQ132" i="2"/>
  <c r="AR132" i="2"/>
  <c r="AS132" i="2"/>
  <c r="AT132" i="2"/>
  <c r="AU132" i="2"/>
  <c r="AV132" i="2"/>
  <c r="AY132" i="2"/>
  <c r="AZ132" i="2"/>
  <c r="BC132" i="2"/>
  <c r="BD132" i="2"/>
  <c r="BE132" i="2"/>
  <c r="AA133" i="2"/>
  <c r="AW133" i="2" s="1"/>
  <c r="AC133" i="2"/>
  <c r="AD133" i="2" s="1"/>
  <c r="AG133" i="2"/>
  <c r="AH133" i="2"/>
  <c r="AI133" i="2"/>
  <c r="AJ133" i="2"/>
  <c r="AK133" i="2"/>
  <c r="AL133" i="2"/>
  <c r="AM133" i="2"/>
  <c r="AN133" i="2"/>
  <c r="AO133" i="2"/>
  <c r="AQ133" i="2"/>
  <c r="AR133" i="2"/>
  <c r="AS133" i="2"/>
  <c r="AT133" i="2"/>
  <c r="AU133" i="2"/>
  <c r="AV133" i="2"/>
  <c r="AY133" i="2"/>
  <c r="AZ133" i="2"/>
  <c r="BC133" i="2"/>
  <c r="BD133" i="2"/>
  <c r="BE133" i="2"/>
  <c r="AA134" i="2"/>
  <c r="AW134" i="2" s="1"/>
  <c r="AC134" i="2"/>
  <c r="AD134" i="2" s="1"/>
  <c r="AG134" i="2"/>
  <c r="AH134" i="2"/>
  <c r="AI134" i="2"/>
  <c r="AJ134" i="2"/>
  <c r="AK134" i="2"/>
  <c r="AL134" i="2"/>
  <c r="AM134" i="2"/>
  <c r="AN134" i="2"/>
  <c r="AO134" i="2"/>
  <c r="AQ134" i="2"/>
  <c r="AR134" i="2"/>
  <c r="AS134" i="2"/>
  <c r="AT134" i="2"/>
  <c r="AU134" i="2"/>
  <c r="AV134" i="2"/>
  <c r="AY134" i="2"/>
  <c r="AZ134" i="2"/>
  <c r="BC134" i="2"/>
  <c r="BD134" i="2"/>
  <c r="BE134" i="2"/>
  <c r="AA135" i="2"/>
  <c r="AW135" i="2" s="1"/>
  <c r="AC135" i="2"/>
  <c r="AD135" i="2" s="1"/>
  <c r="AG135" i="2"/>
  <c r="AH135" i="2"/>
  <c r="AI135" i="2"/>
  <c r="AJ135" i="2"/>
  <c r="AK135" i="2"/>
  <c r="AL135" i="2"/>
  <c r="AM135" i="2"/>
  <c r="AN135" i="2"/>
  <c r="AO135" i="2"/>
  <c r="AQ135" i="2"/>
  <c r="AR135" i="2"/>
  <c r="AS135" i="2"/>
  <c r="AT135" i="2"/>
  <c r="AU135" i="2"/>
  <c r="AV135" i="2"/>
  <c r="AY135" i="2"/>
  <c r="AZ135" i="2"/>
  <c r="BC135" i="2"/>
  <c r="BD135" i="2"/>
  <c r="BE135" i="2"/>
  <c r="AA136" i="2"/>
  <c r="AW136" i="2" s="1"/>
  <c r="AC136" i="2"/>
  <c r="AD136" i="2" s="1"/>
  <c r="AG136" i="2"/>
  <c r="AH136" i="2"/>
  <c r="AI136" i="2"/>
  <c r="AJ136" i="2"/>
  <c r="AK136" i="2"/>
  <c r="AL136" i="2"/>
  <c r="AM136" i="2"/>
  <c r="AN136" i="2"/>
  <c r="AO136" i="2"/>
  <c r="AQ136" i="2"/>
  <c r="AR136" i="2"/>
  <c r="AS136" i="2"/>
  <c r="AT136" i="2"/>
  <c r="AU136" i="2"/>
  <c r="AV136" i="2"/>
  <c r="AY136" i="2"/>
  <c r="AZ136" i="2"/>
  <c r="BC136" i="2"/>
  <c r="BD136" i="2"/>
  <c r="BE136" i="2"/>
  <c r="AA137" i="2"/>
  <c r="AW137" i="2" s="1"/>
  <c r="AC137" i="2"/>
  <c r="AD137" i="2" s="1"/>
  <c r="AG137" i="2"/>
  <c r="AH137" i="2"/>
  <c r="AI137" i="2"/>
  <c r="AJ137" i="2"/>
  <c r="AK137" i="2"/>
  <c r="AL137" i="2"/>
  <c r="AM137" i="2"/>
  <c r="AN137" i="2"/>
  <c r="AO137" i="2"/>
  <c r="AQ137" i="2"/>
  <c r="AR137" i="2"/>
  <c r="AS137" i="2"/>
  <c r="AT137" i="2"/>
  <c r="AU137" i="2"/>
  <c r="AV137" i="2"/>
  <c r="AY137" i="2"/>
  <c r="AZ137" i="2"/>
  <c r="BC137" i="2"/>
  <c r="BD137" i="2"/>
  <c r="BE137" i="2"/>
  <c r="AA138" i="2"/>
  <c r="AW138" i="2" s="1"/>
  <c r="AC138" i="2"/>
  <c r="AD138" i="2" s="1"/>
  <c r="AG138" i="2"/>
  <c r="AH138" i="2"/>
  <c r="AI138" i="2"/>
  <c r="AJ138" i="2"/>
  <c r="AK138" i="2"/>
  <c r="AL138" i="2"/>
  <c r="AM138" i="2"/>
  <c r="AN138" i="2"/>
  <c r="AO138" i="2"/>
  <c r="AQ138" i="2"/>
  <c r="AR138" i="2"/>
  <c r="AS138" i="2"/>
  <c r="AT138" i="2"/>
  <c r="AU138" i="2"/>
  <c r="AV138" i="2"/>
  <c r="AY138" i="2"/>
  <c r="AZ138" i="2"/>
  <c r="BC138" i="2"/>
  <c r="BD138" i="2"/>
  <c r="BE138" i="2"/>
  <c r="AA139" i="2"/>
  <c r="AC139" i="2"/>
  <c r="AD139" i="2" s="1"/>
  <c r="AG139" i="2"/>
  <c r="AH139" i="2"/>
  <c r="AI139" i="2"/>
  <c r="AJ139" i="2"/>
  <c r="AK139" i="2"/>
  <c r="AL139" i="2"/>
  <c r="AM139" i="2"/>
  <c r="AN139" i="2"/>
  <c r="AO139" i="2"/>
  <c r="AQ139" i="2"/>
  <c r="AR139" i="2"/>
  <c r="AS139" i="2"/>
  <c r="AT139" i="2"/>
  <c r="AU139" i="2"/>
  <c r="AV139" i="2"/>
  <c r="AY139" i="2"/>
  <c r="AZ139" i="2"/>
  <c r="BC139" i="2"/>
  <c r="BD139" i="2"/>
  <c r="BE139" i="2"/>
  <c r="AA140" i="2"/>
  <c r="AC140" i="2"/>
  <c r="AD140" i="2" s="1"/>
  <c r="AG140" i="2"/>
  <c r="AH140" i="2"/>
  <c r="AI140" i="2"/>
  <c r="AJ140" i="2"/>
  <c r="AK140" i="2"/>
  <c r="AL140" i="2"/>
  <c r="AM140" i="2"/>
  <c r="AN140" i="2"/>
  <c r="AO140" i="2"/>
  <c r="AQ140" i="2"/>
  <c r="AR140" i="2"/>
  <c r="AS140" i="2"/>
  <c r="AT140" i="2"/>
  <c r="AU140" i="2"/>
  <c r="AV140" i="2"/>
  <c r="AY140" i="2"/>
  <c r="AZ140" i="2"/>
  <c r="BC140" i="2"/>
  <c r="BD140" i="2"/>
  <c r="BE140" i="2"/>
  <c r="AA141" i="2"/>
  <c r="AC141" i="2"/>
  <c r="AD141" i="2" s="1"/>
  <c r="AG141" i="2"/>
  <c r="AH141" i="2"/>
  <c r="AI141" i="2"/>
  <c r="AJ141" i="2"/>
  <c r="AK141" i="2"/>
  <c r="AL141" i="2"/>
  <c r="AM141" i="2"/>
  <c r="AN141" i="2"/>
  <c r="AO141" i="2"/>
  <c r="AQ141" i="2"/>
  <c r="AR141" i="2"/>
  <c r="AS141" i="2"/>
  <c r="AT141" i="2"/>
  <c r="AU141" i="2"/>
  <c r="AV141" i="2"/>
  <c r="AY141" i="2"/>
  <c r="AZ141" i="2"/>
  <c r="BC141" i="2"/>
  <c r="BD141" i="2"/>
  <c r="BE141" i="2"/>
  <c r="AA142" i="2"/>
  <c r="AC142" i="2"/>
  <c r="AD142" i="2" s="1"/>
  <c r="AG142" i="2"/>
  <c r="AH142" i="2"/>
  <c r="AI142" i="2"/>
  <c r="AJ142" i="2"/>
  <c r="AK142" i="2"/>
  <c r="AL142" i="2"/>
  <c r="AM142" i="2"/>
  <c r="AN142" i="2"/>
  <c r="AO142" i="2"/>
  <c r="AQ142" i="2"/>
  <c r="AR142" i="2"/>
  <c r="AS142" i="2"/>
  <c r="AT142" i="2"/>
  <c r="AU142" i="2"/>
  <c r="AV142" i="2"/>
  <c r="AY142" i="2"/>
  <c r="AZ142" i="2"/>
  <c r="BC142" i="2"/>
  <c r="BD142" i="2"/>
  <c r="BE142" i="2"/>
  <c r="AA143" i="2"/>
  <c r="AW143" i="2" s="1"/>
  <c r="AC143" i="2"/>
  <c r="AD143" i="2" s="1"/>
  <c r="AG143" i="2"/>
  <c r="AH143" i="2"/>
  <c r="AI143" i="2"/>
  <c r="AJ143" i="2"/>
  <c r="AK143" i="2"/>
  <c r="AL143" i="2"/>
  <c r="AM143" i="2"/>
  <c r="AN143" i="2"/>
  <c r="AO143" i="2"/>
  <c r="AQ143" i="2"/>
  <c r="AR143" i="2"/>
  <c r="AS143" i="2"/>
  <c r="AT143" i="2"/>
  <c r="AU143" i="2"/>
  <c r="AV143" i="2"/>
  <c r="AY143" i="2"/>
  <c r="AZ143" i="2"/>
  <c r="BC143" i="2"/>
  <c r="BD143" i="2"/>
  <c r="BE143" i="2"/>
  <c r="AA144" i="2"/>
  <c r="AW144" i="2" s="1"/>
  <c r="AC144" i="2"/>
  <c r="AD144" i="2" s="1"/>
  <c r="AG144" i="2"/>
  <c r="AH144" i="2"/>
  <c r="AI144" i="2"/>
  <c r="AJ144" i="2"/>
  <c r="AK144" i="2"/>
  <c r="AL144" i="2"/>
  <c r="AM144" i="2"/>
  <c r="AN144" i="2"/>
  <c r="AO144" i="2"/>
  <c r="AQ144" i="2"/>
  <c r="AR144" i="2"/>
  <c r="AS144" i="2"/>
  <c r="AT144" i="2"/>
  <c r="AU144" i="2"/>
  <c r="AV144" i="2"/>
  <c r="AY144" i="2"/>
  <c r="AZ144" i="2"/>
  <c r="BC144" i="2"/>
  <c r="BD144" i="2"/>
  <c r="BE144" i="2"/>
  <c r="AA145" i="2"/>
  <c r="AW145" i="2" s="1"/>
  <c r="AC145" i="2"/>
  <c r="AD145" i="2" s="1"/>
  <c r="AG145" i="2"/>
  <c r="AH145" i="2"/>
  <c r="AI145" i="2"/>
  <c r="AJ145" i="2"/>
  <c r="AK145" i="2"/>
  <c r="AL145" i="2"/>
  <c r="AM145" i="2"/>
  <c r="AN145" i="2"/>
  <c r="AO145" i="2"/>
  <c r="AQ145" i="2"/>
  <c r="AR145" i="2"/>
  <c r="AS145" i="2"/>
  <c r="AT145" i="2"/>
  <c r="AU145" i="2"/>
  <c r="AV145" i="2"/>
  <c r="AY145" i="2"/>
  <c r="AZ145" i="2"/>
  <c r="BC145" i="2"/>
  <c r="BD145" i="2"/>
  <c r="BE145" i="2"/>
  <c r="AA146" i="2"/>
  <c r="AW146" i="2" s="1"/>
  <c r="AC146" i="2"/>
  <c r="AD146" i="2" s="1"/>
  <c r="AG146" i="2"/>
  <c r="AH146" i="2"/>
  <c r="AI146" i="2"/>
  <c r="AJ146" i="2"/>
  <c r="AK146" i="2"/>
  <c r="AL146" i="2"/>
  <c r="AM146" i="2"/>
  <c r="AN146" i="2"/>
  <c r="AO146" i="2"/>
  <c r="AQ146" i="2"/>
  <c r="AR146" i="2"/>
  <c r="AS146" i="2"/>
  <c r="AT146" i="2"/>
  <c r="AU146" i="2"/>
  <c r="AV146" i="2"/>
  <c r="AY146" i="2"/>
  <c r="AZ146" i="2"/>
  <c r="BC146" i="2"/>
  <c r="BD146" i="2"/>
  <c r="BE146" i="2"/>
  <c r="AA147" i="2"/>
  <c r="AW147" i="2" s="1"/>
  <c r="AC147" i="2"/>
  <c r="AD147" i="2" s="1"/>
  <c r="AG147" i="2"/>
  <c r="AH147" i="2"/>
  <c r="AI147" i="2"/>
  <c r="AJ147" i="2"/>
  <c r="AK147" i="2"/>
  <c r="AL147" i="2"/>
  <c r="AM147" i="2"/>
  <c r="AN147" i="2"/>
  <c r="AO147" i="2"/>
  <c r="AQ147" i="2"/>
  <c r="AR147" i="2"/>
  <c r="AS147" i="2"/>
  <c r="AT147" i="2"/>
  <c r="AU147" i="2"/>
  <c r="AV147" i="2"/>
  <c r="AY147" i="2"/>
  <c r="AZ147" i="2"/>
  <c r="BC147" i="2"/>
  <c r="BD147" i="2"/>
  <c r="BE147" i="2"/>
  <c r="AA148" i="2"/>
  <c r="AB148" i="2" s="1"/>
  <c r="AC148" i="2"/>
  <c r="AD148" i="2" s="1"/>
  <c r="AG148" i="2"/>
  <c r="AH148" i="2"/>
  <c r="AI148" i="2"/>
  <c r="AJ148" i="2"/>
  <c r="AK148" i="2"/>
  <c r="AL148" i="2"/>
  <c r="AM148" i="2"/>
  <c r="AN148" i="2"/>
  <c r="AO148" i="2"/>
  <c r="AQ148" i="2"/>
  <c r="AR148" i="2"/>
  <c r="AS148" i="2"/>
  <c r="AT148" i="2"/>
  <c r="AU148" i="2"/>
  <c r="AV148" i="2"/>
  <c r="AY148" i="2"/>
  <c r="AZ148" i="2"/>
  <c r="BC148" i="2"/>
  <c r="BD148" i="2"/>
  <c r="BE148" i="2"/>
  <c r="AA149" i="2"/>
  <c r="AW149" i="2" s="1"/>
  <c r="AC149" i="2"/>
  <c r="AD149" i="2" s="1"/>
  <c r="AG149" i="2"/>
  <c r="AH149" i="2"/>
  <c r="AI149" i="2"/>
  <c r="AJ149" i="2"/>
  <c r="AK149" i="2"/>
  <c r="AL149" i="2"/>
  <c r="AM149" i="2"/>
  <c r="AN149" i="2"/>
  <c r="AO149" i="2"/>
  <c r="AQ149" i="2"/>
  <c r="AR149" i="2"/>
  <c r="AS149" i="2"/>
  <c r="AT149" i="2"/>
  <c r="AU149" i="2"/>
  <c r="AV149" i="2"/>
  <c r="AY149" i="2"/>
  <c r="AZ149" i="2"/>
  <c r="BC149" i="2"/>
  <c r="BD149" i="2"/>
  <c r="BE149" i="2"/>
  <c r="AA150" i="2"/>
  <c r="AW150" i="2" s="1"/>
  <c r="AC150" i="2"/>
  <c r="AD150" i="2" s="1"/>
  <c r="AG150" i="2"/>
  <c r="AH150" i="2"/>
  <c r="AI150" i="2"/>
  <c r="AJ150" i="2"/>
  <c r="AK150" i="2"/>
  <c r="AL150" i="2"/>
  <c r="AM150" i="2"/>
  <c r="AN150" i="2"/>
  <c r="AO150" i="2"/>
  <c r="AQ150" i="2"/>
  <c r="AR150" i="2"/>
  <c r="AS150" i="2"/>
  <c r="AT150" i="2"/>
  <c r="AU150" i="2"/>
  <c r="AV150" i="2"/>
  <c r="AY150" i="2"/>
  <c r="AZ150" i="2"/>
  <c r="BC150" i="2"/>
  <c r="BD150" i="2"/>
  <c r="BE150" i="2"/>
  <c r="AA151" i="2"/>
  <c r="AW151" i="2" s="1"/>
  <c r="AC151" i="2"/>
  <c r="AD151" i="2" s="1"/>
  <c r="AG151" i="2"/>
  <c r="AH151" i="2"/>
  <c r="AI151" i="2"/>
  <c r="AJ151" i="2"/>
  <c r="AK151" i="2"/>
  <c r="AL151" i="2"/>
  <c r="AM151" i="2"/>
  <c r="AN151" i="2"/>
  <c r="AO151" i="2"/>
  <c r="AQ151" i="2"/>
  <c r="AR151" i="2"/>
  <c r="AS151" i="2"/>
  <c r="AT151" i="2"/>
  <c r="AU151" i="2"/>
  <c r="AV151" i="2"/>
  <c r="AY151" i="2"/>
  <c r="AZ151" i="2"/>
  <c r="BC151" i="2"/>
  <c r="BD151" i="2"/>
  <c r="BE151" i="2"/>
  <c r="AA152" i="2"/>
  <c r="BA152" i="2" s="1"/>
  <c r="AC152" i="2"/>
  <c r="AD152" i="2" s="1"/>
  <c r="AG152" i="2"/>
  <c r="AH152" i="2"/>
  <c r="AI152" i="2"/>
  <c r="AJ152" i="2"/>
  <c r="AK152" i="2"/>
  <c r="AL152" i="2"/>
  <c r="AM152" i="2"/>
  <c r="AN152" i="2"/>
  <c r="AO152" i="2"/>
  <c r="AQ152" i="2"/>
  <c r="AR152" i="2"/>
  <c r="AS152" i="2"/>
  <c r="AT152" i="2"/>
  <c r="AU152" i="2"/>
  <c r="AV152" i="2"/>
  <c r="AY152" i="2"/>
  <c r="AZ152" i="2"/>
  <c r="BC152" i="2"/>
  <c r="BD152" i="2"/>
  <c r="BE152" i="2"/>
  <c r="AA153" i="2"/>
  <c r="AB153" i="2" s="1"/>
  <c r="AC153" i="2"/>
  <c r="AD153" i="2" s="1"/>
  <c r="AG153" i="2"/>
  <c r="AH153" i="2"/>
  <c r="AI153" i="2"/>
  <c r="AJ153" i="2"/>
  <c r="AK153" i="2"/>
  <c r="AL153" i="2"/>
  <c r="AM153" i="2"/>
  <c r="AN153" i="2"/>
  <c r="AO153" i="2"/>
  <c r="AQ153" i="2"/>
  <c r="AR153" i="2"/>
  <c r="AS153" i="2"/>
  <c r="AT153" i="2"/>
  <c r="AU153" i="2"/>
  <c r="AV153" i="2"/>
  <c r="AY153" i="2"/>
  <c r="AZ153" i="2"/>
  <c r="BC153" i="2"/>
  <c r="BD153" i="2"/>
  <c r="BE153" i="2"/>
  <c r="AA154" i="2"/>
  <c r="AB154" i="2" s="1"/>
  <c r="AC154" i="2"/>
  <c r="AD154" i="2" s="1"/>
  <c r="AG154" i="2"/>
  <c r="AH154" i="2"/>
  <c r="AI154" i="2"/>
  <c r="AJ154" i="2"/>
  <c r="AK154" i="2"/>
  <c r="AL154" i="2"/>
  <c r="AM154" i="2"/>
  <c r="AN154" i="2"/>
  <c r="AO154" i="2"/>
  <c r="AQ154" i="2"/>
  <c r="AR154" i="2"/>
  <c r="AS154" i="2"/>
  <c r="AT154" i="2"/>
  <c r="AU154" i="2"/>
  <c r="AV154" i="2"/>
  <c r="AY154" i="2"/>
  <c r="AZ154" i="2"/>
  <c r="BC154" i="2"/>
  <c r="BD154" i="2"/>
  <c r="BE154" i="2"/>
  <c r="AA155" i="2"/>
  <c r="AB155" i="2" s="1"/>
  <c r="AC155" i="2"/>
  <c r="AD155" i="2" s="1"/>
  <c r="AG155" i="2"/>
  <c r="AH155" i="2"/>
  <c r="AI155" i="2"/>
  <c r="AJ155" i="2"/>
  <c r="AK155" i="2"/>
  <c r="AL155" i="2"/>
  <c r="AM155" i="2"/>
  <c r="AN155" i="2"/>
  <c r="AO155" i="2"/>
  <c r="AQ155" i="2"/>
  <c r="AR155" i="2"/>
  <c r="AS155" i="2"/>
  <c r="AT155" i="2"/>
  <c r="AU155" i="2"/>
  <c r="AV155" i="2"/>
  <c r="AY155" i="2"/>
  <c r="AZ155" i="2"/>
  <c r="BC155" i="2"/>
  <c r="BD155" i="2"/>
  <c r="BE155" i="2"/>
  <c r="AA156" i="2"/>
  <c r="AB156" i="2" s="1"/>
  <c r="AC156" i="2"/>
  <c r="AD156" i="2" s="1"/>
  <c r="AG156" i="2"/>
  <c r="AH156" i="2"/>
  <c r="AI156" i="2"/>
  <c r="AJ156" i="2"/>
  <c r="AK156" i="2"/>
  <c r="AL156" i="2"/>
  <c r="AM156" i="2"/>
  <c r="AN156" i="2"/>
  <c r="AO156" i="2"/>
  <c r="AQ156" i="2"/>
  <c r="AR156" i="2"/>
  <c r="AS156" i="2"/>
  <c r="AT156" i="2"/>
  <c r="AU156" i="2"/>
  <c r="AV156" i="2"/>
  <c r="AY156" i="2"/>
  <c r="AZ156" i="2"/>
  <c r="BC156" i="2"/>
  <c r="BD156" i="2"/>
  <c r="BE156" i="2"/>
  <c r="AA157" i="2"/>
  <c r="AW157" i="2" s="1"/>
  <c r="AC157" i="2"/>
  <c r="AD157" i="2" s="1"/>
  <c r="AG157" i="2"/>
  <c r="AH157" i="2"/>
  <c r="AI157" i="2"/>
  <c r="AJ157" i="2"/>
  <c r="AK157" i="2"/>
  <c r="AL157" i="2"/>
  <c r="AM157" i="2"/>
  <c r="AN157" i="2"/>
  <c r="AO157" i="2"/>
  <c r="AQ157" i="2"/>
  <c r="AR157" i="2"/>
  <c r="AS157" i="2"/>
  <c r="AT157" i="2"/>
  <c r="AU157" i="2"/>
  <c r="AV157" i="2"/>
  <c r="AY157" i="2"/>
  <c r="AZ157" i="2"/>
  <c r="BC157" i="2"/>
  <c r="BD157" i="2"/>
  <c r="BE157" i="2"/>
  <c r="AA158" i="2"/>
  <c r="AW158" i="2" s="1"/>
  <c r="AC158" i="2"/>
  <c r="AD158" i="2" s="1"/>
  <c r="AG158" i="2"/>
  <c r="AH158" i="2"/>
  <c r="AI158" i="2"/>
  <c r="AJ158" i="2"/>
  <c r="AK158" i="2"/>
  <c r="AL158" i="2"/>
  <c r="AM158" i="2"/>
  <c r="AN158" i="2"/>
  <c r="AO158" i="2"/>
  <c r="AQ158" i="2"/>
  <c r="AR158" i="2"/>
  <c r="AS158" i="2"/>
  <c r="AT158" i="2"/>
  <c r="AU158" i="2"/>
  <c r="AV158" i="2"/>
  <c r="AY158" i="2"/>
  <c r="AZ158" i="2"/>
  <c r="BC158" i="2"/>
  <c r="BD158" i="2"/>
  <c r="BE158" i="2"/>
  <c r="AA159" i="2"/>
  <c r="AB159" i="2" s="1"/>
  <c r="AC159" i="2"/>
  <c r="AD159" i="2" s="1"/>
  <c r="AG159" i="2"/>
  <c r="AH159" i="2"/>
  <c r="AI159" i="2"/>
  <c r="AJ159" i="2"/>
  <c r="AK159" i="2"/>
  <c r="AL159" i="2"/>
  <c r="AM159" i="2"/>
  <c r="AN159" i="2"/>
  <c r="AO159" i="2"/>
  <c r="AQ159" i="2"/>
  <c r="AR159" i="2"/>
  <c r="AS159" i="2"/>
  <c r="AT159" i="2"/>
  <c r="AU159" i="2"/>
  <c r="AV159" i="2"/>
  <c r="AY159" i="2"/>
  <c r="AZ159" i="2"/>
  <c r="BC159" i="2"/>
  <c r="BD159" i="2"/>
  <c r="BE159" i="2"/>
  <c r="AA160" i="2"/>
  <c r="AW160" i="2" s="1"/>
  <c r="AC160" i="2"/>
  <c r="AD160" i="2" s="1"/>
  <c r="AG160" i="2"/>
  <c r="AH160" i="2"/>
  <c r="AI160" i="2"/>
  <c r="AJ160" i="2"/>
  <c r="AK160" i="2"/>
  <c r="AL160" i="2"/>
  <c r="AM160" i="2"/>
  <c r="AN160" i="2"/>
  <c r="AO160" i="2"/>
  <c r="AQ160" i="2"/>
  <c r="AR160" i="2"/>
  <c r="AS160" i="2"/>
  <c r="AT160" i="2"/>
  <c r="AU160" i="2"/>
  <c r="AV160" i="2"/>
  <c r="AY160" i="2"/>
  <c r="AZ160" i="2"/>
  <c r="BC160" i="2"/>
  <c r="BD160" i="2"/>
  <c r="BE160" i="2"/>
  <c r="AA161" i="2"/>
  <c r="AB161" i="2" s="1"/>
  <c r="AC161" i="2"/>
  <c r="AD161" i="2" s="1"/>
  <c r="AG161" i="2"/>
  <c r="AH161" i="2"/>
  <c r="AI161" i="2"/>
  <c r="AJ161" i="2"/>
  <c r="AK161" i="2"/>
  <c r="AL161" i="2"/>
  <c r="AM161" i="2"/>
  <c r="AN161" i="2"/>
  <c r="AO161" i="2"/>
  <c r="AQ161" i="2"/>
  <c r="AR161" i="2"/>
  <c r="AS161" i="2"/>
  <c r="AT161" i="2"/>
  <c r="AU161" i="2"/>
  <c r="AV161" i="2"/>
  <c r="AY161" i="2"/>
  <c r="AZ161" i="2"/>
  <c r="BC161" i="2"/>
  <c r="BD161" i="2"/>
  <c r="BE161" i="2"/>
  <c r="AA162" i="2"/>
  <c r="AB162" i="2" s="1"/>
  <c r="AC162" i="2"/>
  <c r="AD162" i="2" s="1"/>
  <c r="AG162" i="2"/>
  <c r="AH162" i="2"/>
  <c r="AI162" i="2"/>
  <c r="AJ162" i="2"/>
  <c r="AK162" i="2"/>
  <c r="AL162" i="2"/>
  <c r="AM162" i="2"/>
  <c r="AN162" i="2"/>
  <c r="AO162" i="2"/>
  <c r="AQ162" i="2"/>
  <c r="AR162" i="2"/>
  <c r="AS162" i="2"/>
  <c r="AT162" i="2"/>
  <c r="AU162" i="2"/>
  <c r="AV162" i="2"/>
  <c r="AY162" i="2"/>
  <c r="AZ162" i="2"/>
  <c r="BC162" i="2"/>
  <c r="BD162" i="2"/>
  <c r="BE162" i="2"/>
  <c r="AA163" i="2"/>
  <c r="AB163" i="2" s="1"/>
  <c r="AC163" i="2"/>
  <c r="AD163" i="2" s="1"/>
  <c r="AG163" i="2"/>
  <c r="AH163" i="2"/>
  <c r="AI163" i="2"/>
  <c r="AJ163" i="2"/>
  <c r="AK163" i="2"/>
  <c r="AL163" i="2"/>
  <c r="AM163" i="2"/>
  <c r="AN163" i="2"/>
  <c r="AO163" i="2"/>
  <c r="AQ163" i="2"/>
  <c r="AR163" i="2"/>
  <c r="AS163" i="2"/>
  <c r="AT163" i="2"/>
  <c r="AU163" i="2"/>
  <c r="AV163" i="2"/>
  <c r="AY163" i="2"/>
  <c r="AZ163" i="2"/>
  <c r="BC163" i="2"/>
  <c r="BD163" i="2"/>
  <c r="BE163" i="2"/>
  <c r="AA164" i="2"/>
  <c r="AB164" i="2" s="1"/>
  <c r="AC164" i="2"/>
  <c r="AD164" i="2" s="1"/>
  <c r="AG164" i="2"/>
  <c r="AH164" i="2"/>
  <c r="AI164" i="2"/>
  <c r="AJ164" i="2"/>
  <c r="AK164" i="2"/>
  <c r="AL164" i="2"/>
  <c r="AM164" i="2"/>
  <c r="AN164" i="2"/>
  <c r="AO164" i="2"/>
  <c r="AQ164" i="2"/>
  <c r="AR164" i="2"/>
  <c r="AS164" i="2"/>
  <c r="AT164" i="2"/>
  <c r="AU164" i="2"/>
  <c r="AV164" i="2"/>
  <c r="AY164" i="2"/>
  <c r="AZ164" i="2"/>
  <c r="BC164" i="2"/>
  <c r="BD164" i="2"/>
  <c r="BE164" i="2"/>
  <c r="AA165" i="2"/>
  <c r="AW165" i="2" s="1"/>
  <c r="AC165" i="2"/>
  <c r="AD165" i="2" s="1"/>
  <c r="AG165" i="2"/>
  <c r="AH165" i="2"/>
  <c r="AI165" i="2"/>
  <c r="AJ165" i="2"/>
  <c r="AK165" i="2"/>
  <c r="AL165" i="2"/>
  <c r="AM165" i="2"/>
  <c r="AN165" i="2"/>
  <c r="AO165" i="2"/>
  <c r="AQ165" i="2"/>
  <c r="AR165" i="2"/>
  <c r="AS165" i="2"/>
  <c r="AT165" i="2"/>
  <c r="AU165" i="2"/>
  <c r="AV165" i="2"/>
  <c r="AY165" i="2"/>
  <c r="AZ165" i="2"/>
  <c r="BC165" i="2"/>
  <c r="BD165" i="2"/>
  <c r="BE165" i="2"/>
  <c r="AA166" i="2"/>
  <c r="AW166" i="2" s="1"/>
  <c r="AC166" i="2"/>
  <c r="AD166" i="2" s="1"/>
  <c r="AG166" i="2"/>
  <c r="AH166" i="2"/>
  <c r="AI166" i="2"/>
  <c r="AJ166" i="2"/>
  <c r="AK166" i="2"/>
  <c r="AL166" i="2"/>
  <c r="AM166" i="2"/>
  <c r="AN166" i="2"/>
  <c r="AO166" i="2"/>
  <c r="AQ166" i="2"/>
  <c r="AR166" i="2"/>
  <c r="AS166" i="2"/>
  <c r="AT166" i="2"/>
  <c r="AU166" i="2"/>
  <c r="AV166" i="2"/>
  <c r="AY166" i="2"/>
  <c r="AZ166" i="2"/>
  <c r="BC166" i="2"/>
  <c r="BD166" i="2"/>
  <c r="BE166" i="2"/>
  <c r="AA167" i="2"/>
  <c r="BA167" i="2" s="1"/>
  <c r="AC167" i="2"/>
  <c r="AD167" i="2" s="1"/>
  <c r="AG167" i="2"/>
  <c r="AH167" i="2"/>
  <c r="AI167" i="2"/>
  <c r="AJ167" i="2"/>
  <c r="AK167" i="2"/>
  <c r="AL167" i="2"/>
  <c r="AM167" i="2"/>
  <c r="AN167" i="2"/>
  <c r="AO167" i="2"/>
  <c r="AQ167" i="2"/>
  <c r="AR167" i="2"/>
  <c r="AS167" i="2"/>
  <c r="AT167" i="2"/>
  <c r="AU167" i="2"/>
  <c r="AV167" i="2"/>
  <c r="AY167" i="2"/>
  <c r="AZ167" i="2"/>
  <c r="BC167" i="2"/>
  <c r="BD167" i="2"/>
  <c r="BE167" i="2"/>
  <c r="AA168" i="2"/>
  <c r="BA168" i="2" s="1"/>
  <c r="AC168" i="2"/>
  <c r="AD168" i="2" s="1"/>
  <c r="AG168" i="2"/>
  <c r="AH168" i="2"/>
  <c r="AI168" i="2"/>
  <c r="AJ168" i="2"/>
  <c r="AK168" i="2"/>
  <c r="AL168" i="2"/>
  <c r="AM168" i="2"/>
  <c r="AN168" i="2"/>
  <c r="AO168" i="2"/>
  <c r="AQ168" i="2"/>
  <c r="AR168" i="2"/>
  <c r="AS168" i="2"/>
  <c r="AT168" i="2"/>
  <c r="AU168" i="2"/>
  <c r="AV168" i="2"/>
  <c r="AY168" i="2"/>
  <c r="AZ168" i="2"/>
  <c r="BC168" i="2"/>
  <c r="BD168" i="2"/>
  <c r="BE168" i="2"/>
  <c r="AA169" i="2"/>
  <c r="AB169" i="2" s="1"/>
  <c r="AC169" i="2"/>
  <c r="AD169" i="2" s="1"/>
  <c r="AG169" i="2"/>
  <c r="AH169" i="2"/>
  <c r="AI169" i="2"/>
  <c r="AJ169" i="2"/>
  <c r="AK169" i="2"/>
  <c r="AL169" i="2"/>
  <c r="AM169" i="2"/>
  <c r="AN169" i="2"/>
  <c r="AO169" i="2"/>
  <c r="AQ169" i="2"/>
  <c r="AR169" i="2"/>
  <c r="AS169" i="2"/>
  <c r="AT169" i="2"/>
  <c r="AU169" i="2"/>
  <c r="AV169" i="2"/>
  <c r="AY169" i="2"/>
  <c r="AZ169" i="2"/>
  <c r="BC169" i="2"/>
  <c r="BD169" i="2"/>
  <c r="BE169" i="2"/>
  <c r="AA170" i="2"/>
  <c r="AB170" i="2" s="1"/>
  <c r="AC170" i="2"/>
  <c r="AD170" i="2" s="1"/>
  <c r="AG170" i="2"/>
  <c r="AH170" i="2"/>
  <c r="AI170" i="2"/>
  <c r="AJ170" i="2"/>
  <c r="AK170" i="2"/>
  <c r="AL170" i="2"/>
  <c r="AM170" i="2"/>
  <c r="AN170" i="2"/>
  <c r="AO170" i="2"/>
  <c r="AQ170" i="2"/>
  <c r="AR170" i="2"/>
  <c r="AS170" i="2"/>
  <c r="AT170" i="2"/>
  <c r="AU170" i="2"/>
  <c r="AV170" i="2"/>
  <c r="AY170" i="2"/>
  <c r="AZ170" i="2"/>
  <c r="BC170" i="2"/>
  <c r="BD170" i="2"/>
  <c r="BE170" i="2"/>
  <c r="AA171" i="2"/>
  <c r="AB171" i="2" s="1"/>
  <c r="AC171" i="2"/>
  <c r="AD171" i="2" s="1"/>
  <c r="AG171" i="2"/>
  <c r="AH171" i="2"/>
  <c r="AI171" i="2"/>
  <c r="AJ171" i="2"/>
  <c r="AK171" i="2"/>
  <c r="AL171" i="2"/>
  <c r="AM171" i="2"/>
  <c r="AN171" i="2"/>
  <c r="AO171" i="2"/>
  <c r="AQ171" i="2"/>
  <c r="AR171" i="2"/>
  <c r="AS171" i="2"/>
  <c r="AT171" i="2"/>
  <c r="AU171" i="2"/>
  <c r="AV171" i="2"/>
  <c r="AY171" i="2"/>
  <c r="AZ171" i="2"/>
  <c r="BC171" i="2"/>
  <c r="BD171" i="2"/>
  <c r="BE171" i="2"/>
  <c r="AA172" i="2"/>
  <c r="AB172" i="2" s="1"/>
  <c r="AC172" i="2"/>
  <c r="AD172" i="2" s="1"/>
  <c r="AG172" i="2"/>
  <c r="AH172" i="2"/>
  <c r="AI172" i="2"/>
  <c r="AJ172" i="2"/>
  <c r="AK172" i="2"/>
  <c r="AL172" i="2"/>
  <c r="AM172" i="2"/>
  <c r="AN172" i="2"/>
  <c r="AO172" i="2"/>
  <c r="AQ172" i="2"/>
  <c r="AR172" i="2"/>
  <c r="AS172" i="2"/>
  <c r="AT172" i="2"/>
  <c r="AU172" i="2"/>
  <c r="AV172" i="2"/>
  <c r="AY172" i="2"/>
  <c r="AZ172" i="2"/>
  <c r="BC172" i="2"/>
  <c r="BD172" i="2"/>
  <c r="BE172" i="2"/>
  <c r="AA173" i="2"/>
  <c r="BA173" i="2" s="1"/>
  <c r="AC173" i="2"/>
  <c r="AD173" i="2" s="1"/>
  <c r="AG173" i="2"/>
  <c r="AH173" i="2"/>
  <c r="AI173" i="2"/>
  <c r="AJ173" i="2"/>
  <c r="AK173" i="2"/>
  <c r="AL173" i="2"/>
  <c r="AM173" i="2"/>
  <c r="AN173" i="2"/>
  <c r="AO173" i="2"/>
  <c r="AQ173" i="2"/>
  <c r="AR173" i="2"/>
  <c r="AS173" i="2"/>
  <c r="AT173" i="2"/>
  <c r="AU173" i="2"/>
  <c r="AV173" i="2"/>
  <c r="AY173" i="2"/>
  <c r="AZ173" i="2"/>
  <c r="BC173" i="2"/>
  <c r="BD173" i="2"/>
  <c r="BE173" i="2"/>
  <c r="AA174" i="2"/>
  <c r="BA174" i="2" s="1"/>
  <c r="AC174" i="2"/>
  <c r="AD174" i="2" s="1"/>
  <c r="AG174" i="2"/>
  <c r="AH174" i="2"/>
  <c r="AI174" i="2"/>
  <c r="AJ174" i="2"/>
  <c r="AK174" i="2"/>
  <c r="AL174" i="2"/>
  <c r="AM174" i="2"/>
  <c r="AN174" i="2"/>
  <c r="AO174" i="2"/>
  <c r="AQ174" i="2"/>
  <c r="AR174" i="2"/>
  <c r="AS174" i="2"/>
  <c r="AT174" i="2"/>
  <c r="AU174" i="2"/>
  <c r="AV174" i="2"/>
  <c r="AY174" i="2"/>
  <c r="AZ174" i="2"/>
  <c r="BC174" i="2"/>
  <c r="BD174" i="2"/>
  <c r="BE174" i="2"/>
  <c r="AA175" i="2"/>
  <c r="BA175" i="2" s="1"/>
  <c r="AC175" i="2"/>
  <c r="AD175" i="2" s="1"/>
  <c r="AG175" i="2"/>
  <c r="AH175" i="2"/>
  <c r="AI175" i="2"/>
  <c r="AJ175" i="2"/>
  <c r="AK175" i="2"/>
  <c r="AL175" i="2"/>
  <c r="AM175" i="2"/>
  <c r="AN175" i="2"/>
  <c r="AO175" i="2"/>
  <c r="AQ175" i="2"/>
  <c r="AR175" i="2"/>
  <c r="AS175" i="2"/>
  <c r="AT175" i="2"/>
  <c r="AU175" i="2"/>
  <c r="AV175" i="2"/>
  <c r="AY175" i="2"/>
  <c r="AZ175" i="2"/>
  <c r="BC175" i="2"/>
  <c r="BD175" i="2"/>
  <c r="BE175" i="2"/>
  <c r="AA176" i="2"/>
  <c r="AB176" i="2" s="1"/>
  <c r="AC176" i="2"/>
  <c r="AD176" i="2" s="1"/>
  <c r="AG176" i="2"/>
  <c r="AH176" i="2"/>
  <c r="AI176" i="2"/>
  <c r="AJ176" i="2"/>
  <c r="AK176" i="2"/>
  <c r="AL176" i="2"/>
  <c r="AM176" i="2"/>
  <c r="AN176" i="2"/>
  <c r="AO176" i="2"/>
  <c r="AQ176" i="2"/>
  <c r="AR176" i="2"/>
  <c r="AS176" i="2"/>
  <c r="AT176" i="2"/>
  <c r="AU176" i="2"/>
  <c r="AV176" i="2"/>
  <c r="AY176" i="2"/>
  <c r="AZ176" i="2"/>
  <c r="BC176" i="2"/>
  <c r="BD176" i="2"/>
  <c r="BE176" i="2"/>
  <c r="AA177" i="2"/>
  <c r="BA177" i="2" s="1"/>
  <c r="AC177" i="2"/>
  <c r="AD177" i="2" s="1"/>
  <c r="AG177" i="2"/>
  <c r="AH177" i="2"/>
  <c r="AI177" i="2"/>
  <c r="AJ177" i="2"/>
  <c r="AK177" i="2"/>
  <c r="AL177" i="2"/>
  <c r="AM177" i="2"/>
  <c r="AN177" i="2"/>
  <c r="AO177" i="2"/>
  <c r="AQ177" i="2"/>
  <c r="AR177" i="2"/>
  <c r="AS177" i="2"/>
  <c r="AT177" i="2"/>
  <c r="AU177" i="2"/>
  <c r="AV177" i="2"/>
  <c r="AY177" i="2"/>
  <c r="AZ177" i="2"/>
  <c r="BC177" i="2"/>
  <c r="BD177" i="2"/>
  <c r="BE177" i="2"/>
  <c r="AA178" i="2"/>
  <c r="AB178" i="2" s="1"/>
  <c r="AC178" i="2"/>
  <c r="AD178" i="2" s="1"/>
  <c r="AG178" i="2"/>
  <c r="AH178" i="2"/>
  <c r="AI178" i="2"/>
  <c r="AJ178" i="2"/>
  <c r="AK178" i="2"/>
  <c r="AL178" i="2"/>
  <c r="AM178" i="2"/>
  <c r="AN178" i="2"/>
  <c r="AO178" i="2"/>
  <c r="AQ178" i="2"/>
  <c r="AR178" i="2"/>
  <c r="AS178" i="2"/>
  <c r="AT178" i="2"/>
  <c r="AU178" i="2"/>
  <c r="AV178" i="2"/>
  <c r="AY178" i="2"/>
  <c r="AZ178" i="2"/>
  <c r="BC178" i="2"/>
  <c r="BD178" i="2"/>
  <c r="BE178" i="2"/>
  <c r="AA179" i="2"/>
  <c r="AW179" i="2" s="1"/>
  <c r="AC179" i="2"/>
  <c r="AD179" i="2" s="1"/>
  <c r="AG179" i="2"/>
  <c r="AH179" i="2"/>
  <c r="AI179" i="2"/>
  <c r="AJ179" i="2"/>
  <c r="AK179" i="2"/>
  <c r="AL179" i="2"/>
  <c r="AM179" i="2"/>
  <c r="AN179" i="2"/>
  <c r="AO179" i="2"/>
  <c r="AQ179" i="2"/>
  <c r="AR179" i="2"/>
  <c r="AS179" i="2"/>
  <c r="AT179" i="2"/>
  <c r="AU179" i="2"/>
  <c r="AV179" i="2"/>
  <c r="AY179" i="2"/>
  <c r="AZ179" i="2"/>
  <c r="BC179" i="2"/>
  <c r="BD179" i="2"/>
  <c r="BE179" i="2"/>
  <c r="AA180" i="2"/>
  <c r="BA180" i="2" s="1"/>
  <c r="AC180" i="2"/>
  <c r="AD180" i="2" s="1"/>
  <c r="AG180" i="2"/>
  <c r="AH180" i="2"/>
  <c r="AI180" i="2"/>
  <c r="AJ180" i="2"/>
  <c r="AK180" i="2"/>
  <c r="AL180" i="2"/>
  <c r="AM180" i="2"/>
  <c r="AN180" i="2"/>
  <c r="AO180" i="2"/>
  <c r="AQ180" i="2"/>
  <c r="AR180" i="2"/>
  <c r="AS180" i="2"/>
  <c r="AT180" i="2"/>
  <c r="AU180" i="2"/>
  <c r="AV180" i="2"/>
  <c r="AY180" i="2"/>
  <c r="AZ180" i="2"/>
  <c r="BC180" i="2"/>
  <c r="BD180" i="2"/>
  <c r="BE180" i="2"/>
  <c r="AA181" i="2"/>
  <c r="BA181" i="2" s="1"/>
  <c r="AC181" i="2"/>
  <c r="AD181" i="2" s="1"/>
  <c r="AG181" i="2"/>
  <c r="AH181" i="2"/>
  <c r="AI181" i="2"/>
  <c r="AJ181" i="2"/>
  <c r="AK181" i="2"/>
  <c r="AL181" i="2"/>
  <c r="AM181" i="2"/>
  <c r="AN181" i="2"/>
  <c r="AO181" i="2"/>
  <c r="AQ181" i="2"/>
  <c r="AR181" i="2"/>
  <c r="AS181" i="2"/>
  <c r="AT181" i="2"/>
  <c r="AU181" i="2"/>
  <c r="AV181" i="2"/>
  <c r="AY181" i="2"/>
  <c r="AZ181" i="2"/>
  <c r="BC181" i="2"/>
  <c r="BD181" i="2"/>
  <c r="BE181" i="2"/>
  <c r="AA182" i="2"/>
  <c r="BA182" i="2" s="1"/>
  <c r="AC182" i="2"/>
  <c r="AD182" i="2" s="1"/>
  <c r="AG182" i="2"/>
  <c r="AH182" i="2"/>
  <c r="AI182" i="2"/>
  <c r="AJ182" i="2"/>
  <c r="AK182" i="2"/>
  <c r="AL182" i="2"/>
  <c r="AM182" i="2"/>
  <c r="AN182" i="2"/>
  <c r="AO182" i="2"/>
  <c r="AQ182" i="2"/>
  <c r="AR182" i="2"/>
  <c r="AS182" i="2"/>
  <c r="AT182" i="2"/>
  <c r="AU182" i="2"/>
  <c r="AV182" i="2"/>
  <c r="AY182" i="2"/>
  <c r="AZ182" i="2"/>
  <c r="BC182" i="2"/>
  <c r="BD182" i="2"/>
  <c r="BE182" i="2"/>
  <c r="AA183" i="2"/>
  <c r="AC183" i="2"/>
  <c r="AD183" i="2" s="1"/>
  <c r="AG183" i="2"/>
  <c r="AH183" i="2"/>
  <c r="AI183" i="2"/>
  <c r="AJ183" i="2"/>
  <c r="AK183" i="2"/>
  <c r="AL183" i="2"/>
  <c r="AM183" i="2"/>
  <c r="AN183" i="2"/>
  <c r="AO183" i="2"/>
  <c r="AQ183" i="2"/>
  <c r="AR183" i="2"/>
  <c r="AS183" i="2"/>
  <c r="AT183" i="2"/>
  <c r="AU183" i="2"/>
  <c r="AV183" i="2"/>
  <c r="AY183" i="2"/>
  <c r="AZ183" i="2"/>
  <c r="BC183" i="2"/>
  <c r="BD183" i="2"/>
  <c r="BE183" i="2"/>
  <c r="AA184" i="2"/>
  <c r="AW184" i="2" s="1"/>
  <c r="AC184" i="2"/>
  <c r="AD184" i="2" s="1"/>
  <c r="AG184" i="2"/>
  <c r="AH184" i="2"/>
  <c r="AI184" i="2"/>
  <c r="AJ184" i="2"/>
  <c r="AK184" i="2"/>
  <c r="AL184" i="2"/>
  <c r="AM184" i="2"/>
  <c r="AN184" i="2"/>
  <c r="AO184" i="2"/>
  <c r="AQ184" i="2"/>
  <c r="AR184" i="2"/>
  <c r="AS184" i="2"/>
  <c r="AT184" i="2"/>
  <c r="AU184" i="2"/>
  <c r="AV184" i="2"/>
  <c r="AY184" i="2"/>
  <c r="AZ184" i="2"/>
  <c r="BC184" i="2"/>
  <c r="BD184" i="2"/>
  <c r="BE184" i="2"/>
  <c r="AA185" i="2"/>
  <c r="AW185" i="2" s="1"/>
  <c r="AC185" i="2"/>
  <c r="AD185" i="2" s="1"/>
  <c r="AG185" i="2"/>
  <c r="AH185" i="2"/>
  <c r="AI185" i="2"/>
  <c r="AJ185" i="2"/>
  <c r="AK185" i="2"/>
  <c r="AL185" i="2"/>
  <c r="AM185" i="2"/>
  <c r="AN185" i="2"/>
  <c r="AO185" i="2"/>
  <c r="AQ185" i="2"/>
  <c r="AR185" i="2"/>
  <c r="AS185" i="2"/>
  <c r="AT185" i="2"/>
  <c r="AU185" i="2"/>
  <c r="AV185" i="2"/>
  <c r="AY185" i="2"/>
  <c r="AZ185" i="2"/>
  <c r="BC185" i="2"/>
  <c r="BD185" i="2"/>
  <c r="BE185" i="2"/>
  <c r="AA186" i="2"/>
  <c r="BA186" i="2" s="1"/>
  <c r="AC186" i="2"/>
  <c r="AD186" i="2" s="1"/>
  <c r="AG186" i="2"/>
  <c r="AH186" i="2"/>
  <c r="AI186" i="2"/>
  <c r="AJ186" i="2"/>
  <c r="AK186" i="2"/>
  <c r="AL186" i="2"/>
  <c r="AM186" i="2"/>
  <c r="AN186" i="2"/>
  <c r="AO186" i="2"/>
  <c r="AQ186" i="2"/>
  <c r="AR186" i="2"/>
  <c r="AS186" i="2"/>
  <c r="AT186" i="2"/>
  <c r="AU186" i="2"/>
  <c r="AV186" i="2"/>
  <c r="AY186" i="2"/>
  <c r="AZ186" i="2"/>
  <c r="BC186" i="2"/>
  <c r="BD186" i="2"/>
  <c r="BE186" i="2"/>
  <c r="AA187" i="2"/>
  <c r="BA187" i="2" s="1"/>
  <c r="AC187" i="2"/>
  <c r="AD187" i="2" s="1"/>
  <c r="AG187" i="2"/>
  <c r="AH187" i="2"/>
  <c r="AI187" i="2"/>
  <c r="AJ187" i="2"/>
  <c r="AK187" i="2"/>
  <c r="AL187" i="2"/>
  <c r="AM187" i="2"/>
  <c r="AN187" i="2"/>
  <c r="AO187" i="2"/>
  <c r="AQ187" i="2"/>
  <c r="AR187" i="2"/>
  <c r="AS187" i="2"/>
  <c r="AT187" i="2"/>
  <c r="AU187" i="2"/>
  <c r="AV187" i="2"/>
  <c r="AY187" i="2"/>
  <c r="AZ187" i="2"/>
  <c r="BC187" i="2"/>
  <c r="BD187" i="2"/>
  <c r="BE187" i="2"/>
  <c r="AA188" i="2"/>
  <c r="AW188" i="2" s="1"/>
  <c r="AC188" i="2"/>
  <c r="AD188" i="2" s="1"/>
  <c r="AG188" i="2"/>
  <c r="AH188" i="2"/>
  <c r="AI188" i="2"/>
  <c r="AJ188" i="2"/>
  <c r="AK188" i="2"/>
  <c r="AL188" i="2"/>
  <c r="AM188" i="2"/>
  <c r="AN188" i="2"/>
  <c r="AO188" i="2"/>
  <c r="AQ188" i="2"/>
  <c r="AR188" i="2"/>
  <c r="AS188" i="2"/>
  <c r="AT188" i="2"/>
  <c r="AU188" i="2"/>
  <c r="AV188" i="2"/>
  <c r="AY188" i="2"/>
  <c r="AZ188" i="2"/>
  <c r="BC188" i="2"/>
  <c r="BD188" i="2"/>
  <c r="BE188" i="2"/>
  <c r="AA189" i="2"/>
  <c r="AW189" i="2" s="1"/>
  <c r="AC189" i="2"/>
  <c r="AD189" i="2" s="1"/>
  <c r="AG189" i="2"/>
  <c r="AH189" i="2"/>
  <c r="AI189" i="2"/>
  <c r="AJ189" i="2"/>
  <c r="AK189" i="2"/>
  <c r="AL189" i="2"/>
  <c r="AM189" i="2"/>
  <c r="AN189" i="2"/>
  <c r="AO189" i="2"/>
  <c r="AQ189" i="2"/>
  <c r="AR189" i="2"/>
  <c r="AS189" i="2"/>
  <c r="AT189" i="2"/>
  <c r="AU189" i="2"/>
  <c r="AV189" i="2"/>
  <c r="AY189" i="2"/>
  <c r="AZ189" i="2"/>
  <c r="BC189" i="2"/>
  <c r="BD189" i="2"/>
  <c r="BE189" i="2"/>
  <c r="AA190" i="2"/>
  <c r="AC190" i="2"/>
  <c r="AD190" i="2" s="1"/>
  <c r="AG190" i="2"/>
  <c r="AH190" i="2"/>
  <c r="AI190" i="2"/>
  <c r="AJ190" i="2"/>
  <c r="AK190" i="2"/>
  <c r="AL190" i="2"/>
  <c r="AM190" i="2"/>
  <c r="AN190" i="2"/>
  <c r="AO190" i="2"/>
  <c r="AQ190" i="2"/>
  <c r="AR190" i="2"/>
  <c r="AS190" i="2"/>
  <c r="AT190" i="2"/>
  <c r="AU190" i="2"/>
  <c r="AV190" i="2"/>
  <c r="AY190" i="2"/>
  <c r="AZ190" i="2"/>
  <c r="BC190" i="2"/>
  <c r="BD190" i="2"/>
  <c r="BE190" i="2"/>
  <c r="AA191" i="2"/>
  <c r="AC191" i="2"/>
  <c r="AD191" i="2" s="1"/>
  <c r="AG191" i="2"/>
  <c r="AH191" i="2"/>
  <c r="AI191" i="2"/>
  <c r="AJ191" i="2"/>
  <c r="AK191" i="2"/>
  <c r="AL191" i="2"/>
  <c r="AM191" i="2"/>
  <c r="AN191" i="2"/>
  <c r="AO191" i="2"/>
  <c r="AQ191" i="2"/>
  <c r="AR191" i="2"/>
  <c r="AS191" i="2"/>
  <c r="AT191" i="2"/>
  <c r="AU191" i="2"/>
  <c r="AV191" i="2"/>
  <c r="AY191" i="2"/>
  <c r="AZ191" i="2"/>
  <c r="BC191" i="2"/>
  <c r="BD191" i="2"/>
  <c r="BE191" i="2"/>
  <c r="AA192" i="2"/>
  <c r="AW192" i="2" s="1"/>
  <c r="AC192" i="2"/>
  <c r="AD192" i="2" s="1"/>
  <c r="AG192" i="2"/>
  <c r="AH192" i="2"/>
  <c r="AI192" i="2"/>
  <c r="AJ192" i="2"/>
  <c r="AK192" i="2"/>
  <c r="AL192" i="2"/>
  <c r="AM192" i="2"/>
  <c r="AN192" i="2"/>
  <c r="AO192" i="2"/>
  <c r="AQ192" i="2"/>
  <c r="AR192" i="2"/>
  <c r="AS192" i="2"/>
  <c r="AT192" i="2"/>
  <c r="AU192" i="2"/>
  <c r="AV192" i="2"/>
  <c r="AY192" i="2"/>
  <c r="AZ192" i="2"/>
  <c r="BC192" i="2"/>
  <c r="BD192" i="2"/>
  <c r="BE192" i="2"/>
  <c r="AA193" i="2"/>
  <c r="AW193" i="2" s="1"/>
  <c r="AC193" i="2"/>
  <c r="AD193" i="2" s="1"/>
  <c r="AG193" i="2"/>
  <c r="AH193" i="2"/>
  <c r="AI193" i="2"/>
  <c r="AJ193" i="2"/>
  <c r="AK193" i="2"/>
  <c r="AL193" i="2"/>
  <c r="AM193" i="2"/>
  <c r="AN193" i="2"/>
  <c r="AO193" i="2"/>
  <c r="AQ193" i="2"/>
  <c r="AR193" i="2"/>
  <c r="AS193" i="2"/>
  <c r="AT193" i="2"/>
  <c r="AU193" i="2"/>
  <c r="AV193" i="2"/>
  <c r="AY193" i="2"/>
  <c r="AZ193" i="2"/>
  <c r="BC193" i="2"/>
  <c r="BD193" i="2"/>
  <c r="BE193" i="2"/>
  <c r="AA194" i="2"/>
  <c r="BA194" i="2" s="1"/>
  <c r="AC194" i="2"/>
  <c r="AD194" i="2" s="1"/>
  <c r="AG194" i="2"/>
  <c r="AH194" i="2"/>
  <c r="AI194" i="2"/>
  <c r="AJ194" i="2"/>
  <c r="AK194" i="2"/>
  <c r="AL194" i="2"/>
  <c r="AM194" i="2"/>
  <c r="AN194" i="2"/>
  <c r="AO194" i="2"/>
  <c r="AQ194" i="2"/>
  <c r="AR194" i="2"/>
  <c r="AS194" i="2"/>
  <c r="AT194" i="2"/>
  <c r="AU194" i="2"/>
  <c r="AV194" i="2"/>
  <c r="AY194" i="2"/>
  <c r="AZ194" i="2"/>
  <c r="BC194" i="2"/>
  <c r="BD194" i="2"/>
  <c r="BE194" i="2"/>
  <c r="AA195" i="2"/>
  <c r="AW195" i="2" s="1"/>
  <c r="AC195" i="2"/>
  <c r="AD195" i="2" s="1"/>
  <c r="AG195" i="2"/>
  <c r="AH195" i="2"/>
  <c r="AI195" i="2"/>
  <c r="AJ195" i="2"/>
  <c r="AK195" i="2"/>
  <c r="AL195" i="2"/>
  <c r="AM195" i="2"/>
  <c r="AN195" i="2"/>
  <c r="AO195" i="2"/>
  <c r="AQ195" i="2"/>
  <c r="AR195" i="2"/>
  <c r="AS195" i="2"/>
  <c r="AT195" i="2"/>
  <c r="AU195" i="2"/>
  <c r="AV195" i="2"/>
  <c r="AY195" i="2"/>
  <c r="AZ195" i="2"/>
  <c r="BC195" i="2"/>
  <c r="BD195" i="2"/>
  <c r="BE195" i="2"/>
  <c r="AA196" i="2"/>
  <c r="AW196" i="2" s="1"/>
  <c r="AC196" i="2"/>
  <c r="AD196" i="2" s="1"/>
  <c r="AG196" i="2"/>
  <c r="AH196" i="2"/>
  <c r="AI196" i="2"/>
  <c r="AJ196" i="2"/>
  <c r="AK196" i="2"/>
  <c r="AL196" i="2"/>
  <c r="AM196" i="2"/>
  <c r="AN196" i="2"/>
  <c r="AO196" i="2"/>
  <c r="AQ196" i="2"/>
  <c r="AR196" i="2"/>
  <c r="AS196" i="2"/>
  <c r="AT196" i="2"/>
  <c r="AU196" i="2"/>
  <c r="AV196" i="2"/>
  <c r="AY196" i="2"/>
  <c r="AZ196" i="2"/>
  <c r="BC196" i="2"/>
  <c r="BD196" i="2"/>
  <c r="BE196" i="2"/>
  <c r="AA197" i="2"/>
  <c r="AW197" i="2" s="1"/>
  <c r="AC197" i="2"/>
  <c r="AD197" i="2" s="1"/>
  <c r="AG197" i="2"/>
  <c r="AH197" i="2"/>
  <c r="AI197" i="2"/>
  <c r="AJ197" i="2"/>
  <c r="AK197" i="2"/>
  <c r="AL197" i="2"/>
  <c r="AM197" i="2"/>
  <c r="AN197" i="2"/>
  <c r="AO197" i="2"/>
  <c r="AQ197" i="2"/>
  <c r="AR197" i="2"/>
  <c r="AS197" i="2"/>
  <c r="AT197" i="2"/>
  <c r="AU197" i="2"/>
  <c r="AV197" i="2"/>
  <c r="AY197" i="2"/>
  <c r="AZ197" i="2"/>
  <c r="BC197" i="2"/>
  <c r="BD197" i="2"/>
  <c r="BE197" i="2"/>
  <c r="AA198" i="2"/>
  <c r="AW198" i="2" s="1"/>
  <c r="AC198" i="2"/>
  <c r="AD198" i="2" s="1"/>
  <c r="AG198" i="2"/>
  <c r="AH198" i="2"/>
  <c r="AI198" i="2"/>
  <c r="AJ198" i="2"/>
  <c r="AK198" i="2"/>
  <c r="AL198" i="2"/>
  <c r="AM198" i="2"/>
  <c r="AN198" i="2"/>
  <c r="AO198" i="2"/>
  <c r="AQ198" i="2"/>
  <c r="AR198" i="2"/>
  <c r="AS198" i="2"/>
  <c r="AT198" i="2"/>
  <c r="AU198" i="2"/>
  <c r="AV198" i="2"/>
  <c r="AY198" i="2"/>
  <c r="AZ198" i="2"/>
  <c r="BC198" i="2"/>
  <c r="BD198" i="2"/>
  <c r="BE198" i="2"/>
  <c r="AA199" i="2"/>
  <c r="AW199" i="2" s="1"/>
  <c r="AC199" i="2"/>
  <c r="AD199" i="2" s="1"/>
  <c r="AG199" i="2"/>
  <c r="AH199" i="2"/>
  <c r="AI199" i="2"/>
  <c r="AJ199" i="2"/>
  <c r="AK199" i="2"/>
  <c r="AL199" i="2"/>
  <c r="AM199" i="2"/>
  <c r="AN199" i="2"/>
  <c r="AO199" i="2"/>
  <c r="AQ199" i="2"/>
  <c r="AR199" i="2"/>
  <c r="AS199" i="2"/>
  <c r="AT199" i="2"/>
  <c r="AU199" i="2"/>
  <c r="AV199" i="2"/>
  <c r="AY199" i="2"/>
  <c r="AZ199" i="2"/>
  <c r="BC199" i="2"/>
  <c r="BD199" i="2"/>
  <c r="BE199" i="2"/>
  <c r="AA200" i="2"/>
  <c r="AW200" i="2" s="1"/>
  <c r="AC200" i="2"/>
  <c r="AD200" i="2" s="1"/>
  <c r="AG200" i="2"/>
  <c r="AH200" i="2"/>
  <c r="AI200" i="2"/>
  <c r="AJ200" i="2"/>
  <c r="AK200" i="2"/>
  <c r="AL200" i="2"/>
  <c r="AM200" i="2"/>
  <c r="AN200" i="2"/>
  <c r="AO200" i="2"/>
  <c r="AQ200" i="2"/>
  <c r="AR200" i="2"/>
  <c r="AS200" i="2"/>
  <c r="AT200" i="2"/>
  <c r="AU200" i="2"/>
  <c r="AV200" i="2"/>
  <c r="AY200" i="2"/>
  <c r="AZ200" i="2"/>
  <c r="BC200" i="2"/>
  <c r="BD200" i="2"/>
  <c r="BE200" i="2"/>
  <c r="AA201" i="2"/>
  <c r="AW201" i="2" s="1"/>
  <c r="AC201" i="2"/>
  <c r="AD201" i="2" s="1"/>
  <c r="AG201" i="2"/>
  <c r="AH201" i="2"/>
  <c r="AI201" i="2"/>
  <c r="AJ201" i="2"/>
  <c r="AK201" i="2"/>
  <c r="AL201" i="2"/>
  <c r="AM201" i="2"/>
  <c r="AN201" i="2"/>
  <c r="AO201" i="2"/>
  <c r="AQ201" i="2"/>
  <c r="AR201" i="2"/>
  <c r="AS201" i="2"/>
  <c r="AT201" i="2"/>
  <c r="AU201" i="2"/>
  <c r="AV201" i="2"/>
  <c r="AY201" i="2"/>
  <c r="AZ201" i="2"/>
  <c r="BC201" i="2"/>
  <c r="BD201" i="2"/>
  <c r="BE201" i="2"/>
  <c r="AA202" i="2"/>
  <c r="AW202" i="2" s="1"/>
  <c r="AC202" i="2"/>
  <c r="AD202" i="2" s="1"/>
  <c r="AG202" i="2"/>
  <c r="AH202" i="2"/>
  <c r="AI202" i="2"/>
  <c r="AJ202" i="2"/>
  <c r="AK202" i="2"/>
  <c r="AL202" i="2"/>
  <c r="AM202" i="2"/>
  <c r="AN202" i="2"/>
  <c r="AO202" i="2"/>
  <c r="AQ202" i="2"/>
  <c r="AR202" i="2"/>
  <c r="AS202" i="2"/>
  <c r="AT202" i="2"/>
  <c r="AU202" i="2"/>
  <c r="AV202" i="2"/>
  <c r="AY202" i="2"/>
  <c r="AZ202" i="2"/>
  <c r="BC202" i="2"/>
  <c r="BD202" i="2"/>
  <c r="BE202" i="2"/>
  <c r="AA203" i="2"/>
  <c r="AW203" i="2" s="1"/>
  <c r="AC203" i="2"/>
  <c r="AD203" i="2" s="1"/>
  <c r="AG203" i="2"/>
  <c r="AH203" i="2"/>
  <c r="AI203" i="2"/>
  <c r="AJ203" i="2"/>
  <c r="AK203" i="2"/>
  <c r="AL203" i="2"/>
  <c r="AM203" i="2"/>
  <c r="AN203" i="2"/>
  <c r="AO203" i="2"/>
  <c r="AQ203" i="2"/>
  <c r="AR203" i="2"/>
  <c r="AS203" i="2"/>
  <c r="AT203" i="2"/>
  <c r="AU203" i="2"/>
  <c r="AV203" i="2"/>
  <c r="AY203" i="2"/>
  <c r="AZ203" i="2"/>
  <c r="BC203" i="2"/>
  <c r="BD203" i="2"/>
  <c r="BE203" i="2"/>
  <c r="AA204" i="2"/>
  <c r="AW204" i="2" s="1"/>
  <c r="AC204" i="2"/>
  <c r="AD204" i="2" s="1"/>
  <c r="AG204" i="2"/>
  <c r="AH204" i="2"/>
  <c r="AI204" i="2"/>
  <c r="AJ204" i="2"/>
  <c r="AK204" i="2"/>
  <c r="AL204" i="2"/>
  <c r="AM204" i="2"/>
  <c r="AN204" i="2"/>
  <c r="AO204" i="2"/>
  <c r="AQ204" i="2"/>
  <c r="AR204" i="2"/>
  <c r="AS204" i="2"/>
  <c r="AT204" i="2"/>
  <c r="AU204" i="2"/>
  <c r="AV204" i="2"/>
  <c r="AY204" i="2"/>
  <c r="AZ204" i="2"/>
  <c r="BC204" i="2"/>
  <c r="BD204" i="2"/>
  <c r="BE204" i="2"/>
  <c r="AA205" i="2"/>
  <c r="AW205" i="2" s="1"/>
  <c r="AC205" i="2"/>
  <c r="AD205" i="2" s="1"/>
  <c r="AG205" i="2"/>
  <c r="AH205" i="2"/>
  <c r="AI205" i="2"/>
  <c r="AJ205" i="2"/>
  <c r="AK205" i="2"/>
  <c r="AL205" i="2"/>
  <c r="AM205" i="2"/>
  <c r="AN205" i="2"/>
  <c r="AO205" i="2"/>
  <c r="AQ205" i="2"/>
  <c r="AR205" i="2"/>
  <c r="AS205" i="2"/>
  <c r="AT205" i="2"/>
  <c r="AU205" i="2"/>
  <c r="AV205" i="2"/>
  <c r="AY205" i="2"/>
  <c r="AZ205" i="2"/>
  <c r="BC205" i="2"/>
  <c r="BD205" i="2"/>
  <c r="BE205" i="2"/>
  <c r="AA206" i="2"/>
  <c r="AW206" i="2" s="1"/>
  <c r="AC206" i="2"/>
  <c r="AD206" i="2" s="1"/>
  <c r="AG206" i="2"/>
  <c r="AH206" i="2"/>
  <c r="AI206" i="2"/>
  <c r="AJ206" i="2"/>
  <c r="AK206" i="2"/>
  <c r="AL206" i="2"/>
  <c r="AM206" i="2"/>
  <c r="AN206" i="2"/>
  <c r="AO206" i="2"/>
  <c r="AQ206" i="2"/>
  <c r="AR206" i="2"/>
  <c r="AS206" i="2"/>
  <c r="AT206" i="2"/>
  <c r="AU206" i="2"/>
  <c r="AV206" i="2"/>
  <c r="AY206" i="2"/>
  <c r="AZ206" i="2"/>
  <c r="BC206" i="2"/>
  <c r="BD206" i="2"/>
  <c r="BE206" i="2"/>
  <c r="AA207" i="2"/>
  <c r="AW207" i="2" s="1"/>
  <c r="AC207" i="2"/>
  <c r="AD207" i="2" s="1"/>
  <c r="AG207" i="2"/>
  <c r="AH207" i="2"/>
  <c r="AI207" i="2"/>
  <c r="AJ207" i="2"/>
  <c r="AK207" i="2"/>
  <c r="AL207" i="2"/>
  <c r="AM207" i="2"/>
  <c r="AN207" i="2"/>
  <c r="AO207" i="2"/>
  <c r="AQ207" i="2"/>
  <c r="AR207" i="2"/>
  <c r="AS207" i="2"/>
  <c r="AT207" i="2"/>
  <c r="AU207" i="2"/>
  <c r="AV207" i="2"/>
  <c r="AY207" i="2"/>
  <c r="AZ207" i="2"/>
  <c r="BC207" i="2"/>
  <c r="BD207" i="2"/>
  <c r="BE207" i="2"/>
  <c r="AA208" i="2"/>
  <c r="AW208" i="2" s="1"/>
  <c r="AC208" i="2"/>
  <c r="AD208" i="2" s="1"/>
  <c r="AG208" i="2"/>
  <c r="AH208" i="2"/>
  <c r="AI208" i="2"/>
  <c r="AJ208" i="2"/>
  <c r="AK208" i="2"/>
  <c r="AL208" i="2"/>
  <c r="AM208" i="2"/>
  <c r="AN208" i="2"/>
  <c r="AO208" i="2"/>
  <c r="AQ208" i="2"/>
  <c r="AR208" i="2"/>
  <c r="AS208" i="2"/>
  <c r="AT208" i="2"/>
  <c r="AU208" i="2"/>
  <c r="AV208" i="2"/>
  <c r="AY208" i="2"/>
  <c r="AZ208" i="2"/>
  <c r="BC208" i="2"/>
  <c r="BD208" i="2"/>
  <c r="BE208" i="2"/>
  <c r="AA209" i="2"/>
  <c r="AW209" i="2" s="1"/>
  <c r="AC209" i="2"/>
  <c r="AD209" i="2" s="1"/>
  <c r="AG209" i="2"/>
  <c r="AH209" i="2"/>
  <c r="AI209" i="2"/>
  <c r="AJ209" i="2"/>
  <c r="AK209" i="2"/>
  <c r="AL209" i="2"/>
  <c r="AM209" i="2"/>
  <c r="AN209" i="2"/>
  <c r="AO209" i="2"/>
  <c r="AQ209" i="2"/>
  <c r="AR209" i="2"/>
  <c r="AS209" i="2"/>
  <c r="AT209" i="2"/>
  <c r="AU209" i="2"/>
  <c r="AV209" i="2"/>
  <c r="AY209" i="2"/>
  <c r="AZ209" i="2"/>
  <c r="BC209" i="2"/>
  <c r="BD209" i="2"/>
  <c r="BE209" i="2"/>
  <c r="AA210" i="2"/>
  <c r="AW210" i="2" s="1"/>
  <c r="AC210" i="2"/>
  <c r="AD210" i="2" s="1"/>
  <c r="AG210" i="2"/>
  <c r="AH210" i="2"/>
  <c r="AI210" i="2"/>
  <c r="AJ210" i="2"/>
  <c r="AK210" i="2"/>
  <c r="AL210" i="2"/>
  <c r="AM210" i="2"/>
  <c r="AN210" i="2"/>
  <c r="AO210" i="2"/>
  <c r="AQ210" i="2"/>
  <c r="AR210" i="2"/>
  <c r="AS210" i="2"/>
  <c r="AT210" i="2"/>
  <c r="AU210" i="2"/>
  <c r="AV210" i="2"/>
  <c r="AY210" i="2"/>
  <c r="AZ210" i="2"/>
  <c r="BC210" i="2"/>
  <c r="BD210" i="2"/>
  <c r="BE210" i="2"/>
  <c r="AA211" i="2"/>
  <c r="AW211" i="2" s="1"/>
  <c r="AC211" i="2"/>
  <c r="AD211" i="2" s="1"/>
  <c r="AG211" i="2"/>
  <c r="AH211" i="2"/>
  <c r="AI211" i="2"/>
  <c r="AJ211" i="2"/>
  <c r="AK211" i="2"/>
  <c r="AL211" i="2"/>
  <c r="AM211" i="2"/>
  <c r="AN211" i="2"/>
  <c r="AO211" i="2"/>
  <c r="AQ211" i="2"/>
  <c r="AR211" i="2"/>
  <c r="AS211" i="2"/>
  <c r="AT211" i="2"/>
  <c r="AU211" i="2"/>
  <c r="AV211" i="2"/>
  <c r="AY211" i="2"/>
  <c r="AZ211" i="2"/>
  <c r="BC211" i="2"/>
  <c r="BD211" i="2"/>
  <c r="BE211" i="2"/>
  <c r="AA212" i="2"/>
  <c r="AW212" i="2" s="1"/>
  <c r="AC212" i="2"/>
  <c r="AD212" i="2" s="1"/>
  <c r="AG212" i="2"/>
  <c r="AH212" i="2"/>
  <c r="AI212" i="2"/>
  <c r="AJ212" i="2"/>
  <c r="AK212" i="2"/>
  <c r="AL212" i="2"/>
  <c r="AM212" i="2"/>
  <c r="AN212" i="2"/>
  <c r="AO212" i="2"/>
  <c r="AQ212" i="2"/>
  <c r="AR212" i="2"/>
  <c r="AS212" i="2"/>
  <c r="AT212" i="2"/>
  <c r="AU212" i="2"/>
  <c r="AV212" i="2"/>
  <c r="AY212" i="2"/>
  <c r="AZ212" i="2"/>
  <c r="BC212" i="2"/>
  <c r="BD212" i="2"/>
  <c r="BE212" i="2"/>
  <c r="AA213" i="2"/>
  <c r="AW213" i="2" s="1"/>
  <c r="AC213" i="2"/>
  <c r="AD213" i="2" s="1"/>
  <c r="AG213" i="2"/>
  <c r="AH213" i="2"/>
  <c r="AI213" i="2"/>
  <c r="AJ213" i="2"/>
  <c r="AK213" i="2"/>
  <c r="AL213" i="2"/>
  <c r="AM213" i="2"/>
  <c r="AN213" i="2"/>
  <c r="AO213" i="2"/>
  <c r="AQ213" i="2"/>
  <c r="AR213" i="2"/>
  <c r="AS213" i="2"/>
  <c r="AT213" i="2"/>
  <c r="AU213" i="2"/>
  <c r="AV213" i="2"/>
  <c r="AY213" i="2"/>
  <c r="AZ213" i="2"/>
  <c r="BC213" i="2"/>
  <c r="BD213" i="2"/>
  <c r="BE213" i="2"/>
  <c r="AA214" i="2"/>
  <c r="AW214" i="2" s="1"/>
  <c r="AC214" i="2"/>
  <c r="AD214" i="2" s="1"/>
  <c r="AG214" i="2"/>
  <c r="AH214" i="2"/>
  <c r="AI214" i="2"/>
  <c r="AJ214" i="2"/>
  <c r="AK214" i="2"/>
  <c r="AL214" i="2"/>
  <c r="AM214" i="2"/>
  <c r="AN214" i="2"/>
  <c r="AO214" i="2"/>
  <c r="AQ214" i="2"/>
  <c r="AR214" i="2"/>
  <c r="AS214" i="2"/>
  <c r="AT214" i="2"/>
  <c r="AU214" i="2"/>
  <c r="AV214" i="2"/>
  <c r="AY214" i="2"/>
  <c r="AZ214" i="2"/>
  <c r="BC214" i="2"/>
  <c r="BD214" i="2"/>
  <c r="BE214" i="2"/>
  <c r="AA215" i="2"/>
  <c r="AW215" i="2" s="1"/>
  <c r="AC215" i="2"/>
  <c r="AD215" i="2" s="1"/>
  <c r="AG215" i="2"/>
  <c r="AH215" i="2"/>
  <c r="AI215" i="2"/>
  <c r="AJ215" i="2"/>
  <c r="AK215" i="2"/>
  <c r="AL215" i="2"/>
  <c r="AM215" i="2"/>
  <c r="AN215" i="2"/>
  <c r="AO215" i="2"/>
  <c r="AQ215" i="2"/>
  <c r="AR215" i="2"/>
  <c r="AS215" i="2"/>
  <c r="AT215" i="2"/>
  <c r="AU215" i="2"/>
  <c r="AV215" i="2"/>
  <c r="AY215" i="2"/>
  <c r="AZ215" i="2"/>
  <c r="BC215" i="2"/>
  <c r="BD215" i="2"/>
  <c r="BE215" i="2"/>
  <c r="AA216" i="2"/>
  <c r="AW216" i="2" s="1"/>
  <c r="AC216" i="2"/>
  <c r="AD216" i="2" s="1"/>
  <c r="AG216" i="2"/>
  <c r="AH216" i="2"/>
  <c r="AI216" i="2"/>
  <c r="AJ216" i="2"/>
  <c r="AK216" i="2"/>
  <c r="AL216" i="2"/>
  <c r="AM216" i="2"/>
  <c r="AN216" i="2"/>
  <c r="AO216" i="2"/>
  <c r="AQ216" i="2"/>
  <c r="AR216" i="2"/>
  <c r="AS216" i="2"/>
  <c r="AT216" i="2"/>
  <c r="AU216" i="2"/>
  <c r="AV216" i="2"/>
  <c r="AY216" i="2"/>
  <c r="AZ216" i="2"/>
  <c r="BC216" i="2"/>
  <c r="BD216" i="2"/>
  <c r="BE216" i="2"/>
  <c r="AA217" i="2"/>
  <c r="AW217" i="2" s="1"/>
  <c r="AC217" i="2"/>
  <c r="AD217" i="2" s="1"/>
  <c r="AG217" i="2"/>
  <c r="AH217" i="2"/>
  <c r="AI217" i="2"/>
  <c r="AJ217" i="2"/>
  <c r="AK217" i="2"/>
  <c r="AL217" i="2"/>
  <c r="AM217" i="2"/>
  <c r="AN217" i="2"/>
  <c r="AO217" i="2"/>
  <c r="AQ217" i="2"/>
  <c r="AR217" i="2"/>
  <c r="AS217" i="2"/>
  <c r="AT217" i="2"/>
  <c r="AU217" i="2"/>
  <c r="AV217" i="2"/>
  <c r="AY217" i="2"/>
  <c r="AZ217" i="2"/>
  <c r="BC217" i="2"/>
  <c r="BD217" i="2"/>
  <c r="BE217" i="2"/>
  <c r="AA218" i="2"/>
  <c r="AW218" i="2" s="1"/>
  <c r="AC218" i="2"/>
  <c r="AD218" i="2" s="1"/>
  <c r="AG218" i="2"/>
  <c r="AH218" i="2"/>
  <c r="AI218" i="2"/>
  <c r="AJ218" i="2"/>
  <c r="AK218" i="2"/>
  <c r="AL218" i="2"/>
  <c r="AM218" i="2"/>
  <c r="AN218" i="2"/>
  <c r="AO218" i="2"/>
  <c r="AQ218" i="2"/>
  <c r="AR218" i="2"/>
  <c r="AS218" i="2"/>
  <c r="AT218" i="2"/>
  <c r="AU218" i="2"/>
  <c r="AV218" i="2"/>
  <c r="AY218" i="2"/>
  <c r="AZ218" i="2"/>
  <c r="BC218" i="2"/>
  <c r="BD218" i="2"/>
  <c r="BE218" i="2"/>
  <c r="AA219" i="2"/>
  <c r="AW219" i="2" s="1"/>
  <c r="AC219" i="2"/>
  <c r="AD219" i="2" s="1"/>
  <c r="AG219" i="2"/>
  <c r="AH219" i="2"/>
  <c r="AI219" i="2"/>
  <c r="AJ219" i="2"/>
  <c r="AK219" i="2"/>
  <c r="AL219" i="2"/>
  <c r="AM219" i="2"/>
  <c r="AN219" i="2"/>
  <c r="AO219" i="2"/>
  <c r="AQ219" i="2"/>
  <c r="AR219" i="2"/>
  <c r="AS219" i="2"/>
  <c r="AT219" i="2"/>
  <c r="AU219" i="2"/>
  <c r="AV219" i="2"/>
  <c r="AY219" i="2"/>
  <c r="AZ219" i="2"/>
  <c r="BC219" i="2"/>
  <c r="BD219" i="2"/>
  <c r="BE219" i="2"/>
  <c r="AA220" i="2"/>
  <c r="AW220" i="2" s="1"/>
  <c r="AC220" i="2"/>
  <c r="AD220" i="2" s="1"/>
  <c r="AG220" i="2"/>
  <c r="AH220" i="2"/>
  <c r="AI220" i="2"/>
  <c r="AJ220" i="2"/>
  <c r="AK220" i="2"/>
  <c r="AL220" i="2"/>
  <c r="AM220" i="2"/>
  <c r="AN220" i="2"/>
  <c r="AO220" i="2"/>
  <c r="AQ220" i="2"/>
  <c r="AR220" i="2"/>
  <c r="AS220" i="2"/>
  <c r="AT220" i="2"/>
  <c r="AU220" i="2"/>
  <c r="AV220" i="2"/>
  <c r="AY220" i="2"/>
  <c r="AZ220" i="2"/>
  <c r="BC220" i="2"/>
  <c r="BD220" i="2"/>
  <c r="BE220" i="2"/>
  <c r="AA221" i="2"/>
  <c r="AW221" i="2" s="1"/>
  <c r="AC221" i="2"/>
  <c r="AD221" i="2" s="1"/>
  <c r="AG221" i="2"/>
  <c r="AH221" i="2"/>
  <c r="AI221" i="2"/>
  <c r="AJ221" i="2"/>
  <c r="AK221" i="2"/>
  <c r="AL221" i="2"/>
  <c r="AM221" i="2"/>
  <c r="AN221" i="2"/>
  <c r="AO221" i="2"/>
  <c r="AQ221" i="2"/>
  <c r="AR221" i="2"/>
  <c r="AS221" i="2"/>
  <c r="AT221" i="2"/>
  <c r="AU221" i="2"/>
  <c r="AV221" i="2"/>
  <c r="AY221" i="2"/>
  <c r="AZ221" i="2"/>
  <c r="BC221" i="2"/>
  <c r="BD221" i="2"/>
  <c r="BE221" i="2"/>
  <c r="AA222" i="2"/>
  <c r="AW222" i="2" s="1"/>
  <c r="AC222" i="2"/>
  <c r="AD222" i="2" s="1"/>
  <c r="AG222" i="2"/>
  <c r="AH222" i="2"/>
  <c r="AI222" i="2"/>
  <c r="AJ222" i="2"/>
  <c r="AK222" i="2"/>
  <c r="AL222" i="2"/>
  <c r="AM222" i="2"/>
  <c r="AN222" i="2"/>
  <c r="AO222" i="2"/>
  <c r="AQ222" i="2"/>
  <c r="AR222" i="2"/>
  <c r="AS222" i="2"/>
  <c r="AT222" i="2"/>
  <c r="AU222" i="2"/>
  <c r="AV222" i="2"/>
  <c r="AY222" i="2"/>
  <c r="AZ222" i="2"/>
  <c r="BC222" i="2"/>
  <c r="BD222" i="2"/>
  <c r="BE222" i="2"/>
  <c r="AA223" i="2"/>
  <c r="AW223" i="2" s="1"/>
  <c r="AC223" i="2"/>
  <c r="AD223" i="2" s="1"/>
  <c r="AG223" i="2"/>
  <c r="AH223" i="2"/>
  <c r="AI223" i="2"/>
  <c r="AJ223" i="2"/>
  <c r="AK223" i="2"/>
  <c r="AL223" i="2"/>
  <c r="AM223" i="2"/>
  <c r="AN223" i="2"/>
  <c r="AO223" i="2"/>
  <c r="AQ223" i="2"/>
  <c r="AR223" i="2"/>
  <c r="AS223" i="2"/>
  <c r="AT223" i="2"/>
  <c r="AU223" i="2"/>
  <c r="AV223" i="2"/>
  <c r="AY223" i="2"/>
  <c r="AZ223" i="2"/>
  <c r="BC223" i="2"/>
  <c r="BD223" i="2"/>
  <c r="BE223" i="2"/>
  <c r="AA224" i="2"/>
  <c r="AW224" i="2" s="1"/>
  <c r="AC224" i="2"/>
  <c r="AD224" i="2" s="1"/>
  <c r="AG224" i="2"/>
  <c r="AH224" i="2"/>
  <c r="AI224" i="2"/>
  <c r="AJ224" i="2"/>
  <c r="AK224" i="2"/>
  <c r="AL224" i="2"/>
  <c r="AM224" i="2"/>
  <c r="AN224" i="2"/>
  <c r="AO224" i="2"/>
  <c r="AQ224" i="2"/>
  <c r="AR224" i="2"/>
  <c r="AS224" i="2"/>
  <c r="AT224" i="2"/>
  <c r="AU224" i="2"/>
  <c r="AV224" i="2"/>
  <c r="AY224" i="2"/>
  <c r="AZ224" i="2"/>
  <c r="BC224" i="2"/>
  <c r="BD224" i="2"/>
  <c r="BE224" i="2"/>
  <c r="AA225" i="2"/>
  <c r="AW225" i="2" s="1"/>
  <c r="AC225" i="2"/>
  <c r="AD225" i="2" s="1"/>
  <c r="AG225" i="2"/>
  <c r="AH225" i="2"/>
  <c r="AI225" i="2"/>
  <c r="AJ225" i="2"/>
  <c r="AK225" i="2"/>
  <c r="AL225" i="2"/>
  <c r="AM225" i="2"/>
  <c r="AN225" i="2"/>
  <c r="AO225" i="2"/>
  <c r="AQ225" i="2"/>
  <c r="AR225" i="2"/>
  <c r="AS225" i="2"/>
  <c r="AT225" i="2"/>
  <c r="AU225" i="2"/>
  <c r="AV225" i="2"/>
  <c r="AY225" i="2"/>
  <c r="AZ225" i="2"/>
  <c r="BC225" i="2"/>
  <c r="BD225" i="2"/>
  <c r="BE225" i="2"/>
  <c r="AA226" i="2"/>
  <c r="AW226" i="2" s="1"/>
  <c r="AC226" i="2"/>
  <c r="AD226" i="2" s="1"/>
  <c r="AG226" i="2"/>
  <c r="AH226" i="2"/>
  <c r="AI226" i="2"/>
  <c r="AJ226" i="2"/>
  <c r="AK226" i="2"/>
  <c r="AL226" i="2"/>
  <c r="AM226" i="2"/>
  <c r="AN226" i="2"/>
  <c r="AO226" i="2"/>
  <c r="AQ226" i="2"/>
  <c r="AR226" i="2"/>
  <c r="AS226" i="2"/>
  <c r="AT226" i="2"/>
  <c r="AU226" i="2"/>
  <c r="AV226" i="2"/>
  <c r="AY226" i="2"/>
  <c r="AZ226" i="2"/>
  <c r="BC226" i="2"/>
  <c r="BD226" i="2"/>
  <c r="BE226" i="2"/>
  <c r="AA227" i="2"/>
  <c r="AW227" i="2" s="1"/>
  <c r="AC227" i="2"/>
  <c r="AD227" i="2" s="1"/>
  <c r="AG227" i="2"/>
  <c r="AH227" i="2"/>
  <c r="AI227" i="2"/>
  <c r="AJ227" i="2"/>
  <c r="AK227" i="2"/>
  <c r="AL227" i="2"/>
  <c r="AM227" i="2"/>
  <c r="AN227" i="2"/>
  <c r="AO227" i="2"/>
  <c r="AQ227" i="2"/>
  <c r="AR227" i="2"/>
  <c r="AS227" i="2"/>
  <c r="AT227" i="2"/>
  <c r="AU227" i="2"/>
  <c r="AV227" i="2"/>
  <c r="AY227" i="2"/>
  <c r="AZ227" i="2"/>
  <c r="BC227" i="2"/>
  <c r="BD227" i="2"/>
  <c r="BE227" i="2"/>
  <c r="AA228" i="2"/>
  <c r="AW228" i="2" s="1"/>
  <c r="AC228" i="2"/>
  <c r="AD228" i="2" s="1"/>
  <c r="AG228" i="2"/>
  <c r="AH228" i="2"/>
  <c r="AI228" i="2"/>
  <c r="AJ228" i="2"/>
  <c r="AK228" i="2"/>
  <c r="AL228" i="2"/>
  <c r="AM228" i="2"/>
  <c r="AN228" i="2"/>
  <c r="AO228" i="2"/>
  <c r="AQ228" i="2"/>
  <c r="AR228" i="2"/>
  <c r="AS228" i="2"/>
  <c r="AT228" i="2"/>
  <c r="AU228" i="2"/>
  <c r="AV228" i="2"/>
  <c r="AY228" i="2"/>
  <c r="AZ228" i="2"/>
  <c r="BC228" i="2"/>
  <c r="BD228" i="2"/>
  <c r="BE228" i="2"/>
  <c r="AA229" i="2"/>
  <c r="AW229" i="2" s="1"/>
  <c r="AC229" i="2"/>
  <c r="AD229" i="2" s="1"/>
  <c r="AG229" i="2"/>
  <c r="AH229" i="2"/>
  <c r="AI229" i="2"/>
  <c r="AJ229" i="2"/>
  <c r="AK229" i="2"/>
  <c r="AL229" i="2"/>
  <c r="AM229" i="2"/>
  <c r="AN229" i="2"/>
  <c r="AO229" i="2"/>
  <c r="AQ229" i="2"/>
  <c r="AR229" i="2"/>
  <c r="AS229" i="2"/>
  <c r="AT229" i="2"/>
  <c r="AU229" i="2"/>
  <c r="AV229" i="2"/>
  <c r="AY229" i="2"/>
  <c r="AZ229" i="2"/>
  <c r="BC229" i="2"/>
  <c r="BD229" i="2"/>
  <c r="BE229" i="2"/>
  <c r="AA230" i="2"/>
  <c r="AW230" i="2" s="1"/>
  <c r="AC230" i="2"/>
  <c r="AD230" i="2" s="1"/>
  <c r="AG230" i="2"/>
  <c r="AH230" i="2"/>
  <c r="AI230" i="2"/>
  <c r="AJ230" i="2"/>
  <c r="AK230" i="2"/>
  <c r="AL230" i="2"/>
  <c r="AM230" i="2"/>
  <c r="AN230" i="2"/>
  <c r="AO230" i="2"/>
  <c r="AQ230" i="2"/>
  <c r="AR230" i="2"/>
  <c r="AS230" i="2"/>
  <c r="AT230" i="2"/>
  <c r="AU230" i="2"/>
  <c r="AV230" i="2"/>
  <c r="AY230" i="2"/>
  <c r="AZ230" i="2"/>
  <c r="BC230" i="2"/>
  <c r="BD230" i="2"/>
  <c r="BE230" i="2"/>
  <c r="AA231" i="2"/>
  <c r="AW231" i="2" s="1"/>
  <c r="AC231" i="2"/>
  <c r="AD231" i="2" s="1"/>
  <c r="AG231" i="2"/>
  <c r="AH231" i="2"/>
  <c r="AI231" i="2"/>
  <c r="AJ231" i="2"/>
  <c r="AK231" i="2"/>
  <c r="AL231" i="2"/>
  <c r="AM231" i="2"/>
  <c r="AN231" i="2"/>
  <c r="AO231" i="2"/>
  <c r="AQ231" i="2"/>
  <c r="AR231" i="2"/>
  <c r="AS231" i="2"/>
  <c r="AT231" i="2"/>
  <c r="AU231" i="2"/>
  <c r="AV231" i="2"/>
  <c r="AY231" i="2"/>
  <c r="AZ231" i="2"/>
  <c r="BC231" i="2"/>
  <c r="BD231" i="2"/>
  <c r="BE231" i="2"/>
  <c r="AA232" i="2"/>
  <c r="AW232" i="2" s="1"/>
  <c r="AC232" i="2"/>
  <c r="AD232" i="2" s="1"/>
  <c r="AG232" i="2"/>
  <c r="AH232" i="2"/>
  <c r="AI232" i="2"/>
  <c r="AJ232" i="2"/>
  <c r="AK232" i="2"/>
  <c r="AL232" i="2"/>
  <c r="AM232" i="2"/>
  <c r="AN232" i="2"/>
  <c r="AO232" i="2"/>
  <c r="AQ232" i="2"/>
  <c r="AR232" i="2"/>
  <c r="AS232" i="2"/>
  <c r="AT232" i="2"/>
  <c r="AU232" i="2"/>
  <c r="AV232" i="2"/>
  <c r="AY232" i="2"/>
  <c r="AZ232" i="2"/>
  <c r="BC232" i="2"/>
  <c r="BD232" i="2"/>
  <c r="BE232" i="2"/>
  <c r="J7" i="21"/>
  <c r="I7" i="21"/>
  <c r="H7" i="21"/>
  <c r="D7" i="21"/>
  <c r="C7" i="21"/>
  <c r="B7" i="21"/>
  <c r="K6" i="21"/>
  <c r="E6" i="21"/>
  <c r="K5" i="21"/>
  <c r="E5" i="21"/>
  <c r="K4" i="21"/>
  <c r="E4" i="21"/>
  <c r="AP8" i="2" l="1"/>
  <c r="BG89" i="2"/>
  <c r="AP57" i="2"/>
  <c r="AP58" i="2"/>
  <c r="AP9" i="2"/>
  <c r="BG11" i="2"/>
  <c r="BG110" i="2"/>
  <c r="AP29" i="2"/>
  <c r="AP21" i="2"/>
  <c r="AP23" i="2"/>
  <c r="AP228" i="2"/>
  <c r="AP204" i="2"/>
  <c r="AP195" i="2"/>
  <c r="AP73" i="2"/>
  <c r="AP17" i="2"/>
  <c r="AP202" i="2"/>
  <c r="BG40" i="2"/>
  <c r="AP39" i="2"/>
  <c r="AP214" i="2"/>
  <c r="AP210" i="2"/>
  <c r="BG82" i="2"/>
  <c r="AP213" i="2"/>
  <c r="AP227" i="2"/>
  <c r="AP162" i="2"/>
  <c r="AP226" i="2"/>
  <c r="AP72" i="2"/>
  <c r="AP4" i="2"/>
  <c r="AP220" i="2"/>
  <c r="AP207" i="2"/>
  <c r="BG87" i="2"/>
  <c r="AP56" i="2"/>
  <c r="AP65" i="2"/>
  <c r="AP61" i="2"/>
  <c r="AP80" i="2"/>
  <c r="AP196" i="2"/>
  <c r="AP190" i="2"/>
  <c r="AP177" i="2"/>
  <c r="AP218" i="2"/>
  <c r="AP209" i="2"/>
  <c r="AP205" i="2"/>
  <c r="AP192" i="2"/>
  <c r="AP188" i="2"/>
  <c r="AP107" i="2"/>
  <c r="AP47" i="2"/>
  <c r="AP43" i="2"/>
  <c r="BG27" i="2"/>
  <c r="AP12" i="2"/>
  <c r="AE156" i="2"/>
  <c r="BB156" i="2" s="1"/>
  <c r="BA145" i="2"/>
  <c r="AP40" i="2"/>
  <c r="AP211" i="2"/>
  <c r="AP206" i="2"/>
  <c r="AP193" i="2"/>
  <c r="AP189" i="2"/>
  <c r="AP185" i="2"/>
  <c r="AP203" i="2"/>
  <c r="AP178" i="2"/>
  <c r="AP146" i="2"/>
  <c r="BG106" i="2"/>
  <c r="BG85" i="2"/>
  <c r="AP74" i="2"/>
  <c r="AP212" i="2"/>
  <c r="AP109" i="2"/>
  <c r="AP41" i="2"/>
  <c r="AP118" i="2"/>
  <c r="AP67" i="2"/>
  <c r="AP63" i="2"/>
  <c r="AP54" i="2"/>
  <c r="AP38" i="2"/>
  <c r="AP28" i="2"/>
  <c r="AP208" i="2"/>
  <c r="AP191" i="2"/>
  <c r="AP179" i="2"/>
  <c r="AP11" i="2"/>
  <c r="AP7" i="2"/>
  <c r="AW114" i="2"/>
  <c r="BA102" i="2"/>
  <c r="AE7" i="2"/>
  <c r="BA114" i="2"/>
  <c r="AB120" i="2"/>
  <c r="AE120" i="2" s="1"/>
  <c r="BB120" i="2" s="1"/>
  <c r="BF120" i="2" s="1"/>
  <c r="AE153" i="2"/>
  <c r="BA92" i="2"/>
  <c r="BA172" i="2"/>
  <c r="BA116" i="2"/>
  <c r="BA134" i="2"/>
  <c r="AW92" i="2"/>
  <c r="BA227" i="2"/>
  <c r="BA160" i="2"/>
  <c r="AW118" i="2"/>
  <c r="AB118" i="2"/>
  <c r="AE118" i="2" s="1"/>
  <c r="BB118" i="2" s="1"/>
  <c r="BF118" i="2" s="1"/>
  <c r="AB116" i="2"/>
  <c r="AE116" i="2" s="1"/>
  <c r="BB116" i="2" s="1"/>
  <c r="AW110" i="2"/>
  <c r="AB180" i="2"/>
  <c r="AE180" i="2" s="1"/>
  <c r="BB180" i="2" s="1"/>
  <c r="BF180" i="2" s="1"/>
  <c r="AB160" i="2"/>
  <c r="AE160" i="2" s="1"/>
  <c r="BB160" i="2" s="1"/>
  <c r="AB110" i="2"/>
  <c r="AE110" i="2" s="1"/>
  <c r="BB110" i="2" s="1"/>
  <c r="BF110" i="2" s="1"/>
  <c r="AB50" i="2"/>
  <c r="AE50" i="2" s="1"/>
  <c r="BB50" i="2" s="1"/>
  <c r="BA195" i="2"/>
  <c r="AB144" i="2"/>
  <c r="AE144" i="2" s="1"/>
  <c r="BB144" i="2" s="1"/>
  <c r="AE92" i="2"/>
  <c r="BB92" i="2" s="1"/>
  <c r="BA178" i="2"/>
  <c r="BA164" i="2"/>
  <c r="AW102" i="2"/>
  <c r="AP232" i="2"/>
  <c r="AP230" i="2"/>
  <c r="AP224" i="2"/>
  <c r="AP222" i="2"/>
  <c r="BA217" i="2"/>
  <c r="AP216" i="2"/>
  <c r="AP200" i="2"/>
  <c r="AP198" i="2"/>
  <c r="AP186" i="2"/>
  <c r="AP183" i="2"/>
  <c r="AP181" i="2"/>
  <c r="AP169" i="2"/>
  <c r="AP167" i="2"/>
  <c r="AP165" i="2"/>
  <c r="BA159" i="2"/>
  <c r="AP154" i="2"/>
  <c r="AP150" i="2"/>
  <c r="BA146" i="2"/>
  <c r="AP138" i="2"/>
  <c r="BA131" i="2"/>
  <c r="AP130" i="2"/>
  <c r="AP124" i="2"/>
  <c r="AP122" i="2"/>
  <c r="AP120" i="2"/>
  <c r="AE114" i="2"/>
  <c r="BB114" i="2" s="1"/>
  <c r="BA113" i="2"/>
  <c r="AP105" i="2"/>
  <c r="BG102" i="2"/>
  <c r="BG80" i="2"/>
  <c r="AP77" i="2"/>
  <c r="AP75" i="2"/>
  <c r="AP70" i="2"/>
  <c r="AP68" i="2"/>
  <c r="BG44" i="2"/>
  <c r="AP36" i="2"/>
  <c r="AP33" i="2"/>
  <c r="AP31" i="2"/>
  <c r="BG29" i="2"/>
  <c r="AP26" i="2"/>
  <c r="AP24" i="2"/>
  <c r="AP22" i="2"/>
  <c r="AP18" i="2"/>
  <c r="AP16" i="2"/>
  <c r="AP13" i="2"/>
  <c r="AP10" i="2"/>
  <c r="BA136" i="2"/>
  <c r="BA135" i="2"/>
  <c r="AE148" i="2"/>
  <c r="AE130" i="2"/>
  <c r="BB130" i="2" s="1"/>
  <c r="BA109" i="2"/>
  <c r="AP84" i="2"/>
  <c r="BG81" i="2"/>
  <c r="AP66" i="2"/>
  <c r="AP64" i="2"/>
  <c r="AP62" i="2"/>
  <c r="AP60" i="2"/>
  <c r="AP55" i="2"/>
  <c r="AP51" i="2"/>
  <c r="AP44" i="2"/>
  <c r="AP42" i="2"/>
  <c r="BG38" i="2"/>
  <c r="AP37" i="2"/>
  <c r="AP34" i="2"/>
  <c r="BG28" i="2"/>
  <c r="BG25" i="2"/>
  <c r="AP14" i="2"/>
  <c r="BG6" i="2"/>
  <c r="BA211" i="2"/>
  <c r="BA203" i="2"/>
  <c r="AP231" i="2"/>
  <c r="AP223" i="2"/>
  <c r="BA219" i="2"/>
  <c r="AP215" i="2"/>
  <c r="AP201" i="2"/>
  <c r="AP199" i="2"/>
  <c r="BG189" i="2"/>
  <c r="AP180" i="2"/>
  <c r="AB179" i="2"/>
  <c r="AE179" i="2" s="1"/>
  <c r="AW178" i="2"/>
  <c r="AP175" i="2"/>
  <c r="AP166" i="2"/>
  <c r="AP161" i="2"/>
  <c r="AP153" i="2"/>
  <c r="AP147" i="2"/>
  <c r="AP143" i="2"/>
  <c r="AP139" i="2"/>
  <c r="AP132" i="2"/>
  <c r="AP125" i="2"/>
  <c r="AP123" i="2"/>
  <c r="AP116" i="2"/>
  <c r="AP111" i="2"/>
  <c r="BG92" i="2"/>
  <c r="AP76" i="2"/>
  <c r="BG45" i="2"/>
  <c r="AP35" i="2"/>
  <c r="AP32" i="2"/>
  <c r="AP30" i="2"/>
  <c r="AP27" i="2"/>
  <c r="AP25" i="2"/>
  <c r="AP19" i="2"/>
  <c r="AE8" i="2"/>
  <c r="AP6" i="2"/>
  <c r="AE124" i="2"/>
  <c r="AP225" i="2"/>
  <c r="AP217" i="2"/>
  <c r="AB188" i="2"/>
  <c r="AE188" i="2" s="1"/>
  <c r="BB188" i="2" s="1"/>
  <c r="AB181" i="2"/>
  <c r="AE181" i="2" s="1"/>
  <c r="BB181" i="2" s="1"/>
  <c r="BF181" i="2" s="1"/>
  <c r="AW180" i="2"/>
  <c r="BG172" i="2"/>
  <c r="AP168" i="2"/>
  <c r="AW167" i="2"/>
  <c r="BG164" i="2"/>
  <c r="AP144" i="2"/>
  <c r="AB128" i="2"/>
  <c r="AE128" i="2" s="1"/>
  <c r="BB128" i="2" s="1"/>
  <c r="AW122" i="2"/>
  <c r="AW120" i="2"/>
  <c r="AB98" i="2"/>
  <c r="AE98" i="2" s="1"/>
  <c r="BB98" i="2" s="1"/>
  <c r="BF98" i="2" s="1"/>
  <c r="AW87" i="2"/>
  <c r="AW85" i="2"/>
  <c r="AP50" i="2"/>
  <c r="AP49" i="2"/>
  <c r="BG21" i="2"/>
  <c r="BG8" i="2"/>
  <c r="AP5" i="2"/>
  <c r="AB199" i="2"/>
  <c r="AE199" i="2" s="1"/>
  <c r="BB199" i="2" s="1"/>
  <c r="AW175" i="2"/>
  <c r="AB167" i="2"/>
  <c r="AP160" i="2"/>
  <c r="AB126" i="2"/>
  <c r="AE126" i="2" s="1"/>
  <c r="BB126" i="2" s="1"/>
  <c r="AW106" i="2"/>
  <c r="AB87" i="2"/>
  <c r="AE87" i="2" s="1"/>
  <c r="BB87" i="2" s="1"/>
  <c r="BF87" i="2" s="1"/>
  <c r="BG41" i="2"/>
  <c r="BG22" i="2"/>
  <c r="AE11" i="2"/>
  <c r="BB11" i="2" s="1"/>
  <c r="BG7" i="2"/>
  <c r="AE5" i="2"/>
  <c r="BB5" i="2" s="1"/>
  <c r="AE154" i="2"/>
  <c r="BB154" i="2" s="1"/>
  <c r="AE122" i="2"/>
  <c r="BB122" i="2" s="1"/>
  <c r="AE85" i="2"/>
  <c r="BB85" i="2" s="1"/>
  <c r="BG190" i="2"/>
  <c r="AP184" i="2"/>
  <c r="AE176" i="2"/>
  <c r="BB176" i="2" s="1"/>
  <c r="AE155" i="2"/>
  <c r="AP133" i="2"/>
  <c r="AP114" i="2"/>
  <c r="AP112" i="2"/>
  <c r="AP103" i="2"/>
  <c r="AP101" i="2"/>
  <c r="AP91" i="2"/>
  <c r="AP71" i="2"/>
  <c r="AP52" i="2"/>
  <c r="AP20" i="2"/>
  <c r="AP15" i="2"/>
  <c r="BG5" i="2"/>
  <c r="BA221" i="2"/>
  <c r="AP219" i="2"/>
  <c r="AP194" i="2"/>
  <c r="BA188" i="2"/>
  <c r="BG180" i="2"/>
  <c r="BG179" i="2"/>
  <c r="AP172" i="2"/>
  <c r="AP156" i="2"/>
  <c r="BA151" i="2"/>
  <c r="BA150" i="2"/>
  <c r="BA149" i="2"/>
  <c r="AP148" i="2"/>
  <c r="BA128" i="2"/>
  <c r="BA126" i="2"/>
  <c r="BA124" i="2"/>
  <c r="AP94" i="2"/>
  <c r="AB93" i="2"/>
  <c r="AE93" i="2" s="1"/>
  <c r="BB93" i="2" s="1"/>
  <c r="BG26" i="2"/>
  <c r="BG10" i="2"/>
  <c r="BA207" i="2"/>
  <c r="BA199" i="2"/>
  <c r="AW172" i="2"/>
  <c r="AW164" i="2"/>
  <c r="BA122" i="2"/>
  <c r="BG109" i="2"/>
  <c r="BA97" i="2"/>
  <c r="BA85" i="2"/>
  <c r="BG62" i="2"/>
  <c r="BG23" i="2"/>
  <c r="BA231" i="2"/>
  <c r="AP229" i="2"/>
  <c r="BA223" i="2"/>
  <c r="AP221" i="2"/>
  <c r="BA215" i="2"/>
  <c r="AP197" i="2"/>
  <c r="AB195" i="2"/>
  <c r="AE195" i="2" s="1"/>
  <c r="BB195" i="2" s="1"/>
  <c r="AP187" i="2"/>
  <c r="BG178" i="2"/>
  <c r="AP174" i="2"/>
  <c r="AW152" i="2"/>
  <c r="AP142" i="2"/>
  <c r="AP137" i="2"/>
  <c r="AP129" i="2"/>
  <c r="AP127" i="2"/>
  <c r="AP126" i="2"/>
  <c r="BA106" i="2"/>
  <c r="AE104" i="2"/>
  <c r="BB104" i="2" s="1"/>
  <c r="BG64" i="2"/>
  <c r="AP59" i="2"/>
  <c r="AP48" i="2"/>
  <c r="BG24" i="2"/>
  <c r="AP182" i="2"/>
  <c r="AW181" i="2"/>
  <c r="BA179" i="2"/>
  <c r="AB152" i="2"/>
  <c r="AE152" i="2" s="1"/>
  <c r="BB152" i="2" s="1"/>
  <c r="BF152" i="2" s="1"/>
  <c r="BA144" i="2"/>
  <c r="AB127" i="2"/>
  <c r="AE127" i="2" s="1"/>
  <c r="BB127" i="2" s="1"/>
  <c r="AW124" i="2"/>
  <c r="AW107" i="2"/>
  <c r="AW98" i="2"/>
  <c r="BA49" i="2"/>
  <c r="AE9" i="2"/>
  <c r="BB9" i="2" s="1"/>
  <c r="AB229" i="2"/>
  <c r="AE229" i="2" s="1"/>
  <c r="BB229" i="2" s="1"/>
  <c r="BG226" i="2"/>
  <c r="AB225" i="2"/>
  <c r="AE225" i="2" s="1"/>
  <c r="BB225" i="2" s="1"/>
  <c r="BG222" i="2"/>
  <c r="AB221" i="2"/>
  <c r="AE221" i="2" s="1"/>
  <c r="BG218" i="2"/>
  <c r="AB217" i="2"/>
  <c r="AE217" i="2" s="1"/>
  <c r="BG214" i="2"/>
  <c r="AB213" i="2"/>
  <c r="AE213" i="2" s="1"/>
  <c r="BB213" i="2" s="1"/>
  <c r="BG210" i="2"/>
  <c r="AB209" i="2"/>
  <c r="AE209" i="2" s="1"/>
  <c r="BB209" i="2" s="1"/>
  <c r="BG206" i="2"/>
  <c r="AB205" i="2"/>
  <c r="AE205" i="2" s="1"/>
  <c r="BB205" i="2" s="1"/>
  <c r="BG202" i="2"/>
  <c r="AB201" i="2"/>
  <c r="AE201" i="2" s="1"/>
  <c r="BG198" i="2"/>
  <c r="AB197" i="2"/>
  <c r="AE197" i="2" s="1"/>
  <c r="BB197" i="2" s="1"/>
  <c r="BG194" i="2"/>
  <c r="BG193" i="2"/>
  <c r="AB192" i="2"/>
  <c r="AE192" i="2" s="1"/>
  <c r="BB192" i="2" s="1"/>
  <c r="BG186" i="2"/>
  <c r="BG185" i="2"/>
  <c r="AB184" i="2"/>
  <c r="BG177" i="2"/>
  <c r="BG176" i="2"/>
  <c r="AP164" i="2"/>
  <c r="AP163" i="2"/>
  <c r="AB119" i="2"/>
  <c r="AE119" i="2" s="1"/>
  <c r="BB119" i="2" s="1"/>
  <c r="AW119" i="2"/>
  <c r="BG113" i="2"/>
  <c r="AB101" i="2"/>
  <c r="AE101" i="2" s="1"/>
  <c r="BB101" i="2" s="1"/>
  <c r="AW101" i="2"/>
  <c r="BA101" i="2"/>
  <c r="BG84" i="2"/>
  <c r="AP69" i="2"/>
  <c r="AP53" i="2"/>
  <c r="AP45" i="2"/>
  <c r="BG17" i="2"/>
  <c r="BG4" i="2"/>
  <c r="BA222" i="2"/>
  <c r="BA214" i="2"/>
  <c r="BA202" i="2"/>
  <c r="BA198" i="2"/>
  <c r="AW182" i="2"/>
  <c r="BG174" i="2"/>
  <c r="BG158" i="2"/>
  <c r="BG149" i="2"/>
  <c r="AW141" i="2"/>
  <c r="BA141" i="2"/>
  <c r="AW130" i="2"/>
  <c r="BA130" i="2"/>
  <c r="AW104" i="2"/>
  <c r="BA104" i="2"/>
  <c r="AB88" i="2"/>
  <c r="AE88" i="2" s="1"/>
  <c r="BB88" i="2" s="1"/>
  <c r="BA88" i="2"/>
  <c r="AP46" i="2"/>
  <c r="BA230" i="2"/>
  <c r="BA226" i="2"/>
  <c r="BA218" i="2"/>
  <c r="BA210" i="2"/>
  <c r="BA206" i="2"/>
  <c r="AB232" i="2"/>
  <c r="AB228" i="2"/>
  <c r="AE228" i="2" s="1"/>
  <c r="BB228" i="2" s="1"/>
  <c r="BG225" i="2"/>
  <c r="AB224" i="2"/>
  <c r="AE224" i="2" s="1"/>
  <c r="BB224" i="2" s="1"/>
  <c r="BG221" i="2"/>
  <c r="AB220" i="2"/>
  <c r="AE220" i="2" s="1"/>
  <c r="BB220" i="2" s="1"/>
  <c r="BG217" i="2"/>
  <c r="AB216" i="2"/>
  <c r="AE216" i="2" s="1"/>
  <c r="BB216" i="2" s="1"/>
  <c r="BG213" i="2"/>
  <c r="AB212" i="2"/>
  <c r="AE212" i="2" s="1"/>
  <c r="BB212" i="2" s="1"/>
  <c r="BG209" i="2"/>
  <c r="AB208" i="2"/>
  <c r="AE208" i="2" s="1"/>
  <c r="BB208" i="2" s="1"/>
  <c r="BG205" i="2"/>
  <c r="AB204" i="2"/>
  <c r="AE204" i="2" s="1"/>
  <c r="BB204" i="2" s="1"/>
  <c r="BG201" i="2"/>
  <c r="AB200" i="2"/>
  <c r="AE200" i="2" s="1"/>
  <c r="BB200" i="2" s="1"/>
  <c r="BG197" i="2"/>
  <c r="AB196" i="2"/>
  <c r="AE196" i="2" s="1"/>
  <c r="BB196" i="2" s="1"/>
  <c r="BA193" i="2"/>
  <c r="AW191" i="2"/>
  <c r="AB191" i="2"/>
  <c r="AE191" i="2" s="1"/>
  <c r="BB191" i="2" s="1"/>
  <c r="AW190" i="2"/>
  <c r="AB190" i="2"/>
  <c r="AE190" i="2" s="1"/>
  <c r="BB190" i="2" s="1"/>
  <c r="AB189" i="2"/>
  <c r="AE189" i="2" s="1"/>
  <c r="BB189" i="2" s="1"/>
  <c r="BA185" i="2"/>
  <c r="AW183" i="2"/>
  <c r="AB183" i="2"/>
  <c r="AE183" i="2" s="1"/>
  <c r="BB183" i="2" s="1"/>
  <c r="AB182" i="2"/>
  <c r="AE182" i="2" s="1"/>
  <c r="BB182" i="2" s="1"/>
  <c r="BF182" i="2" s="1"/>
  <c r="BA176" i="2"/>
  <c r="BG154" i="2"/>
  <c r="BG130" i="2"/>
  <c r="AB117" i="2"/>
  <c r="AE117" i="2" s="1"/>
  <c r="AW117" i="2"/>
  <c r="AB105" i="2"/>
  <c r="AE105" i="2" s="1"/>
  <c r="BB105" i="2" s="1"/>
  <c r="AW105" i="2"/>
  <c r="BA105" i="2"/>
  <c r="BG101" i="2"/>
  <c r="BA229" i="2"/>
  <c r="BA213" i="2"/>
  <c r="BA209" i="2"/>
  <c r="BA205" i="2"/>
  <c r="BA201" i="2"/>
  <c r="BA197" i="2"/>
  <c r="BA192" i="2"/>
  <c r="BA184" i="2"/>
  <c r="BG159" i="2"/>
  <c r="AW142" i="2"/>
  <c r="BA142" i="2"/>
  <c r="BG127" i="2"/>
  <c r="AB111" i="2"/>
  <c r="AE111" i="2" s="1"/>
  <c r="BB111" i="2" s="1"/>
  <c r="BA111" i="2"/>
  <c r="AW108" i="2"/>
  <c r="AB108" i="2"/>
  <c r="AE108" i="2" s="1"/>
  <c r="BB108" i="2" s="1"/>
  <c r="BA108" i="2"/>
  <c r="AB86" i="2"/>
  <c r="AE86" i="2" s="1"/>
  <c r="BB86" i="2" s="1"/>
  <c r="BF86" i="2" s="1"/>
  <c r="AW86" i="2"/>
  <c r="AB231" i="2"/>
  <c r="AE231" i="2" s="1"/>
  <c r="BB231" i="2" s="1"/>
  <c r="BG228" i="2"/>
  <c r="AB227" i="2"/>
  <c r="AE227" i="2" s="1"/>
  <c r="BB227" i="2" s="1"/>
  <c r="BG224" i="2"/>
  <c r="AB223" i="2"/>
  <c r="AE223" i="2" s="1"/>
  <c r="BB223" i="2" s="1"/>
  <c r="BG220" i="2"/>
  <c r="AB219" i="2"/>
  <c r="AE219" i="2" s="1"/>
  <c r="BB219" i="2" s="1"/>
  <c r="BG216" i="2"/>
  <c r="AB215" i="2"/>
  <c r="AE215" i="2" s="1"/>
  <c r="BB215" i="2" s="1"/>
  <c r="BG212" i="2"/>
  <c r="AB211" i="2"/>
  <c r="AE211" i="2" s="1"/>
  <c r="BB211" i="2" s="1"/>
  <c r="BG208" i="2"/>
  <c r="AB207" i="2"/>
  <c r="AE207" i="2" s="1"/>
  <c r="BB207" i="2" s="1"/>
  <c r="BG204" i="2"/>
  <c r="AB203" i="2"/>
  <c r="AE203" i="2" s="1"/>
  <c r="BB203" i="2" s="1"/>
  <c r="BG200" i="2"/>
  <c r="BG196" i="2"/>
  <c r="BG182" i="2"/>
  <c r="AW156" i="2"/>
  <c r="BA156" i="2"/>
  <c r="AP136" i="2"/>
  <c r="BG131" i="2"/>
  <c r="AW125" i="2"/>
  <c r="AB125" i="2"/>
  <c r="AE125" i="2" s="1"/>
  <c r="BB125" i="2" s="1"/>
  <c r="BF125" i="2" s="1"/>
  <c r="AB115" i="2"/>
  <c r="AE115" i="2" s="1"/>
  <c r="BB115" i="2" s="1"/>
  <c r="BF115" i="2" s="1"/>
  <c r="AW115" i="2"/>
  <c r="AW112" i="2"/>
  <c r="AB112" i="2"/>
  <c r="AE112" i="2" s="1"/>
  <c r="BB112" i="2" s="1"/>
  <c r="BA112" i="2"/>
  <c r="BG105" i="2"/>
  <c r="AP98" i="2"/>
  <c r="AW95" i="2"/>
  <c r="BA95" i="2"/>
  <c r="AP85" i="2"/>
  <c r="AP81" i="2"/>
  <c r="AW140" i="2"/>
  <c r="BA140" i="2"/>
  <c r="BA224" i="2"/>
  <c r="BA216" i="2"/>
  <c r="BA212" i="2"/>
  <c r="BA208" i="2"/>
  <c r="BA204" i="2"/>
  <c r="BA200" i="2"/>
  <c r="BA196" i="2"/>
  <c r="BA191" i="2"/>
  <c r="BA183" i="2"/>
  <c r="AW176" i="2"/>
  <c r="AP176" i="2"/>
  <c r="AW173" i="2"/>
  <c r="AP173" i="2"/>
  <c r="AB168" i="2"/>
  <c r="AE168" i="2" s="1"/>
  <c r="BB168" i="2" s="1"/>
  <c r="BF168" i="2" s="1"/>
  <c r="AW168" i="2"/>
  <c r="AP152" i="2"/>
  <c r="AB123" i="2"/>
  <c r="AE123" i="2" s="1"/>
  <c r="BB123" i="2" s="1"/>
  <c r="BF123" i="2" s="1"/>
  <c r="AW123" i="2"/>
  <c r="BA119" i="2"/>
  <c r="AW99" i="2"/>
  <c r="BA99" i="2"/>
  <c r="AB96" i="2"/>
  <c r="AE96" i="2" s="1"/>
  <c r="BB96" i="2" s="1"/>
  <c r="BF96" i="2" s="1"/>
  <c r="AW96" i="2"/>
  <c r="AB174" i="2"/>
  <c r="AE174" i="2" s="1"/>
  <c r="BB174" i="2" s="1"/>
  <c r="BF174" i="2" s="1"/>
  <c r="AW174" i="2"/>
  <c r="BA225" i="2"/>
  <c r="BA232" i="2"/>
  <c r="BA228" i="2"/>
  <c r="BA220" i="2"/>
  <c r="AB230" i="2"/>
  <c r="AE230" i="2" s="1"/>
  <c r="BB230" i="2" s="1"/>
  <c r="BG227" i="2"/>
  <c r="AB226" i="2"/>
  <c r="AE226" i="2" s="1"/>
  <c r="BB226" i="2" s="1"/>
  <c r="BG223" i="2"/>
  <c r="AB222" i="2"/>
  <c r="AE222" i="2" s="1"/>
  <c r="BB222" i="2" s="1"/>
  <c r="BG219" i="2"/>
  <c r="AB218" i="2"/>
  <c r="AE218" i="2" s="1"/>
  <c r="BB218" i="2" s="1"/>
  <c r="BG215" i="2"/>
  <c r="AB214" i="2"/>
  <c r="AE214" i="2" s="1"/>
  <c r="BB214" i="2" s="1"/>
  <c r="BG211" i="2"/>
  <c r="AB210" i="2"/>
  <c r="AE210" i="2" s="1"/>
  <c r="BB210" i="2" s="1"/>
  <c r="BG207" i="2"/>
  <c r="AB206" i="2"/>
  <c r="AE206" i="2" s="1"/>
  <c r="BB206" i="2" s="1"/>
  <c r="BG203" i="2"/>
  <c r="AB202" i="2"/>
  <c r="AE202" i="2" s="1"/>
  <c r="BB202" i="2" s="1"/>
  <c r="BG199" i="2"/>
  <c r="AB198" i="2"/>
  <c r="AE198" i="2" s="1"/>
  <c r="BB198" i="2" s="1"/>
  <c r="AW194" i="2"/>
  <c r="AB194" i="2"/>
  <c r="AE194" i="2" s="1"/>
  <c r="BB194" i="2" s="1"/>
  <c r="BF194" i="2" s="1"/>
  <c r="AB193" i="2"/>
  <c r="AE193" i="2" s="1"/>
  <c r="BB193" i="2" s="1"/>
  <c r="BA190" i="2"/>
  <c r="BA189" i="2"/>
  <c r="AW187" i="2"/>
  <c r="AB187" i="2"/>
  <c r="AE187" i="2" s="1"/>
  <c r="BB187" i="2" s="1"/>
  <c r="BF187" i="2" s="1"/>
  <c r="AW186" i="2"/>
  <c r="AB186" i="2"/>
  <c r="AE186" i="2" s="1"/>
  <c r="BB186" i="2" s="1"/>
  <c r="BF186" i="2" s="1"/>
  <c r="AB185" i="2"/>
  <c r="AE185" i="2" s="1"/>
  <c r="BB185" i="2" s="1"/>
  <c r="AB177" i="2"/>
  <c r="AE177" i="2" s="1"/>
  <c r="BB177" i="2" s="1"/>
  <c r="BF177" i="2" s="1"/>
  <c r="AW177" i="2"/>
  <c r="AB173" i="2"/>
  <c r="AE173" i="2" s="1"/>
  <c r="BB173" i="2" s="1"/>
  <c r="BF173" i="2" s="1"/>
  <c r="BB153" i="2"/>
  <c r="AW148" i="2"/>
  <c r="BA148" i="2"/>
  <c r="AW139" i="2"/>
  <c r="BA139" i="2"/>
  <c r="AB121" i="2"/>
  <c r="AE121" i="2" s="1"/>
  <c r="BB121" i="2" s="1"/>
  <c r="BF121" i="2" s="1"/>
  <c r="AW121" i="2"/>
  <c r="BG91" i="2"/>
  <c r="AW91" i="2"/>
  <c r="BA91" i="2"/>
  <c r="AB84" i="2"/>
  <c r="AE84" i="2" s="1"/>
  <c r="BB84" i="2" s="1"/>
  <c r="BF84" i="2" s="1"/>
  <c r="AW84" i="2"/>
  <c r="BG49" i="2"/>
  <c r="BG48" i="2"/>
  <c r="AP170" i="2"/>
  <c r="BG167" i="2"/>
  <c r="BG166" i="2"/>
  <c r="AE162" i="2"/>
  <c r="BB162" i="2" s="1"/>
  <c r="BG156" i="2"/>
  <c r="BG155" i="2"/>
  <c r="AP151" i="2"/>
  <c r="AP135" i="2"/>
  <c r="AE107" i="2"/>
  <c r="BB107" i="2" s="1"/>
  <c r="AE103" i="2"/>
  <c r="BB103" i="2" s="1"/>
  <c r="AP97" i="2"/>
  <c r="AE94" i="2"/>
  <c r="BB94" i="2" s="1"/>
  <c r="AE82" i="2"/>
  <c r="BB82" i="2" s="1"/>
  <c r="BG76" i="2"/>
  <c r="AE52" i="2"/>
  <c r="BB52" i="2" s="1"/>
  <c r="BG47" i="2"/>
  <c r="BG20" i="2"/>
  <c r="BG19" i="2"/>
  <c r="BG192" i="2"/>
  <c r="BG188" i="2"/>
  <c r="BG184" i="2"/>
  <c r="BG181" i="2"/>
  <c r="AB175" i="2"/>
  <c r="AE175" i="2" s="1"/>
  <c r="BB175" i="2" s="1"/>
  <c r="BF175" i="2" s="1"/>
  <c r="BG173" i="2"/>
  <c r="AP171" i="2"/>
  <c r="BG162" i="2"/>
  <c r="AE161" i="2"/>
  <c r="BB161" i="2" s="1"/>
  <c r="BG147" i="2"/>
  <c r="AB146" i="2"/>
  <c r="AE146" i="2" s="1"/>
  <c r="BB146" i="2" s="1"/>
  <c r="AP145" i="2"/>
  <c r="BA143" i="2"/>
  <c r="AP134" i="2"/>
  <c r="BG129" i="2"/>
  <c r="AB129" i="2"/>
  <c r="AE129" i="2" s="1"/>
  <c r="BB129" i="2" s="1"/>
  <c r="AP128" i="2"/>
  <c r="BA127" i="2"/>
  <c r="BG124" i="2"/>
  <c r="BG122" i="2"/>
  <c r="BG120" i="2"/>
  <c r="BG118" i="2"/>
  <c r="BG116" i="2"/>
  <c r="BG114" i="2"/>
  <c r="AP78" i="2"/>
  <c r="BA47" i="2"/>
  <c r="BG37" i="2"/>
  <c r="BG16" i="2"/>
  <c r="BG15" i="2"/>
  <c r="AE170" i="2"/>
  <c r="BB170" i="2" s="1"/>
  <c r="BG163" i="2"/>
  <c r="BG126" i="2"/>
  <c r="AP121" i="2"/>
  <c r="AP119" i="2"/>
  <c r="AP117" i="2"/>
  <c r="AP115" i="2"/>
  <c r="BA107" i="2"/>
  <c r="AE97" i="2"/>
  <c r="BB97" i="2" s="1"/>
  <c r="AP96" i="2"/>
  <c r="BG88" i="2"/>
  <c r="AP86" i="2"/>
  <c r="AB80" i="2"/>
  <c r="AE80" i="2" s="1"/>
  <c r="BB80" i="2" s="1"/>
  <c r="AP79" i="2"/>
  <c r="BG72" i="2"/>
  <c r="BG43" i="2"/>
  <c r="BG35" i="2"/>
  <c r="BG30" i="2"/>
  <c r="BG195" i="2"/>
  <c r="BG191" i="2"/>
  <c r="BG187" i="2"/>
  <c r="BG183" i="2"/>
  <c r="BG175" i="2"/>
  <c r="BG170" i="2"/>
  <c r="AE169" i="2"/>
  <c r="BB169" i="2" s="1"/>
  <c r="AW159" i="2"/>
  <c r="AP159" i="2"/>
  <c r="AP158" i="2"/>
  <c r="AP157" i="2"/>
  <c r="BG151" i="2"/>
  <c r="AB150" i="2"/>
  <c r="AE150" i="2" s="1"/>
  <c r="BB150" i="2" s="1"/>
  <c r="AP149" i="2"/>
  <c r="BA147" i="2"/>
  <c r="BG146" i="2"/>
  <c r="BA138" i="2"/>
  <c r="AB134" i="2"/>
  <c r="AE134" i="2" s="1"/>
  <c r="BB134" i="2" s="1"/>
  <c r="AP131" i="2"/>
  <c r="BA129" i="2"/>
  <c r="AW113" i="2"/>
  <c r="AP113" i="2"/>
  <c r="AW109" i="2"/>
  <c r="BA103" i="2"/>
  <c r="BA94" i="2"/>
  <c r="BA82" i="2"/>
  <c r="BG54" i="2"/>
  <c r="BA53" i="2"/>
  <c r="BG171" i="2"/>
  <c r="BG145" i="2"/>
  <c r="BA137" i="2"/>
  <c r="BG134" i="2"/>
  <c r="BG128" i="2"/>
  <c r="BG78" i="2"/>
  <c r="BG68" i="2"/>
  <c r="BA51" i="2"/>
  <c r="AP155" i="2"/>
  <c r="BG150" i="2"/>
  <c r="AP141" i="2"/>
  <c r="AP140" i="2"/>
  <c r="BG133" i="2"/>
  <c r="BG132" i="2"/>
  <c r="BG125" i="2"/>
  <c r="BG123" i="2"/>
  <c r="BG121" i="2"/>
  <c r="BG119" i="2"/>
  <c r="BG117" i="2"/>
  <c r="BG115" i="2"/>
  <c r="AE113" i="2"/>
  <c r="BB113" i="2" s="1"/>
  <c r="AE109" i="2"/>
  <c r="BB109" i="2" s="1"/>
  <c r="AP90" i="2"/>
  <c r="BA80" i="2"/>
  <c r="BG32" i="2"/>
  <c r="BG31" i="2"/>
  <c r="BG18" i="2"/>
  <c r="BG9" i="2"/>
  <c r="AE232" i="2"/>
  <c r="BB232" i="2" s="1"/>
  <c r="BF232" i="2" s="1"/>
  <c r="BG230" i="2"/>
  <c r="AE184" i="2"/>
  <c r="BB184" i="2" s="1"/>
  <c r="AE178" i="2"/>
  <c r="BB178" i="2" s="1"/>
  <c r="AE164" i="2"/>
  <c r="BB164" i="2" s="1"/>
  <c r="AE163" i="2"/>
  <c r="BB163" i="2" s="1"/>
  <c r="AE172" i="2"/>
  <c r="BB172" i="2" s="1"/>
  <c r="AE171" i="2"/>
  <c r="BB171" i="2" s="1"/>
  <c r="BG232" i="2"/>
  <c r="AE159" i="2"/>
  <c r="BB159" i="2" s="1"/>
  <c r="BG229" i="2"/>
  <c r="BG231" i="2"/>
  <c r="BB221" i="2"/>
  <c r="BB217" i="2"/>
  <c r="BB201" i="2"/>
  <c r="BB179" i="2"/>
  <c r="AE167" i="2"/>
  <c r="BB167" i="2" s="1"/>
  <c r="BF167" i="2" s="1"/>
  <c r="BB155" i="2"/>
  <c r="BB148" i="2"/>
  <c r="AW169" i="2"/>
  <c r="BA165" i="2"/>
  <c r="BG165" i="2"/>
  <c r="AB165" i="2"/>
  <c r="AE165" i="2" s="1"/>
  <c r="BB165" i="2" s="1"/>
  <c r="AW161" i="2"/>
  <c r="BA157" i="2"/>
  <c r="BG157" i="2"/>
  <c r="AB157" i="2"/>
  <c r="AE157" i="2" s="1"/>
  <c r="BB157" i="2" s="1"/>
  <c r="AW153" i="2"/>
  <c r="BG143" i="2"/>
  <c r="AB143" i="2"/>
  <c r="AE143" i="2" s="1"/>
  <c r="BB143" i="2" s="1"/>
  <c r="BG141" i="2"/>
  <c r="AB141" i="2"/>
  <c r="AE141" i="2" s="1"/>
  <c r="BB141" i="2" s="1"/>
  <c r="BG139" i="2"/>
  <c r="AB139" i="2"/>
  <c r="AE139" i="2" s="1"/>
  <c r="BB139" i="2" s="1"/>
  <c r="BG137" i="2"/>
  <c r="AB137" i="2"/>
  <c r="AE137" i="2" s="1"/>
  <c r="BB137" i="2" s="1"/>
  <c r="BG135" i="2"/>
  <c r="AB135" i="2"/>
  <c r="AE135" i="2" s="1"/>
  <c r="BB135" i="2" s="1"/>
  <c r="BA133" i="2"/>
  <c r="BB124" i="2"/>
  <c r="AW54" i="2"/>
  <c r="BA54" i="2"/>
  <c r="AB54" i="2"/>
  <c r="AE54" i="2" s="1"/>
  <c r="BB54" i="2" s="1"/>
  <c r="AW170" i="2"/>
  <c r="BA166" i="2"/>
  <c r="AB166" i="2"/>
  <c r="AE166" i="2" s="1"/>
  <c r="BB166" i="2" s="1"/>
  <c r="AW162" i="2"/>
  <c r="BA158" i="2"/>
  <c r="AB158" i="2"/>
  <c r="AE158" i="2" s="1"/>
  <c r="BB158" i="2" s="1"/>
  <c r="AW154" i="2"/>
  <c r="AB151" i="2"/>
  <c r="AE151" i="2" s="1"/>
  <c r="BB151" i="2" s="1"/>
  <c r="AB147" i="2"/>
  <c r="AE147" i="2" s="1"/>
  <c r="BB147" i="2" s="1"/>
  <c r="AB132" i="2"/>
  <c r="AE132" i="2" s="1"/>
  <c r="BB132" i="2" s="1"/>
  <c r="BG112" i="2"/>
  <c r="AW68" i="2"/>
  <c r="BA68" i="2"/>
  <c r="AB68" i="2"/>
  <c r="AE68" i="2" s="1"/>
  <c r="BB68" i="2" s="1"/>
  <c r="AW171" i="2"/>
  <c r="AW163" i="2"/>
  <c r="AW155" i="2"/>
  <c r="BG108" i="2"/>
  <c r="AB100" i="2"/>
  <c r="AE100" i="2" s="1"/>
  <c r="BB100" i="2" s="1"/>
  <c r="AW100" i="2"/>
  <c r="AE99" i="2"/>
  <c r="BB99" i="2" s="1"/>
  <c r="AE91" i="2"/>
  <c r="BB91" i="2" s="1"/>
  <c r="BG168" i="2"/>
  <c r="BG160" i="2"/>
  <c r="BG152" i="2"/>
  <c r="BG148" i="2"/>
  <c r="BG144" i="2"/>
  <c r="BA132" i="2"/>
  <c r="BG111" i="2"/>
  <c r="BA169" i="2"/>
  <c r="BG169" i="2"/>
  <c r="BA161" i="2"/>
  <c r="BG161" i="2"/>
  <c r="BA153" i="2"/>
  <c r="BG153" i="2"/>
  <c r="BG142" i="2"/>
  <c r="AB142" i="2"/>
  <c r="AE142" i="2" s="1"/>
  <c r="BB142" i="2" s="1"/>
  <c r="BG140" i="2"/>
  <c r="AB140" i="2"/>
  <c r="AE140" i="2" s="1"/>
  <c r="BB140" i="2" s="1"/>
  <c r="BG138" i="2"/>
  <c r="AB138" i="2"/>
  <c r="AE138" i="2" s="1"/>
  <c r="BB138" i="2" s="1"/>
  <c r="BG136" i="2"/>
  <c r="AB136" i="2"/>
  <c r="AE136" i="2" s="1"/>
  <c r="BB136" i="2" s="1"/>
  <c r="AB131" i="2"/>
  <c r="AE131" i="2" s="1"/>
  <c r="BB131" i="2" s="1"/>
  <c r="BB117" i="2"/>
  <c r="BF117" i="2" s="1"/>
  <c r="BG107" i="2"/>
  <c r="AE106" i="2"/>
  <c r="BB106" i="2" s="1"/>
  <c r="BG104" i="2"/>
  <c r="AE95" i="2"/>
  <c r="BB95" i="2" s="1"/>
  <c r="AW76" i="2"/>
  <c r="BA76" i="2"/>
  <c r="AB76" i="2"/>
  <c r="AE76" i="2" s="1"/>
  <c r="BB76" i="2" s="1"/>
  <c r="BA170" i="2"/>
  <c r="BA162" i="2"/>
  <c r="BA154" i="2"/>
  <c r="AB149" i="2"/>
  <c r="AE149" i="2" s="1"/>
  <c r="BB149" i="2" s="1"/>
  <c r="AB145" i="2"/>
  <c r="AE145" i="2" s="1"/>
  <c r="BB145" i="2" s="1"/>
  <c r="BF145" i="2" s="1"/>
  <c r="BG103" i="2"/>
  <c r="AE102" i="2"/>
  <c r="BB102" i="2" s="1"/>
  <c r="AB90" i="2"/>
  <c r="AE90" i="2" s="1"/>
  <c r="BB90" i="2" s="1"/>
  <c r="BF90" i="2" s="1"/>
  <c r="AW90" i="2"/>
  <c r="BA171" i="2"/>
  <c r="BA163" i="2"/>
  <c r="BA155" i="2"/>
  <c r="AB133" i="2"/>
  <c r="AE133" i="2" s="1"/>
  <c r="BB133" i="2" s="1"/>
  <c r="BA100" i="2"/>
  <c r="BG95" i="2"/>
  <c r="AP110" i="2"/>
  <c r="AP106" i="2"/>
  <c r="AP102" i="2"/>
  <c r="AP99" i="2"/>
  <c r="BG98" i="2"/>
  <c r="AP87" i="2"/>
  <c r="BG86" i="2"/>
  <c r="BG60" i="2"/>
  <c r="AW94" i="2"/>
  <c r="AP92" i="2"/>
  <c r="AB89" i="2"/>
  <c r="AE89" i="2" s="1"/>
  <c r="BB89" i="2" s="1"/>
  <c r="AW74" i="2"/>
  <c r="BA74" i="2"/>
  <c r="AB74" i="2"/>
  <c r="AE74" i="2" s="1"/>
  <c r="BB74" i="2" s="1"/>
  <c r="BG70" i="2"/>
  <c r="AW66" i="2"/>
  <c r="BA66" i="2"/>
  <c r="AB66" i="2"/>
  <c r="AE66" i="2" s="1"/>
  <c r="BB66" i="2" s="1"/>
  <c r="BG58" i="2"/>
  <c r="AW103" i="2"/>
  <c r="AW97" i="2"/>
  <c r="BG96" i="2"/>
  <c r="AB83" i="2"/>
  <c r="AE83" i="2" s="1"/>
  <c r="BB83" i="2" s="1"/>
  <c r="AW83" i="2"/>
  <c r="BG77" i="2"/>
  <c r="AW64" i="2"/>
  <c r="BA64" i="2"/>
  <c r="AB64" i="2"/>
  <c r="AE64" i="2" s="1"/>
  <c r="BB64" i="2" s="1"/>
  <c r="BG56" i="2"/>
  <c r="AP100" i="2"/>
  <c r="BG99" i="2"/>
  <c r="BA93" i="2"/>
  <c r="AW88" i="2"/>
  <c r="AP88" i="2"/>
  <c r="BG83" i="2"/>
  <c r="AW82" i="2"/>
  <c r="AP82" i="2"/>
  <c r="AW72" i="2"/>
  <c r="BA72" i="2"/>
  <c r="AB72" i="2"/>
  <c r="AE72" i="2" s="1"/>
  <c r="BB72" i="2" s="1"/>
  <c r="AW62" i="2"/>
  <c r="BA62" i="2"/>
  <c r="AB62" i="2"/>
  <c r="AE62" i="2" s="1"/>
  <c r="BB62" i="2" s="1"/>
  <c r="AP108" i="2"/>
  <c r="AP104" i="2"/>
  <c r="AP95" i="2"/>
  <c r="BG94" i="2"/>
  <c r="AW79" i="2"/>
  <c r="BA79" i="2"/>
  <c r="AB79" i="2"/>
  <c r="AE79" i="2" s="1"/>
  <c r="BB79" i="2" s="1"/>
  <c r="AW60" i="2"/>
  <c r="BA60" i="2"/>
  <c r="AB60" i="2"/>
  <c r="AE60" i="2" s="1"/>
  <c r="BB60" i="2" s="1"/>
  <c r="BG97" i="2"/>
  <c r="BA89" i="2"/>
  <c r="BA83" i="2"/>
  <c r="AW78" i="2"/>
  <c r="AB78" i="2"/>
  <c r="AE78" i="2" s="1"/>
  <c r="BB78" i="2" s="1"/>
  <c r="BA78" i="2"/>
  <c r="BG74" i="2"/>
  <c r="AW70" i="2"/>
  <c r="BA70" i="2"/>
  <c r="AB70" i="2"/>
  <c r="AE70" i="2" s="1"/>
  <c r="BB70" i="2" s="1"/>
  <c r="BG66" i="2"/>
  <c r="AW58" i="2"/>
  <c r="BA58" i="2"/>
  <c r="AB58" i="2"/>
  <c r="AE58" i="2" s="1"/>
  <c r="BB58" i="2" s="1"/>
  <c r="BG100" i="2"/>
  <c r="BG90" i="2"/>
  <c r="AW56" i="2"/>
  <c r="BA56" i="2"/>
  <c r="AB56" i="2"/>
  <c r="AE56" i="2" s="1"/>
  <c r="BB56" i="2" s="1"/>
  <c r="AP93" i="2"/>
  <c r="AP89" i="2"/>
  <c r="BG51" i="2"/>
  <c r="AP83" i="2"/>
  <c r="BG36" i="2"/>
  <c r="AB33" i="2"/>
  <c r="AE33" i="2" s="1"/>
  <c r="BB33" i="2" s="1"/>
  <c r="BA33" i="2"/>
  <c r="AW33" i="2"/>
  <c r="AW77" i="2"/>
  <c r="AB77" i="2"/>
  <c r="AE77" i="2" s="1"/>
  <c r="BB77" i="2" s="1"/>
  <c r="BF77" i="2" s="1"/>
  <c r="AW75" i="2"/>
  <c r="AB75" i="2"/>
  <c r="AE75" i="2" s="1"/>
  <c r="BB75" i="2" s="1"/>
  <c r="BF75" i="2" s="1"/>
  <c r="AW73" i="2"/>
  <c r="AB73" i="2"/>
  <c r="AE73" i="2" s="1"/>
  <c r="BB73" i="2" s="1"/>
  <c r="BF73" i="2" s="1"/>
  <c r="AW71" i="2"/>
  <c r="AB71" i="2"/>
  <c r="AE71" i="2" s="1"/>
  <c r="BB71" i="2" s="1"/>
  <c r="BF71" i="2" s="1"/>
  <c r="AW69" i="2"/>
  <c r="AB69" i="2"/>
  <c r="AE69" i="2" s="1"/>
  <c r="BB69" i="2" s="1"/>
  <c r="BF69" i="2" s="1"/>
  <c r="AW67" i="2"/>
  <c r="AB67" i="2"/>
  <c r="AE67" i="2" s="1"/>
  <c r="BB67" i="2" s="1"/>
  <c r="BF67" i="2" s="1"/>
  <c r="AW65" i="2"/>
  <c r="AB65" i="2"/>
  <c r="AE65" i="2" s="1"/>
  <c r="BB65" i="2" s="1"/>
  <c r="BF65" i="2" s="1"/>
  <c r="AW63" i="2"/>
  <c r="AB63" i="2"/>
  <c r="AE63" i="2" s="1"/>
  <c r="BB63" i="2" s="1"/>
  <c r="BF63" i="2" s="1"/>
  <c r="AW61" i="2"/>
  <c r="AB61" i="2"/>
  <c r="AE61" i="2" s="1"/>
  <c r="BB61" i="2" s="1"/>
  <c r="BF61" i="2" s="1"/>
  <c r="AW59" i="2"/>
  <c r="AB59" i="2"/>
  <c r="AE59" i="2" s="1"/>
  <c r="BB59" i="2" s="1"/>
  <c r="BF59" i="2" s="1"/>
  <c r="AW57" i="2"/>
  <c r="AB57" i="2"/>
  <c r="AE57" i="2" s="1"/>
  <c r="BB57" i="2" s="1"/>
  <c r="BF57" i="2" s="1"/>
  <c r="AW55" i="2"/>
  <c r="AB55" i="2"/>
  <c r="AE55" i="2" s="1"/>
  <c r="BB55" i="2" s="1"/>
  <c r="BF55" i="2" s="1"/>
  <c r="BG53" i="2"/>
  <c r="AB29" i="2"/>
  <c r="AE29" i="2" s="1"/>
  <c r="BB29" i="2" s="1"/>
  <c r="BA29" i="2"/>
  <c r="AW29" i="2"/>
  <c r="BG75" i="2"/>
  <c r="BG73" i="2"/>
  <c r="BG71" i="2"/>
  <c r="BG69" i="2"/>
  <c r="BG67" i="2"/>
  <c r="BG65" i="2"/>
  <c r="BG63" i="2"/>
  <c r="BG61" i="2"/>
  <c r="BG59" i="2"/>
  <c r="BG57" i="2"/>
  <c r="BG55" i="2"/>
  <c r="AW52" i="2"/>
  <c r="BA52" i="2"/>
  <c r="AW48" i="2"/>
  <c r="AB48" i="2"/>
  <c r="AE48" i="2" s="1"/>
  <c r="BB48" i="2" s="1"/>
  <c r="BA48" i="2"/>
  <c r="AB25" i="2"/>
  <c r="AE25" i="2" s="1"/>
  <c r="BB25" i="2" s="1"/>
  <c r="BA25" i="2"/>
  <c r="AW25" i="2"/>
  <c r="BG52" i="2"/>
  <c r="AB21" i="2"/>
  <c r="AE21" i="2" s="1"/>
  <c r="BB21" i="2" s="1"/>
  <c r="BA21" i="2"/>
  <c r="AW21" i="2"/>
  <c r="AW81" i="2"/>
  <c r="AB81" i="2"/>
  <c r="AE81" i="2" s="1"/>
  <c r="BB81" i="2" s="1"/>
  <c r="BF81" i="2" s="1"/>
  <c r="AB36" i="2"/>
  <c r="AE36" i="2" s="1"/>
  <c r="BB36" i="2" s="1"/>
  <c r="BA36" i="2"/>
  <c r="AW36" i="2"/>
  <c r="AB17" i="2"/>
  <c r="AE17" i="2" s="1"/>
  <c r="BB17" i="2" s="1"/>
  <c r="BA17" i="2"/>
  <c r="AW17" i="2"/>
  <c r="AB53" i="2"/>
  <c r="AE53" i="2" s="1"/>
  <c r="BB53" i="2" s="1"/>
  <c r="AB49" i="2"/>
  <c r="AE49" i="2" s="1"/>
  <c r="BB49" i="2" s="1"/>
  <c r="BF49" i="2" s="1"/>
  <c r="AE10" i="2"/>
  <c r="BB10" i="2" s="1"/>
  <c r="AB38" i="2"/>
  <c r="AE38" i="2" s="1"/>
  <c r="BB38" i="2" s="1"/>
  <c r="BA38" i="2"/>
  <c r="AW38" i="2"/>
  <c r="AB32" i="2"/>
  <c r="AE32" i="2" s="1"/>
  <c r="BB32" i="2" s="1"/>
  <c r="BA32" i="2"/>
  <c r="AW32" i="2"/>
  <c r="AB28" i="2"/>
  <c r="AE28" i="2" s="1"/>
  <c r="BB28" i="2" s="1"/>
  <c r="BA28" i="2"/>
  <c r="AW28" i="2"/>
  <c r="AB24" i="2"/>
  <c r="AE24" i="2" s="1"/>
  <c r="BB24" i="2" s="1"/>
  <c r="BA24" i="2"/>
  <c r="AW24" i="2"/>
  <c r="AB20" i="2"/>
  <c r="AE20" i="2" s="1"/>
  <c r="BB20" i="2" s="1"/>
  <c r="BA20" i="2"/>
  <c r="AW20" i="2"/>
  <c r="AB16" i="2"/>
  <c r="AE16" i="2" s="1"/>
  <c r="BB16" i="2" s="1"/>
  <c r="BA16" i="2"/>
  <c r="AW16" i="2"/>
  <c r="BB8" i="2"/>
  <c r="AB46" i="2"/>
  <c r="AE46" i="2" s="1"/>
  <c r="BB46" i="2" s="1"/>
  <c r="AW46" i="2"/>
  <c r="AB44" i="2"/>
  <c r="AE44" i="2" s="1"/>
  <c r="BB44" i="2" s="1"/>
  <c r="BA44" i="2"/>
  <c r="AW44" i="2"/>
  <c r="AB42" i="2"/>
  <c r="AE42" i="2" s="1"/>
  <c r="BB42" i="2" s="1"/>
  <c r="BA42" i="2"/>
  <c r="AW42" i="2"/>
  <c r="AB40" i="2"/>
  <c r="AE40" i="2" s="1"/>
  <c r="BB40" i="2" s="1"/>
  <c r="BA40" i="2"/>
  <c r="AW40" i="2"/>
  <c r="AB35" i="2"/>
  <c r="AE35" i="2" s="1"/>
  <c r="BB35" i="2" s="1"/>
  <c r="BA35" i="2"/>
  <c r="AW35" i="2"/>
  <c r="BB7" i="2"/>
  <c r="AB31" i="2"/>
  <c r="AE31" i="2" s="1"/>
  <c r="BB31" i="2" s="1"/>
  <c r="BA31" i="2"/>
  <c r="AW31" i="2"/>
  <c r="AB27" i="2"/>
  <c r="AE27" i="2" s="1"/>
  <c r="BB27" i="2" s="1"/>
  <c r="BA27" i="2"/>
  <c r="AW27" i="2"/>
  <c r="AB23" i="2"/>
  <c r="AE23" i="2" s="1"/>
  <c r="BB23" i="2" s="1"/>
  <c r="BA23" i="2"/>
  <c r="AW23" i="2"/>
  <c r="AB19" i="2"/>
  <c r="AE19" i="2" s="1"/>
  <c r="BB19" i="2" s="1"/>
  <c r="BA19" i="2"/>
  <c r="AW19" i="2"/>
  <c r="AB15" i="2"/>
  <c r="AE15" i="2" s="1"/>
  <c r="BB15" i="2" s="1"/>
  <c r="BA15" i="2"/>
  <c r="AW15" i="2"/>
  <c r="AB51" i="2"/>
  <c r="AE51" i="2" s="1"/>
  <c r="BB51" i="2" s="1"/>
  <c r="BA50" i="2"/>
  <c r="AB47" i="2"/>
  <c r="AE47" i="2" s="1"/>
  <c r="BB47" i="2" s="1"/>
  <c r="BA46" i="2"/>
  <c r="AB37" i="2"/>
  <c r="AE37" i="2" s="1"/>
  <c r="BB37" i="2" s="1"/>
  <c r="BA37" i="2"/>
  <c r="AW37" i="2"/>
  <c r="AB14" i="2"/>
  <c r="AE14" i="2" s="1"/>
  <c r="BB14" i="2" s="1"/>
  <c r="BA14" i="2"/>
  <c r="AW14" i="2"/>
  <c r="AE6" i="2"/>
  <c r="BB6" i="2" s="1"/>
  <c r="AB34" i="2"/>
  <c r="AE34" i="2" s="1"/>
  <c r="BB34" i="2" s="1"/>
  <c r="BA34" i="2"/>
  <c r="AW34" i="2"/>
  <c r="AB30" i="2"/>
  <c r="AE30" i="2" s="1"/>
  <c r="BB30" i="2" s="1"/>
  <c r="BA30" i="2"/>
  <c r="AW30" i="2"/>
  <c r="AB26" i="2"/>
  <c r="AE26" i="2" s="1"/>
  <c r="BB26" i="2" s="1"/>
  <c r="BA26" i="2"/>
  <c r="AW26" i="2"/>
  <c r="AB22" i="2"/>
  <c r="AE22" i="2" s="1"/>
  <c r="BB22" i="2" s="1"/>
  <c r="BA22" i="2"/>
  <c r="AW22" i="2"/>
  <c r="AB18" i="2"/>
  <c r="AE18" i="2" s="1"/>
  <c r="BB18" i="2" s="1"/>
  <c r="BA18" i="2"/>
  <c r="AW18" i="2"/>
  <c r="AB13" i="2"/>
  <c r="AE13" i="2" s="1"/>
  <c r="BB13" i="2" s="1"/>
  <c r="BA13" i="2"/>
  <c r="AW13" i="2"/>
  <c r="AB45" i="2"/>
  <c r="AE45" i="2" s="1"/>
  <c r="BB45" i="2" s="1"/>
  <c r="BA45" i="2"/>
  <c r="AW45" i="2"/>
  <c r="AB43" i="2"/>
  <c r="AE43" i="2" s="1"/>
  <c r="BB43" i="2" s="1"/>
  <c r="BA43" i="2"/>
  <c r="AW43" i="2"/>
  <c r="AB41" i="2"/>
  <c r="AE41" i="2" s="1"/>
  <c r="BB41" i="2" s="1"/>
  <c r="BA41" i="2"/>
  <c r="AW41" i="2"/>
  <c r="AB39" i="2"/>
  <c r="AE39" i="2" s="1"/>
  <c r="BB39" i="2" s="1"/>
  <c r="BA39" i="2"/>
  <c r="AW39" i="2"/>
  <c r="AE12" i="2"/>
  <c r="BB12" i="2" s="1"/>
  <c r="AE4" i="2"/>
  <c r="BB4" i="2" s="1"/>
  <c r="AW12" i="2"/>
  <c r="AW11" i="2"/>
  <c r="AW10" i="2"/>
  <c r="AW9" i="2"/>
  <c r="AW8" i="2"/>
  <c r="AW7" i="2"/>
  <c r="AW6" i="2"/>
  <c r="AW5" i="2"/>
  <c r="AW4" i="2"/>
  <c r="BA12" i="2"/>
  <c r="BA11" i="2"/>
  <c r="BA10" i="2"/>
  <c r="BA9" i="2"/>
  <c r="BA8" i="2"/>
  <c r="BA7" i="2"/>
  <c r="BA6" i="2"/>
  <c r="BA5" i="2"/>
  <c r="BA4" i="2"/>
  <c r="E7" i="21"/>
  <c r="K7" i="21"/>
  <c r="BF219" i="2" l="1"/>
  <c r="BF229" i="2"/>
  <c r="BF107" i="2"/>
  <c r="BF104" i="2"/>
  <c r="BF109" i="2"/>
  <c r="BF113" i="2"/>
  <c r="BF156" i="2"/>
  <c r="BF142" i="2"/>
  <c r="BF124" i="2"/>
  <c r="BF103" i="2"/>
  <c r="BF199" i="2"/>
  <c r="BF116" i="2"/>
  <c r="BF91" i="2"/>
  <c r="BF99" i="2"/>
  <c r="BF209" i="2"/>
  <c r="BF172" i="2"/>
  <c r="BF160" i="2"/>
  <c r="BF185" i="2"/>
  <c r="BF94" i="2"/>
  <c r="BF114" i="2"/>
  <c r="BF143" i="2"/>
  <c r="BF210" i="2"/>
  <c r="BF102" i="2"/>
  <c r="BF224" i="2"/>
  <c r="BF134" i="2"/>
  <c r="BF222" i="2"/>
  <c r="BF212" i="2"/>
  <c r="BF231" i="2"/>
  <c r="BF195" i="2"/>
  <c r="BF205" i="2"/>
  <c r="BF126" i="2"/>
  <c r="BF225" i="2"/>
  <c r="BF146" i="2"/>
  <c r="BF112" i="2"/>
  <c r="BF188" i="2"/>
  <c r="BF92" i="2"/>
  <c r="BF211" i="2"/>
  <c r="BF178" i="2"/>
  <c r="BF151" i="2"/>
  <c r="BF202" i="2"/>
  <c r="BF131" i="2"/>
  <c r="BF217" i="2"/>
  <c r="BF154" i="2"/>
  <c r="BF153" i="2"/>
  <c r="BF221" i="2"/>
  <c r="BF184" i="2"/>
  <c r="BF106" i="2"/>
  <c r="BF179" i="2"/>
  <c r="BF197" i="2"/>
  <c r="BF193" i="2"/>
  <c r="BF190" i="2"/>
  <c r="BF148" i="2"/>
  <c r="BF226" i="2"/>
  <c r="BF204" i="2"/>
  <c r="BF227" i="2"/>
  <c r="BF183" i="2"/>
  <c r="BF97" i="2"/>
  <c r="BF47" i="2"/>
  <c r="BF128" i="2"/>
  <c r="BF93" i="2"/>
  <c r="BF149" i="2"/>
  <c r="BF85" i="2"/>
  <c r="BF136" i="2"/>
  <c r="BF213" i="2"/>
  <c r="BF159" i="2"/>
  <c r="BF164" i="2"/>
  <c r="BF218" i="2"/>
  <c r="BF215" i="2"/>
  <c r="BF230" i="2"/>
  <c r="BF122" i="2"/>
  <c r="BF8" i="2"/>
  <c r="BF108" i="2"/>
  <c r="BF191" i="2"/>
  <c r="BF82" i="2"/>
  <c r="BF150" i="2"/>
  <c r="BF198" i="2"/>
  <c r="BF189" i="2"/>
  <c r="BF200" i="2"/>
  <c r="BF216" i="2"/>
  <c r="BF176" i="2"/>
  <c r="BF130" i="2"/>
  <c r="BF140" i="2"/>
  <c r="BF203" i="2"/>
  <c r="BF127" i="2"/>
  <c r="BF53" i="2"/>
  <c r="BF135" i="2"/>
  <c r="BF206" i="2"/>
  <c r="BF192" i="2"/>
  <c r="BF80" i="2"/>
  <c r="BF5" i="2"/>
  <c r="BF37" i="2"/>
  <c r="BF144" i="2"/>
  <c r="BF214" i="2"/>
  <c r="BF207" i="2"/>
  <c r="BF223" i="2"/>
  <c r="BF111" i="2"/>
  <c r="BF105" i="2"/>
  <c r="BF51" i="2"/>
  <c r="BF155" i="2"/>
  <c r="BF147" i="2"/>
  <c r="BF129" i="2"/>
  <c r="BF137" i="2"/>
  <c r="BF141" i="2"/>
  <c r="BF220" i="2"/>
  <c r="BF19" i="2"/>
  <c r="BF20" i="2"/>
  <c r="BF170" i="2"/>
  <c r="BF119" i="2"/>
  <c r="BF208" i="2"/>
  <c r="BF201" i="2"/>
  <c r="BF196" i="2"/>
  <c r="BF228" i="2"/>
  <c r="BF88" i="2"/>
  <c r="BF101" i="2"/>
  <c r="BF79" i="2"/>
  <c r="BF169" i="2"/>
  <c r="BF162" i="2"/>
  <c r="BF95" i="2"/>
  <c r="BF100" i="2"/>
  <c r="BF138" i="2"/>
  <c r="BF21" i="2"/>
  <c r="BF48" i="2"/>
  <c r="BF165" i="2"/>
  <c r="BF58" i="2"/>
  <c r="BF38" i="2"/>
  <c r="BF7" i="2"/>
  <c r="BF29" i="2"/>
  <c r="BF158" i="2"/>
  <c r="BF13" i="2"/>
  <c r="BF43" i="2"/>
  <c r="BF139" i="2"/>
  <c r="BF6" i="2"/>
  <c r="BF52" i="2"/>
  <c r="BF9" i="2"/>
  <c r="BF72" i="2"/>
  <c r="BF157" i="2"/>
  <c r="BF26" i="2"/>
  <c r="BF15" i="2"/>
  <c r="BF35" i="2"/>
  <c r="BF16" i="2"/>
  <c r="BF25" i="2"/>
  <c r="BF33" i="2"/>
  <c r="BF70" i="2"/>
  <c r="BF171" i="2"/>
  <c r="BF132" i="2"/>
  <c r="BF68" i="2"/>
  <c r="BF166" i="2"/>
  <c r="BF10" i="2"/>
  <c r="BF39" i="2"/>
  <c r="BF46" i="2"/>
  <c r="BF27" i="2"/>
  <c r="BF44" i="2"/>
  <c r="BF28" i="2"/>
  <c r="BF36" i="2"/>
  <c r="BF83" i="2"/>
  <c r="BF60" i="2"/>
  <c r="BF89" i="2"/>
  <c r="BF76" i="2"/>
  <c r="BF161" i="2"/>
  <c r="BF18" i="2"/>
  <c r="BF12" i="2"/>
  <c r="BF40" i="2"/>
  <c r="BF56" i="2"/>
  <c r="BF64" i="2"/>
  <c r="BF11" i="2"/>
  <c r="BF45" i="2"/>
  <c r="BF4" i="2"/>
  <c r="BF30" i="2"/>
  <c r="BF50" i="2"/>
  <c r="BF41" i="2"/>
  <c r="BF14" i="2"/>
  <c r="BF31" i="2"/>
  <c r="BF32" i="2"/>
  <c r="BF74" i="2"/>
  <c r="BF54" i="2"/>
  <c r="BF163" i="2"/>
  <c r="BF22" i="2"/>
  <c r="BF78" i="2"/>
  <c r="BF62" i="2"/>
  <c r="BF133" i="2"/>
  <c r="BF34" i="2"/>
  <c r="BF23" i="2"/>
  <c r="BF42" i="2"/>
  <c r="BF24" i="2"/>
  <c r="BF17" i="2"/>
  <c r="BF66" i="2"/>
  <c r="BD3" i="2" l="1"/>
  <c r="D8" i="14" l="1"/>
  <c r="I17" i="21" s="1"/>
  <c r="I24" i="21" s="1"/>
  <c r="D7" i="14"/>
  <c r="I16" i="21" s="1"/>
  <c r="I23" i="21" s="1"/>
  <c r="D6" i="14"/>
  <c r="I15" i="21" s="1"/>
  <c r="C8" i="14"/>
  <c r="H17" i="21" s="1"/>
  <c r="H24" i="21" s="1"/>
  <c r="C7" i="14"/>
  <c r="H16" i="21" s="1"/>
  <c r="H23" i="21" s="1"/>
  <c r="C6" i="14"/>
  <c r="H15" i="21" s="1"/>
  <c r="H22" i="21" l="1"/>
  <c r="H25" i="21" s="1"/>
  <c r="H18" i="21"/>
  <c r="I22" i="21"/>
  <c r="I25" i="21" s="1"/>
  <c r="I18" i="21"/>
  <c r="Z5" i="12"/>
  <c r="AD5" i="12" s="1"/>
  <c r="Z6" i="12"/>
  <c r="AD6" i="12" s="1"/>
  <c r="Z7" i="12"/>
  <c r="AD7" i="12" s="1"/>
  <c r="Z8" i="12"/>
  <c r="AD8" i="12" s="1"/>
  <c r="Z9" i="12"/>
  <c r="AD9" i="12" s="1"/>
  <c r="Z10" i="12"/>
  <c r="AD10" i="12" s="1"/>
  <c r="Z11" i="12"/>
  <c r="AD11" i="12" s="1"/>
  <c r="Z12" i="12"/>
  <c r="AD12" i="12" s="1"/>
  <c r="Z13" i="12"/>
  <c r="AD13" i="12" s="1"/>
  <c r="Z14" i="12"/>
  <c r="AD14" i="12" s="1"/>
  <c r="Z15" i="12"/>
  <c r="AD15" i="12" s="1"/>
  <c r="Z16" i="12"/>
  <c r="AD16" i="12" s="1"/>
  <c r="Z17" i="12"/>
  <c r="AD17" i="12" s="1"/>
  <c r="Z18" i="12"/>
  <c r="AD18" i="12" s="1"/>
  <c r="Z19" i="12"/>
  <c r="AD19" i="12" s="1"/>
  <c r="Z20" i="12"/>
  <c r="AD20" i="12" s="1"/>
  <c r="Z21" i="12"/>
  <c r="AD21" i="12" s="1"/>
  <c r="Z22" i="12"/>
  <c r="AD22" i="12" s="1"/>
  <c r="Z23" i="12"/>
  <c r="AD23" i="12" s="1"/>
  <c r="Z24" i="12"/>
  <c r="AD24" i="12" s="1"/>
  <c r="Z25" i="12"/>
  <c r="AD25" i="12" s="1"/>
  <c r="Z26" i="12"/>
  <c r="AD26" i="12" s="1"/>
  <c r="Z27" i="12"/>
  <c r="AD27" i="12" s="1"/>
  <c r="Z28" i="12"/>
  <c r="AD28" i="12" s="1"/>
  <c r="Z29" i="12"/>
  <c r="AD29" i="12" s="1"/>
  <c r="Z30" i="12"/>
  <c r="AD30" i="12" s="1"/>
  <c r="Z31" i="12"/>
  <c r="AD31" i="12" s="1"/>
  <c r="Z32" i="12"/>
  <c r="AD32" i="12" s="1"/>
  <c r="Z33" i="12"/>
  <c r="AD33" i="12" s="1"/>
  <c r="Z34" i="12"/>
  <c r="AD34" i="12" s="1"/>
  <c r="Z35" i="12"/>
  <c r="AD35" i="12" s="1"/>
  <c r="Z36" i="12"/>
  <c r="AD36" i="12" s="1"/>
  <c r="Z37" i="12"/>
  <c r="AD37" i="12" s="1"/>
  <c r="Z38" i="12"/>
  <c r="AD38" i="12" s="1"/>
  <c r="Z39" i="12"/>
  <c r="AD39" i="12" s="1"/>
  <c r="Z40" i="12"/>
  <c r="AD40" i="12" s="1"/>
  <c r="Z41" i="12"/>
  <c r="AD41" i="12" s="1"/>
  <c r="Z42" i="12"/>
  <c r="AD42" i="12" s="1"/>
  <c r="Z43" i="12"/>
  <c r="AD43" i="12" s="1"/>
  <c r="Z44" i="12"/>
  <c r="AD44" i="12" s="1"/>
  <c r="Z45" i="12"/>
  <c r="AD45" i="12" s="1"/>
  <c r="Z46" i="12"/>
  <c r="AD46" i="12" s="1"/>
  <c r="Z47" i="12"/>
  <c r="AD47" i="12" s="1"/>
  <c r="Z48" i="12"/>
  <c r="AD48" i="12" s="1"/>
  <c r="Z49" i="12"/>
  <c r="AD49" i="12" s="1"/>
  <c r="Z50" i="12"/>
  <c r="AD50" i="12" s="1"/>
  <c r="Z51" i="12"/>
  <c r="AD51" i="12" s="1"/>
  <c r="Z52" i="12"/>
  <c r="AD52" i="12" s="1"/>
  <c r="Z53" i="12"/>
  <c r="AD53" i="12" s="1"/>
  <c r="Z54" i="12"/>
  <c r="AD54" i="12" s="1"/>
  <c r="Z55" i="12"/>
  <c r="AD55" i="12" s="1"/>
  <c r="Z56" i="12"/>
  <c r="AD56" i="12" s="1"/>
  <c r="Z57" i="12"/>
  <c r="AD57" i="12" s="1"/>
  <c r="Z58" i="12"/>
  <c r="AD58" i="12" s="1"/>
  <c r="Z59" i="12"/>
  <c r="AD59" i="12" s="1"/>
  <c r="Z60" i="12"/>
  <c r="AD60" i="12" s="1"/>
  <c r="Z61" i="12"/>
  <c r="AD61" i="12" s="1"/>
  <c r="Z62" i="12"/>
  <c r="AD62" i="12" s="1"/>
  <c r="Z63" i="12"/>
  <c r="AD63" i="12" s="1"/>
  <c r="Z64" i="12"/>
  <c r="AD64" i="12" s="1"/>
  <c r="Z65" i="12"/>
  <c r="AD65" i="12" s="1"/>
  <c r="Z66" i="12"/>
  <c r="AD66" i="12" s="1"/>
  <c r="Z67" i="12"/>
  <c r="AD67" i="12" s="1"/>
  <c r="Z68" i="12"/>
  <c r="AD68" i="12" s="1"/>
  <c r="Z69" i="12"/>
  <c r="AD69" i="12" s="1"/>
  <c r="Z70" i="12"/>
  <c r="AD70" i="12" s="1"/>
  <c r="Z71" i="12"/>
  <c r="AD71" i="12" s="1"/>
  <c r="Z72" i="12"/>
  <c r="AD72" i="12" s="1"/>
  <c r="Z73" i="12"/>
  <c r="AD73" i="12" s="1"/>
  <c r="Z74" i="12"/>
  <c r="AD74" i="12" s="1"/>
  <c r="Z75" i="12"/>
  <c r="AD75" i="12" s="1"/>
  <c r="Z76" i="12"/>
  <c r="AD76" i="12" s="1"/>
  <c r="Z77" i="12"/>
  <c r="AD77" i="12" s="1"/>
  <c r="Z78" i="12"/>
  <c r="AD78" i="12" s="1"/>
  <c r="Z79" i="12"/>
  <c r="AD79" i="12" s="1"/>
  <c r="Z80" i="12"/>
  <c r="AD80" i="12" s="1"/>
  <c r="Z81" i="12"/>
  <c r="AD81" i="12" s="1"/>
  <c r="Z82" i="12"/>
  <c r="AD82" i="12" s="1"/>
  <c r="Z83" i="12"/>
  <c r="AD83" i="12" s="1"/>
  <c r="Z84" i="12"/>
  <c r="AD84" i="12" s="1"/>
  <c r="Z85" i="12"/>
  <c r="AD85" i="12" s="1"/>
  <c r="Z86" i="12"/>
  <c r="AD86" i="12" s="1"/>
  <c r="Z87" i="12"/>
  <c r="AD87" i="12" s="1"/>
  <c r="Z88" i="12"/>
  <c r="AD88" i="12" s="1"/>
  <c r="Z89" i="12"/>
  <c r="AD89" i="12" s="1"/>
  <c r="Z90" i="12"/>
  <c r="AD90" i="12" s="1"/>
  <c r="Z91" i="12"/>
  <c r="AD91" i="12" s="1"/>
  <c r="Z92" i="12"/>
  <c r="AD92" i="12" s="1"/>
  <c r="Z93" i="12"/>
  <c r="AD93" i="12" s="1"/>
  <c r="Z94" i="12"/>
  <c r="AD94" i="12" s="1"/>
  <c r="Z95" i="12"/>
  <c r="AD95" i="12" s="1"/>
  <c r="Z96" i="12"/>
  <c r="AD96" i="12" s="1"/>
  <c r="Z97" i="12"/>
  <c r="AD97" i="12" s="1"/>
  <c r="Z98" i="12"/>
  <c r="AD98" i="12" s="1"/>
  <c r="Z99" i="12"/>
  <c r="AD99" i="12" s="1"/>
  <c r="Z100" i="12"/>
  <c r="AD100" i="12" s="1"/>
  <c r="Z101" i="12"/>
  <c r="AD101" i="12" s="1"/>
  <c r="Z102" i="12"/>
  <c r="AD102" i="12" s="1"/>
  <c r="Z103" i="12"/>
  <c r="AD103" i="12" s="1"/>
  <c r="Z104" i="12"/>
  <c r="AD104" i="12" s="1"/>
  <c r="Z105" i="12"/>
  <c r="AD105" i="12" s="1"/>
  <c r="Z106" i="12"/>
  <c r="AD106" i="12" s="1"/>
  <c r="Z107" i="12"/>
  <c r="AD107" i="12" s="1"/>
  <c r="Z108" i="12"/>
  <c r="AD108" i="12" s="1"/>
  <c r="Z109" i="12"/>
  <c r="AD109" i="12" s="1"/>
  <c r="Z110" i="12"/>
  <c r="AD110" i="12" s="1"/>
  <c r="Z111" i="12"/>
  <c r="AD111" i="12" s="1"/>
  <c r="Z112" i="12"/>
  <c r="Z113" i="12"/>
  <c r="Z114" i="12"/>
  <c r="Z115" i="12"/>
  <c r="Z116" i="12"/>
  <c r="Z117" i="12"/>
  <c r="Z118" i="12"/>
  <c r="Z119" i="12"/>
  <c r="Z120" i="12"/>
  <c r="Z121" i="12"/>
  <c r="Z122" i="12"/>
  <c r="Z123" i="12"/>
  <c r="Z124" i="12"/>
  <c r="Z125" i="12"/>
  <c r="Z126" i="12"/>
  <c r="Z127" i="12"/>
  <c r="Z128" i="12"/>
  <c r="Z129" i="12"/>
  <c r="Z130" i="12"/>
  <c r="Z131" i="12"/>
  <c r="Z132" i="12"/>
  <c r="Z133" i="12"/>
  <c r="Z134" i="12"/>
  <c r="Z135" i="12"/>
  <c r="Z136" i="12"/>
  <c r="Z137" i="12"/>
  <c r="Z138" i="12"/>
  <c r="Z139" i="12"/>
  <c r="Z140" i="12"/>
  <c r="Z141" i="12"/>
  <c r="Z142" i="12"/>
  <c r="Z143" i="12"/>
  <c r="Z144" i="12"/>
  <c r="Z145" i="12"/>
  <c r="Z146" i="12"/>
  <c r="Z147" i="12"/>
  <c r="Z148" i="12"/>
  <c r="Z149" i="12"/>
  <c r="Z150" i="12"/>
  <c r="Z151" i="12"/>
  <c r="Z152" i="12"/>
  <c r="Z153" i="12"/>
  <c r="Z154" i="12"/>
  <c r="Z155" i="12"/>
  <c r="Z156" i="12"/>
  <c r="Z157" i="12"/>
  <c r="Z158" i="12"/>
  <c r="Z159" i="12"/>
  <c r="Z160" i="12"/>
  <c r="Z161" i="12"/>
  <c r="Z162" i="12"/>
  <c r="Z163" i="12"/>
  <c r="Z164" i="12"/>
  <c r="Z165" i="12"/>
  <c r="Z166" i="12"/>
  <c r="Z167" i="12"/>
  <c r="Z168" i="12"/>
  <c r="Z169" i="12"/>
  <c r="Z170" i="12"/>
  <c r="Z171" i="12"/>
  <c r="Z172" i="12"/>
  <c r="Z173" i="12"/>
  <c r="Z174" i="12"/>
  <c r="Z175" i="12"/>
  <c r="Z176" i="12"/>
  <c r="Z177" i="12"/>
  <c r="Z178" i="12"/>
  <c r="Z179" i="12"/>
  <c r="Z180" i="12"/>
  <c r="Z181" i="12"/>
  <c r="Z182" i="12"/>
  <c r="Z183" i="12"/>
  <c r="Z184" i="12"/>
  <c r="Z185" i="12"/>
  <c r="Z186" i="12"/>
  <c r="Z187" i="12"/>
  <c r="Z188" i="12"/>
  <c r="Z189" i="12"/>
  <c r="Z190" i="12"/>
  <c r="Z191" i="12"/>
  <c r="Z192" i="12"/>
  <c r="Z193" i="12"/>
  <c r="Z194" i="12"/>
  <c r="Z195" i="12"/>
  <c r="Z196" i="12"/>
  <c r="Z197" i="12"/>
  <c r="Z198" i="12"/>
  <c r="Z199" i="12"/>
  <c r="Z200" i="12"/>
  <c r="Z201" i="12"/>
  <c r="Z202" i="12"/>
  <c r="Z203" i="12"/>
  <c r="Z204" i="12"/>
  <c r="Z205" i="12"/>
  <c r="Z206" i="12"/>
  <c r="Z207" i="12"/>
  <c r="Z208" i="12"/>
  <c r="Z209" i="12"/>
  <c r="Z210" i="12"/>
  <c r="Z211" i="12"/>
  <c r="Z212" i="12"/>
  <c r="Z213" i="12"/>
  <c r="Z214" i="12"/>
  <c r="Z215" i="12"/>
  <c r="Z216" i="12"/>
  <c r="Z217" i="12"/>
  <c r="Z218" i="12"/>
  <c r="Z219" i="12"/>
  <c r="Z220" i="12"/>
  <c r="Z221" i="12"/>
  <c r="Z222" i="12"/>
  <c r="Z223" i="12"/>
  <c r="Z224" i="12"/>
  <c r="Z225" i="12"/>
  <c r="Z226" i="12"/>
  <c r="Z227" i="12"/>
  <c r="Z228" i="12"/>
  <c r="Z229" i="12"/>
  <c r="Z230" i="12"/>
  <c r="Z231" i="12"/>
  <c r="Z232" i="12"/>
  <c r="Z233" i="12"/>
  <c r="Z234" i="12"/>
  <c r="Z235" i="12"/>
  <c r="Z236" i="12"/>
  <c r="Z237" i="12"/>
  <c r="Z238" i="12"/>
  <c r="Z239" i="12"/>
  <c r="Z240" i="12"/>
  <c r="Z241" i="12"/>
  <c r="Z242" i="12"/>
  <c r="Z243" i="12"/>
  <c r="Z244" i="12"/>
  <c r="Z245" i="12"/>
  <c r="Z246" i="12"/>
  <c r="Z247" i="12"/>
  <c r="Z248" i="12"/>
  <c r="Z249" i="12"/>
  <c r="Z250" i="12"/>
  <c r="Z251" i="12"/>
  <c r="Z252" i="12"/>
  <c r="Z253" i="12"/>
  <c r="Z254" i="12"/>
  <c r="Z255" i="12"/>
  <c r="Z256" i="12"/>
  <c r="Z257" i="12"/>
  <c r="Z258" i="12"/>
  <c r="Z259" i="12"/>
  <c r="Z260" i="12"/>
  <c r="Z261" i="12"/>
  <c r="Z262" i="12"/>
  <c r="Z263" i="12"/>
  <c r="Z264" i="12"/>
  <c r="Z265" i="12"/>
  <c r="Z266" i="12"/>
  <c r="Z267" i="12"/>
  <c r="Z268" i="12"/>
  <c r="Z269" i="12"/>
  <c r="Z270" i="12"/>
  <c r="Z271" i="12"/>
  <c r="Z272" i="12"/>
  <c r="Z273" i="12"/>
  <c r="Z274" i="12"/>
  <c r="Z275" i="12"/>
  <c r="Z276" i="12"/>
  <c r="Z277" i="12"/>
  <c r="Z278" i="12"/>
  <c r="Z279" i="12"/>
  <c r="Z280" i="12"/>
  <c r="Z281" i="12"/>
  <c r="Z282" i="12"/>
  <c r="Z283" i="12"/>
  <c r="Z284" i="12"/>
  <c r="Z285" i="12"/>
  <c r="Z286" i="12"/>
  <c r="Z287" i="12"/>
  <c r="Z288" i="12"/>
  <c r="Z289" i="12"/>
  <c r="Z290" i="12"/>
  <c r="Z291" i="12"/>
  <c r="Z292" i="12"/>
  <c r="Z293" i="12"/>
  <c r="Z294" i="12"/>
  <c r="Z295" i="12"/>
  <c r="Z296" i="12"/>
  <c r="Z297" i="12"/>
  <c r="Z298" i="12"/>
  <c r="Z299" i="12"/>
  <c r="Z300" i="12"/>
  <c r="Z301" i="12"/>
  <c r="Z302" i="12"/>
  <c r="Z303" i="12"/>
  <c r="Z304" i="12"/>
  <c r="Z305" i="12"/>
  <c r="Z306" i="12"/>
  <c r="Z307" i="12"/>
  <c r="Z308" i="12"/>
  <c r="Z309" i="12"/>
  <c r="Z310" i="12"/>
  <c r="Z311" i="12"/>
  <c r="Z312" i="12"/>
  <c r="Z313" i="12"/>
  <c r="Z314" i="12"/>
  <c r="Z315" i="12"/>
  <c r="Z316" i="12"/>
  <c r="Z317" i="12"/>
  <c r="Z318" i="12"/>
  <c r="Z319" i="12"/>
  <c r="Z320" i="12"/>
  <c r="Z321" i="12"/>
  <c r="Z322" i="12"/>
  <c r="Z323" i="12"/>
  <c r="Z324" i="12"/>
  <c r="Z325" i="12"/>
  <c r="Z326" i="12"/>
  <c r="Z327" i="12"/>
  <c r="Z328" i="12"/>
  <c r="Z329" i="12"/>
  <c r="Z330" i="12"/>
  <c r="Z331" i="12"/>
  <c r="Z332" i="12"/>
  <c r="Z333" i="12"/>
  <c r="Z334" i="12"/>
  <c r="Z335" i="12"/>
  <c r="Z336" i="12"/>
  <c r="Z337" i="12"/>
  <c r="Z338" i="12"/>
  <c r="Z339" i="12"/>
  <c r="Z340" i="12"/>
  <c r="Z341" i="12"/>
  <c r="Z342" i="12"/>
  <c r="Z343" i="12"/>
  <c r="Z344" i="12"/>
  <c r="Z345" i="12"/>
  <c r="Z346" i="12"/>
  <c r="Z347" i="12"/>
  <c r="Z348" i="12"/>
  <c r="Z349" i="12"/>
  <c r="Z350" i="12"/>
  <c r="Z351" i="12"/>
  <c r="Z352" i="12"/>
  <c r="Z353" i="12"/>
  <c r="Z354" i="12"/>
  <c r="Z355" i="12"/>
  <c r="Z356" i="12"/>
  <c r="Z357" i="12"/>
  <c r="Z358" i="12"/>
  <c r="Z359" i="12"/>
  <c r="Z360" i="12"/>
  <c r="Z361" i="12"/>
  <c r="Z362" i="12"/>
  <c r="Z363" i="12"/>
  <c r="Z364" i="12"/>
  <c r="Z365" i="12"/>
  <c r="Z366" i="12"/>
  <c r="Z367" i="12"/>
  <c r="Z368" i="12"/>
  <c r="Z369" i="12"/>
  <c r="Z370" i="12"/>
  <c r="Z371" i="12"/>
  <c r="Z372" i="12"/>
  <c r="Z373" i="12"/>
  <c r="Z374" i="12"/>
  <c r="Z375" i="12"/>
  <c r="Z376" i="12"/>
  <c r="Z377" i="12"/>
  <c r="Z378" i="12"/>
  <c r="Z379" i="12"/>
  <c r="Z380" i="12"/>
  <c r="Z381" i="12"/>
  <c r="Z382" i="12"/>
  <c r="Z383" i="12"/>
  <c r="Z384" i="12"/>
  <c r="Z385" i="12"/>
  <c r="Z386" i="12"/>
  <c r="Z387" i="12"/>
  <c r="Z388" i="12"/>
  <c r="Z389" i="12"/>
  <c r="Z390" i="12"/>
  <c r="Z391" i="12"/>
  <c r="Z392" i="12"/>
  <c r="Z393" i="12"/>
  <c r="Z394" i="12"/>
  <c r="Z395" i="12"/>
  <c r="Z396" i="12"/>
  <c r="Z397" i="12"/>
  <c r="Z398" i="12"/>
  <c r="Z399" i="12"/>
  <c r="Z400" i="12"/>
  <c r="Z401" i="12"/>
  <c r="Z402" i="12"/>
  <c r="Z403" i="12"/>
  <c r="Z404" i="12"/>
  <c r="Z405" i="12"/>
  <c r="Z406" i="12"/>
  <c r="Z407" i="12"/>
  <c r="Z408" i="12"/>
  <c r="Z409" i="12"/>
  <c r="Z410" i="12"/>
  <c r="Z411" i="12"/>
  <c r="Z412" i="12"/>
  <c r="Z413" i="12"/>
  <c r="Z414" i="12"/>
  <c r="Z415" i="12"/>
  <c r="Z416" i="12"/>
  <c r="Z417" i="12"/>
  <c r="Z418" i="12"/>
  <c r="Z419" i="12"/>
  <c r="Z420" i="12"/>
  <c r="Z421" i="12"/>
  <c r="Z422" i="12"/>
  <c r="Z423" i="12"/>
  <c r="Z424" i="12"/>
  <c r="Z425" i="12"/>
  <c r="Z426" i="12"/>
  <c r="Z427" i="12"/>
  <c r="Z428" i="12"/>
  <c r="Z429" i="12"/>
  <c r="Z430" i="12"/>
  <c r="Z431" i="12"/>
  <c r="Z432" i="12"/>
  <c r="Z433" i="12"/>
  <c r="Z434" i="12"/>
  <c r="Z435" i="12"/>
  <c r="Z436" i="12"/>
  <c r="Z437" i="12"/>
  <c r="Z438" i="12"/>
  <c r="Z439" i="12"/>
  <c r="Z440" i="12"/>
  <c r="Z441" i="12"/>
  <c r="Z442" i="12"/>
  <c r="Z443" i="12"/>
  <c r="Z444" i="12"/>
  <c r="Z445" i="12"/>
  <c r="Z446" i="12"/>
  <c r="Z447" i="12"/>
  <c r="Z448" i="12"/>
  <c r="Z449" i="12"/>
  <c r="Z450" i="12"/>
  <c r="Z451" i="12"/>
  <c r="Z452" i="12"/>
  <c r="Z453" i="12"/>
  <c r="Z454" i="12"/>
  <c r="Z455" i="12"/>
  <c r="Z456" i="12"/>
  <c r="Z457" i="12"/>
  <c r="Z458" i="12"/>
  <c r="Z459" i="12"/>
  <c r="Z460" i="12"/>
  <c r="Z461" i="12"/>
  <c r="Z462" i="12"/>
  <c r="Z463" i="12"/>
  <c r="Z464" i="12"/>
  <c r="Z465" i="12"/>
  <c r="Z466" i="12"/>
  <c r="Z467" i="12"/>
  <c r="Z468" i="12"/>
  <c r="Z469" i="12"/>
  <c r="Z470" i="12"/>
  <c r="Z471" i="12"/>
  <c r="Z472" i="12"/>
  <c r="Z473" i="12"/>
  <c r="Z474" i="12"/>
  <c r="Z475" i="12"/>
  <c r="Z476" i="12"/>
  <c r="Z477" i="12"/>
  <c r="Z478" i="12"/>
  <c r="Z479" i="12"/>
  <c r="Z480" i="12"/>
  <c r="Z481" i="12"/>
  <c r="Z482" i="12"/>
  <c r="Z483" i="12"/>
  <c r="Z484" i="12"/>
  <c r="Z485" i="12"/>
  <c r="Z486" i="12"/>
  <c r="Z487" i="12"/>
  <c r="Z488" i="12"/>
  <c r="Z489" i="12"/>
  <c r="Z490" i="12"/>
  <c r="Z491" i="12"/>
  <c r="Z492" i="12"/>
  <c r="Z493" i="12"/>
  <c r="Z494" i="12"/>
  <c r="Z495" i="12"/>
  <c r="Z496" i="12"/>
  <c r="Z497" i="12"/>
  <c r="Z498" i="12"/>
  <c r="Z499" i="12"/>
  <c r="Z500" i="12"/>
  <c r="Z501" i="12"/>
  <c r="Z502" i="12"/>
  <c r="Z503" i="12"/>
  <c r="Z504" i="12"/>
  <c r="Z505" i="12"/>
  <c r="Z506" i="12"/>
  <c r="Z507" i="12"/>
  <c r="Z508" i="12"/>
  <c r="Z509" i="12"/>
  <c r="Z510" i="12"/>
  <c r="Z511" i="12"/>
  <c r="Z512" i="12"/>
  <c r="Z513" i="12"/>
  <c r="Z514" i="12"/>
  <c r="Z515" i="12"/>
  <c r="Z516" i="12"/>
  <c r="Z517" i="12"/>
  <c r="Z518" i="12"/>
  <c r="Z519" i="12"/>
  <c r="Z520" i="12"/>
  <c r="Z521" i="12"/>
  <c r="Z522" i="12"/>
  <c r="Z523" i="12"/>
  <c r="Z524" i="12"/>
  <c r="Z525" i="12"/>
  <c r="Z526" i="12"/>
  <c r="Z527" i="12"/>
  <c r="Z528" i="12"/>
  <c r="Z529" i="12"/>
  <c r="Z530" i="12"/>
  <c r="Z531" i="12"/>
  <c r="Z532" i="12"/>
  <c r="Z533" i="12"/>
  <c r="Z534" i="12"/>
  <c r="Z535" i="12"/>
  <c r="Z536" i="12"/>
  <c r="Z537" i="12"/>
  <c r="Z538" i="12"/>
  <c r="Z539" i="12"/>
  <c r="Z540" i="12"/>
  <c r="Z541" i="12"/>
  <c r="Z542" i="12"/>
  <c r="Z543" i="12"/>
  <c r="Z544" i="12"/>
  <c r="Z545" i="12"/>
  <c r="Z546" i="12"/>
  <c r="Z547" i="12"/>
  <c r="Z548" i="12"/>
  <c r="Z549" i="12"/>
  <c r="Z550" i="12"/>
  <c r="Z551" i="12"/>
  <c r="Z552" i="12"/>
  <c r="Z553" i="12"/>
  <c r="Z554" i="12"/>
  <c r="Z555" i="12"/>
  <c r="Z556" i="12"/>
  <c r="Z557" i="12"/>
  <c r="Z558" i="12"/>
  <c r="Z559" i="12"/>
  <c r="Z560" i="12"/>
  <c r="Z561" i="12"/>
  <c r="Z562" i="12"/>
  <c r="Z563" i="12"/>
  <c r="Z564" i="12"/>
  <c r="Z565" i="12"/>
  <c r="Z566" i="12"/>
  <c r="Z567" i="12"/>
  <c r="Z568" i="12"/>
  <c r="Z569" i="12"/>
  <c r="Z570" i="12"/>
  <c r="Z571" i="12"/>
  <c r="Z572" i="12"/>
  <c r="Z573" i="12"/>
  <c r="Z574" i="12"/>
  <c r="Z575" i="12"/>
  <c r="Z576" i="12"/>
  <c r="Z577" i="12"/>
  <c r="Z578" i="12"/>
  <c r="Z579" i="12"/>
  <c r="Z580" i="12"/>
  <c r="Z581" i="12"/>
  <c r="Z582" i="12"/>
  <c r="Z583" i="12"/>
  <c r="Z584" i="12"/>
  <c r="Z585" i="12"/>
  <c r="Z586" i="12"/>
  <c r="Z587" i="12"/>
  <c r="Z588" i="12"/>
  <c r="Z589" i="12"/>
  <c r="Z590" i="12"/>
  <c r="Z591" i="12"/>
  <c r="Z592" i="12"/>
  <c r="Z593" i="12"/>
  <c r="Z594" i="12"/>
  <c r="Z595" i="12"/>
  <c r="Z596" i="12"/>
  <c r="Z597" i="12"/>
  <c r="Z598" i="12"/>
  <c r="Z599" i="12"/>
  <c r="Z600" i="12"/>
  <c r="Z601" i="12"/>
  <c r="Z602" i="12"/>
  <c r="Z603" i="12"/>
  <c r="Z604" i="12"/>
  <c r="Z605" i="12"/>
  <c r="Z606" i="12"/>
  <c r="Z607" i="12"/>
  <c r="Z608" i="12"/>
  <c r="Z609" i="12"/>
  <c r="Z610" i="12"/>
  <c r="Z611" i="12"/>
  <c r="Z612" i="12"/>
  <c r="Z613" i="12"/>
  <c r="Z614" i="12"/>
  <c r="Z615" i="12"/>
  <c r="Z616" i="12"/>
  <c r="Z617" i="12"/>
  <c r="Z618" i="12"/>
  <c r="Z619" i="12"/>
  <c r="Z620" i="12"/>
  <c r="Z621" i="12"/>
  <c r="Z622" i="12"/>
  <c r="Z623" i="12"/>
  <c r="Z624" i="12"/>
  <c r="Z625" i="12"/>
  <c r="Z626" i="12"/>
  <c r="Z627" i="12"/>
  <c r="Z628" i="12"/>
  <c r="Z629" i="12"/>
  <c r="Z630" i="12"/>
  <c r="Z631" i="12"/>
  <c r="Z632" i="12"/>
  <c r="Z633" i="12"/>
  <c r="Z634" i="12"/>
  <c r="Z635" i="12"/>
  <c r="Z636" i="12"/>
  <c r="Z637" i="12"/>
  <c r="Z638" i="12"/>
  <c r="Z639" i="12"/>
  <c r="Z640" i="12"/>
  <c r="Z641" i="12"/>
  <c r="Z642" i="12"/>
  <c r="Z643" i="12"/>
  <c r="Z644" i="12"/>
  <c r="Z645" i="12"/>
  <c r="Z646" i="12"/>
  <c r="Z647" i="12"/>
  <c r="Z648" i="12"/>
  <c r="Z649" i="12"/>
  <c r="Z650" i="12"/>
  <c r="Z651" i="12"/>
  <c r="Z652" i="12"/>
  <c r="Z653" i="12"/>
  <c r="Z654" i="12"/>
  <c r="Z655" i="12"/>
  <c r="Z656" i="12"/>
  <c r="Z657" i="12"/>
  <c r="Z658" i="12"/>
  <c r="Z659" i="12"/>
  <c r="Z660" i="12"/>
  <c r="Z661" i="12"/>
  <c r="Z662" i="12"/>
  <c r="Z663" i="12"/>
  <c r="Z664" i="12"/>
  <c r="Z665" i="12"/>
  <c r="Z666" i="12"/>
  <c r="Z667" i="12"/>
  <c r="Z668" i="12"/>
  <c r="Z669" i="12"/>
  <c r="Z670" i="12"/>
  <c r="Z671" i="12"/>
  <c r="Z672" i="12"/>
  <c r="Z673" i="12"/>
  <c r="Z674" i="12"/>
  <c r="Z675" i="12"/>
  <c r="Z676" i="12"/>
  <c r="Z677" i="12"/>
  <c r="Z678" i="12"/>
  <c r="Z679" i="12"/>
  <c r="Z680" i="12"/>
  <c r="Z681" i="12"/>
  <c r="Z682" i="12"/>
  <c r="Z683" i="12"/>
  <c r="Z684" i="12"/>
  <c r="Z685" i="12"/>
  <c r="Z686" i="12"/>
  <c r="Z687" i="12"/>
  <c r="Z688" i="12"/>
  <c r="Z689" i="12"/>
  <c r="Z690" i="12"/>
  <c r="Z691" i="12"/>
  <c r="Z692" i="12"/>
  <c r="Z693" i="12"/>
  <c r="Z694" i="12"/>
  <c r="Z695" i="12"/>
  <c r="Z696" i="12"/>
  <c r="Z697" i="12"/>
  <c r="Z698" i="12"/>
  <c r="Z699" i="12"/>
  <c r="Z700" i="12"/>
  <c r="Z701" i="12"/>
  <c r="Z702" i="12"/>
  <c r="Z703" i="12"/>
  <c r="Z704" i="12"/>
  <c r="Z705" i="12"/>
  <c r="Z706" i="12"/>
  <c r="Z707" i="12"/>
  <c r="Z708" i="12"/>
  <c r="Z709" i="12"/>
  <c r="Z710" i="12"/>
  <c r="Z711" i="12"/>
  <c r="Z712" i="12"/>
  <c r="Z713" i="12"/>
  <c r="Z714" i="12"/>
  <c r="Z715" i="12"/>
  <c r="Z716" i="12"/>
  <c r="Z717" i="12"/>
  <c r="Z718" i="12"/>
  <c r="Z719" i="12"/>
  <c r="Z720" i="12"/>
  <c r="Z721" i="12"/>
  <c r="Z722" i="12"/>
  <c r="Z723" i="12"/>
  <c r="Z724" i="12"/>
  <c r="Z725" i="12"/>
  <c r="Z726" i="12"/>
  <c r="Z727" i="12"/>
  <c r="Z728" i="12"/>
  <c r="Z729" i="12"/>
  <c r="Z730" i="12"/>
  <c r="Z731" i="12"/>
  <c r="Z732" i="12"/>
  <c r="Z733" i="12"/>
  <c r="Z734" i="12"/>
  <c r="Z735" i="12"/>
  <c r="Z736" i="12"/>
  <c r="Z737" i="12"/>
  <c r="Z738" i="12"/>
  <c r="Z739" i="12"/>
  <c r="Z740" i="12"/>
  <c r="Z741" i="12"/>
  <c r="Z742" i="12"/>
  <c r="Z743" i="12"/>
  <c r="Z744" i="12"/>
  <c r="Z745" i="12"/>
  <c r="Z746" i="12"/>
  <c r="Z747" i="12"/>
  <c r="Z748" i="12"/>
  <c r="Z749" i="12"/>
  <c r="Z750" i="12"/>
  <c r="Z751" i="12"/>
  <c r="Z752" i="12"/>
  <c r="Z753" i="12"/>
  <c r="Z754" i="12"/>
  <c r="Z755" i="12"/>
  <c r="Z756" i="12"/>
  <c r="Z757" i="12"/>
  <c r="Z758" i="12"/>
  <c r="Z759" i="12"/>
  <c r="Z760" i="12"/>
  <c r="Z761" i="12"/>
  <c r="Z762" i="12"/>
  <c r="Z763" i="12"/>
  <c r="Z764" i="12"/>
  <c r="Z765" i="12"/>
  <c r="Z766" i="12"/>
  <c r="Z767" i="12"/>
  <c r="Z768" i="12"/>
  <c r="Z769" i="12"/>
  <c r="Z770" i="12"/>
  <c r="Z771" i="12"/>
  <c r="Z772" i="12"/>
  <c r="Z773" i="12"/>
  <c r="Z774" i="12"/>
  <c r="Z775" i="12"/>
  <c r="Z776" i="12"/>
  <c r="Z777" i="12"/>
  <c r="Z778" i="12"/>
  <c r="Z779" i="12"/>
  <c r="Z780" i="12"/>
  <c r="Z781" i="12"/>
  <c r="Z782" i="12"/>
  <c r="Z783" i="12"/>
  <c r="Z784" i="12"/>
  <c r="Z785" i="12"/>
  <c r="Z786" i="12"/>
  <c r="Z787" i="12"/>
  <c r="Z788" i="12"/>
  <c r="Z789" i="12"/>
  <c r="Z790" i="12"/>
  <c r="Z791" i="12"/>
  <c r="Z792" i="12"/>
  <c r="Z793" i="12"/>
  <c r="Z794" i="12"/>
  <c r="Z795" i="12"/>
  <c r="Z796" i="12"/>
  <c r="Z797" i="12"/>
  <c r="Z798" i="12"/>
  <c r="Z799" i="12"/>
  <c r="Z800" i="12"/>
  <c r="Z801" i="12"/>
  <c r="Z802" i="12"/>
  <c r="Z803" i="12"/>
  <c r="Z804" i="12"/>
  <c r="Z805" i="12"/>
  <c r="Z806" i="12"/>
  <c r="Z807" i="12"/>
  <c r="Z808" i="12"/>
  <c r="Z809" i="12"/>
  <c r="Z810" i="12"/>
  <c r="Z811" i="12"/>
  <c r="Z812" i="12"/>
  <c r="Z813" i="12"/>
  <c r="Z814" i="12"/>
  <c r="Z815" i="12"/>
  <c r="Z816" i="12"/>
  <c r="Z817" i="12"/>
  <c r="Z818" i="12"/>
  <c r="Z819" i="12"/>
  <c r="Z820" i="12"/>
  <c r="Z821" i="12"/>
  <c r="Z822" i="12"/>
  <c r="Z823" i="12"/>
  <c r="Z824" i="12"/>
  <c r="Z825" i="12"/>
  <c r="Z826" i="12"/>
  <c r="Z827" i="12"/>
  <c r="Z828" i="12"/>
  <c r="Z829" i="12"/>
  <c r="Z830" i="12"/>
  <c r="Z831" i="12"/>
  <c r="Z832" i="12"/>
  <c r="Z833" i="12"/>
  <c r="Z834" i="12"/>
  <c r="Z835" i="12"/>
  <c r="Z836" i="12"/>
  <c r="Z837" i="12"/>
  <c r="Z838" i="12"/>
  <c r="Z839" i="12"/>
  <c r="Z840" i="12"/>
  <c r="Z841" i="12"/>
  <c r="Z842" i="12"/>
  <c r="Z843" i="12"/>
  <c r="Z844" i="12"/>
  <c r="Z845" i="12"/>
  <c r="Z846" i="12"/>
  <c r="Z847" i="12"/>
  <c r="Z848" i="12"/>
  <c r="Z849" i="12"/>
  <c r="Z850" i="12"/>
  <c r="Z851" i="12"/>
  <c r="Z852" i="12"/>
  <c r="Z853" i="12"/>
  <c r="Z854" i="12"/>
  <c r="Z855" i="12"/>
  <c r="Z856" i="12"/>
  <c r="Z857" i="12"/>
  <c r="Z858" i="12"/>
  <c r="Z859" i="12"/>
  <c r="Z860" i="12"/>
  <c r="Z861" i="12"/>
  <c r="Z862" i="12"/>
  <c r="Z863" i="12"/>
  <c r="Z864" i="12"/>
  <c r="Z865" i="12"/>
  <c r="Z866" i="12"/>
  <c r="Z867" i="12"/>
  <c r="Z868" i="12"/>
  <c r="Z869" i="12"/>
  <c r="Z870" i="12"/>
  <c r="Z871" i="12"/>
  <c r="Z872" i="12"/>
  <c r="Z873" i="12"/>
  <c r="Z874" i="12"/>
  <c r="Z875" i="12"/>
  <c r="Z876" i="12"/>
  <c r="Z877" i="12"/>
  <c r="Z878" i="12"/>
  <c r="Z879" i="12"/>
  <c r="Z880" i="12"/>
  <c r="Z881" i="12"/>
  <c r="Z882" i="12"/>
  <c r="Z883" i="12"/>
  <c r="Z884" i="12"/>
  <c r="Z885" i="12"/>
  <c r="Z886" i="12"/>
  <c r="Z887" i="12"/>
  <c r="Z888" i="12"/>
  <c r="Z889" i="12"/>
  <c r="Z890" i="12"/>
  <c r="Z891" i="12"/>
  <c r="Z892" i="12"/>
  <c r="Z893" i="12"/>
  <c r="Z894" i="12"/>
  <c r="Z895" i="12"/>
  <c r="Z896" i="12"/>
  <c r="Z897" i="12"/>
  <c r="Z898" i="12"/>
  <c r="Z899" i="12"/>
  <c r="Z900" i="12"/>
  <c r="Z901" i="12"/>
  <c r="Z902" i="12"/>
  <c r="Z903" i="12"/>
  <c r="Z904" i="12"/>
  <c r="Z905" i="12"/>
  <c r="Z906" i="12"/>
  <c r="Z907" i="12"/>
  <c r="Z908" i="12"/>
  <c r="Z909" i="12"/>
  <c r="Z910" i="12"/>
  <c r="Z911" i="12"/>
  <c r="Z912" i="12"/>
  <c r="Z913" i="12"/>
  <c r="Z914" i="12"/>
  <c r="Z915" i="12"/>
  <c r="Z916" i="12"/>
  <c r="Z917" i="12"/>
  <c r="Z918" i="12"/>
  <c r="Z919" i="12"/>
  <c r="Z920" i="12"/>
  <c r="Z921" i="12"/>
  <c r="Z922" i="12"/>
  <c r="Z923" i="12"/>
  <c r="Z924" i="12"/>
  <c r="Z925" i="12"/>
  <c r="Z926" i="12"/>
  <c r="Z927" i="12"/>
  <c r="Z928" i="12"/>
  <c r="Z929" i="12"/>
  <c r="Z930" i="12"/>
  <c r="Z931" i="12"/>
  <c r="Z932" i="12"/>
  <c r="Z933" i="12"/>
  <c r="Z934" i="12"/>
  <c r="Z935" i="12"/>
  <c r="Z936" i="12"/>
  <c r="Z937" i="12"/>
  <c r="Z938" i="12"/>
  <c r="Z939" i="12"/>
  <c r="Z940" i="12"/>
  <c r="Z941" i="12"/>
  <c r="Z942" i="12"/>
  <c r="Z943" i="12"/>
  <c r="Z944" i="12"/>
  <c r="Z945" i="12"/>
  <c r="Z946" i="12"/>
  <c r="Z947" i="12"/>
  <c r="Z948" i="12"/>
  <c r="Z949" i="12"/>
  <c r="Z950" i="12"/>
  <c r="Z951" i="12"/>
  <c r="Z952" i="12"/>
  <c r="Z953" i="12"/>
  <c r="Z954" i="12"/>
  <c r="Z955" i="12"/>
  <c r="Z956" i="12"/>
  <c r="Z957" i="12"/>
  <c r="Z958" i="12"/>
  <c r="Z959" i="12"/>
  <c r="Z960" i="12"/>
  <c r="Z961" i="12"/>
  <c r="Z962" i="12"/>
  <c r="Z963" i="12"/>
  <c r="Z964" i="12"/>
  <c r="Z965" i="12"/>
  <c r="Z966" i="12"/>
  <c r="Z967" i="12"/>
  <c r="Z968" i="12"/>
  <c r="Z969" i="12"/>
  <c r="Z970" i="12"/>
  <c r="Z971" i="12"/>
  <c r="Z972" i="12"/>
  <c r="Z973" i="12"/>
  <c r="Z974" i="12"/>
  <c r="Z975" i="12"/>
  <c r="Z976" i="12"/>
  <c r="Z977" i="12"/>
  <c r="Z978" i="12"/>
  <c r="Z979" i="12"/>
  <c r="Z980" i="12"/>
  <c r="Z981" i="12"/>
  <c r="Z982" i="12"/>
  <c r="Z983" i="12"/>
  <c r="Z984" i="12"/>
  <c r="Z985" i="12"/>
  <c r="Z986" i="12"/>
  <c r="Z987" i="12"/>
  <c r="Z988" i="12"/>
  <c r="Z989" i="12"/>
  <c r="Z990" i="12"/>
  <c r="Z991" i="12"/>
  <c r="Z992" i="12"/>
  <c r="Z993" i="12"/>
  <c r="Z994" i="12"/>
  <c r="Z995" i="12"/>
  <c r="Z996" i="12"/>
  <c r="Z997" i="12"/>
  <c r="Z998" i="12"/>
  <c r="Z999" i="12"/>
  <c r="Z1000" i="12"/>
  <c r="Z4" i="12"/>
  <c r="AD4" i="12" s="1"/>
  <c r="E8" i="14" l="1"/>
  <c r="J17" i="21" s="1"/>
  <c r="E7" i="14"/>
  <c r="J16" i="21" s="1"/>
  <c r="E6" i="14"/>
  <c r="J15" i="21" s="1"/>
  <c r="J18" i="21" l="1"/>
  <c r="K18" i="21" s="1"/>
  <c r="K15" i="21"/>
  <c r="J22" i="21"/>
  <c r="J23" i="21"/>
  <c r="K16" i="21"/>
  <c r="J24" i="21"/>
  <c r="K17" i="21"/>
  <c r="J25" i="21" l="1"/>
  <c r="BE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BF2" i="12"/>
  <c r="BG2" i="12"/>
  <c r="BE2" i="12"/>
  <c r="AU2" i="12"/>
  <c r="AS2" i="12"/>
  <c r="BA2" i="12"/>
  <c r="AW2" i="12"/>
  <c r="BD2" i="12"/>
  <c r="AT2" i="12"/>
  <c r="AX2" i="12"/>
  <c r="AZ2" i="12"/>
  <c r="C70" i="11" l="1"/>
  <c r="C71" i="11"/>
  <c r="C72" i="11"/>
  <c r="C73" i="11"/>
  <c r="C74" i="11"/>
  <c r="C75" i="11"/>
  <c r="BE367" i="12"/>
  <c r="BE368" i="12"/>
  <c r="BE369" i="12"/>
  <c r="BE370" i="12"/>
  <c r="BE371" i="12"/>
  <c r="BE372" i="12"/>
  <c r="BE373" i="12"/>
  <c r="BE374" i="12"/>
  <c r="BE375" i="12"/>
  <c r="BE376" i="12"/>
  <c r="BE377" i="12"/>
  <c r="BE378" i="12"/>
  <c r="BE379" i="12"/>
  <c r="BE380" i="12"/>
  <c r="BE381" i="12"/>
  <c r="BE382" i="12"/>
  <c r="BE383" i="12"/>
  <c r="BE384" i="12"/>
  <c r="BE385" i="12"/>
  <c r="BE386" i="12"/>
  <c r="BE387" i="12"/>
  <c r="BE388" i="12"/>
  <c r="BE389" i="12"/>
  <c r="BE390" i="12"/>
  <c r="BE391" i="12"/>
  <c r="BE392" i="12"/>
  <c r="BE393" i="12"/>
  <c r="BE394" i="12"/>
  <c r="BE395" i="12"/>
  <c r="BE396" i="12"/>
  <c r="BE397" i="12"/>
  <c r="BE398" i="12"/>
  <c r="BE399" i="12"/>
  <c r="BE400" i="12"/>
  <c r="BE401" i="12"/>
  <c r="BE402" i="12"/>
  <c r="BE403" i="12"/>
  <c r="BE404" i="12"/>
  <c r="BE405" i="12"/>
  <c r="BE406" i="12"/>
  <c r="BE407" i="12"/>
  <c r="BE408" i="12"/>
  <c r="BE409" i="12"/>
  <c r="BE410" i="12"/>
  <c r="BE411" i="12"/>
  <c r="BE412" i="12"/>
  <c r="BE413" i="12"/>
  <c r="BE414" i="12"/>
  <c r="BE415" i="12"/>
  <c r="BE416" i="12"/>
  <c r="BE417" i="12"/>
  <c r="BE418" i="12"/>
  <c r="BE419" i="12"/>
  <c r="BE420" i="12"/>
  <c r="BE421" i="12"/>
  <c r="BE422" i="12"/>
  <c r="BE423" i="12"/>
  <c r="BE424" i="12"/>
  <c r="BE425" i="12"/>
  <c r="BE426" i="12"/>
  <c r="BE427" i="12"/>
  <c r="BE428" i="12"/>
  <c r="BE429" i="12"/>
  <c r="BE430" i="12"/>
  <c r="BE431" i="12"/>
  <c r="BE432" i="12"/>
  <c r="BE433" i="12"/>
  <c r="BE434" i="12"/>
  <c r="BE435" i="12"/>
  <c r="BE436" i="12"/>
  <c r="BE437" i="12"/>
  <c r="BE438" i="12"/>
  <c r="BE439" i="12"/>
  <c r="BE440" i="12"/>
  <c r="BE441" i="12"/>
  <c r="BE442" i="12"/>
  <c r="BE443" i="12"/>
  <c r="BE444" i="12"/>
  <c r="BE445" i="12"/>
  <c r="BE446" i="12"/>
  <c r="BE447" i="12"/>
  <c r="BE448" i="12"/>
  <c r="BE449" i="12"/>
  <c r="BE450" i="12"/>
  <c r="BE451" i="12"/>
  <c r="BE452" i="12"/>
  <c r="BE453" i="12"/>
  <c r="BE454" i="12"/>
  <c r="BE455" i="12"/>
  <c r="BE456" i="12"/>
  <c r="BE457" i="12"/>
  <c r="BE458" i="12"/>
  <c r="BE459" i="12"/>
  <c r="BE460" i="12"/>
  <c r="BE461" i="12"/>
  <c r="BE462" i="12"/>
  <c r="BE463" i="12"/>
  <c r="BE464" i="12"/>
  <c r="BE465" i="12"/>
  <c r="BE466" i="12"/>
  <c r="BE467" i="12"/>
  <c r="BE468" i="12"/>
  <c r="BE469" i="12"/>
  <c r="BE470" i="12"/>
  <c r="BE471" i="12"/>
  <c r="BE472" i="12"/>
  <c r="BE473" i="12"/>
  <c r="BE474" i="12"/>
  <c r="BE475" i="12"/>
  <c r="BE476" i="12"/>
  <c r="BE477" i="12"/>
  <c r="BE478" i="12"/>
  <c r="BE479" i="12"/>
  <c r="BE480" i="12"/>
  <c r="BE481" i="12"/>
  <c r="BE482" i="12"/>
  <c r="BE483" i="12"/>
  <c r="BE484" i="12"/>
  <c r="BE485" i="12"/>
  <c r="BE486" i="12"/>
  <c r="BE487" i="12"/>
  <c r="BE488" i="12"/>
  <c r="BE489" i="12"/>
  <c r="BE490" i="12"/>
  <c r="BE491" i="12"/>
  <c r="BE492" i="12"/>
  <c r="BE493" i="12"/>
  <c r="BE494" i="12"/>
  <c r="BE495" i="12"/>
  <c r="BE496" i="12"/>
  <c r="BE497" i="12"/>
  <c r="BE498" i="12"/>
  <c r="BE499" i="12"/>
  <c r="BE500" i="12"/>
  <c r="BE501" i="12"/>
  <c r="BE502" i="12"/>
  <c r="BE503" i="12"/>
  <c r="BE504" i="12"/>
  <c r="BE505" i="12"/>
  <c r="BE506" i="12"/>
  <c r="BE507" i="12"/>
  <c r="BE508" i="12"/>
  <c r="BE509" i="12"/>
  <c r="BE510" i="12"/>
  <c r="C43" i="11"/>
  <c r="C44" i="11" s="1"/>
  <c r="H334" i="11" l="1"/>
  <c r="H338" i="11"/>
  <c r="H342" i="11"/>
  <c r="H346" i="11"/>
  <c r="H350" i="11"/>
  <c r="H354" i="11"/>
  <c r="H358" i="11"/>
  <c r="H362" i="11"/>
  <c r="H366" i="11"/>
  <c r="H370" i="11"/>
  <c r="H374" i="11"/>
  <c r="H378" i="11"/>
  <c r="H382" i="11"/>
  <c r="H386" i="11"/>
  <c r="H390" i="11"/>
  <c r="H394" i="11"/>
  <c r="H398" i="11"/>
  <c r="H402" i="11"/>
  <c r="H204" i="11"/>
  <c r="H268" i="11"/>
  <c r="H332" i="11"/>
  <c r="H236" i="11"/>
  <c r="H341" i="11"/>
  <c r="H353" i="11"/>
  <c r="H361" i="11"/>
  <c r="H369" i="11"/>
  <c r="H377" i="11"/>
  <c r="H389" i="11"/>
  <c r="H397" i="11"/>
  <c r="H405" i="11"/>
  <c r="H180" i="11"/>
  <c r="H335" i="11"/>
  <c r="H339" i="11"/>
  <c r="H343" i="11"/>
  <c r="H347" i="11"/>
  <c r="H351" i="11"/>
  <c r="H355" i="11"/>
  <c r="H359" i="11"/>
  <c r="H363" i="11"/>
  <c r="H367" i="11"/>
  <c r="H371" i="11"/>
  <c r="H375" i="11"/>
  <c r="H379" i="11"/>
  <c r="H383" i="11"/>
  <c r="H387" i="11"/>
  <c r="H391" i="11"/>
  <c r="H395" i="11"/>
  <c r="H399" i="11"/>
  <c r="H403" i="11"/>
  <c r="H220" i="11"/>
  <c r="H284" i="11"/>
  <c r="H196" i="11"/>
  <c r="H300" i="11"/>
  <c r="H337" i="11"/>
  <c r="H349" i="11"/>
  <c r="H357" i="11"/>
  <c r="H365" i="11"/>
  <c r="H373" i="11"/>
  <c r="H385" i="11"/>
  <c r="H393" i="11"/>
  <c r="H401" i="11"/>
  <c r="H252" i="11"/>
  <c r="H336" i="11"/>
  <c r="H340" i="11"/>
  <c r="H344" i="11"/>
  <c r="H348" i="11"/>
  <c r="H352" i="11"/>
  <c r="H356" i="11"/>
  <c r="H360" i="11"/>
  <c r="H364" i="11"/>
  <c r="H368" i="11"/>
  <c r="H372" i="11"/>
  <c r="H376" i="11"/>
  <c r="H380" i="11"/>
  <c r="H384" i="11"/>
  <c r="H388" i="11"/>
  <c r="H392" i="11"/>
  <c r="H396" i="11"/>
  <c r="H400" i="11"/>
  <c r="H404" i="11"/>
  <c r="H345" i="11"/>
  <c r="H381" i="11"/>
  <c r="H316" i="11"/>
  <c r="AC4" i="12"/>
  <c r="H328" i="11"/>
  <c r="H312" i="11"/>
  <c r="H296" i="11"/>
  <c r="H280" i="11"/>
  <c r="H264" i="11"/>
  <c r="H248" i="11"/>
  <c r="H232" i="11"/>
  <c r="H216" i="11"/>
  <c r="H200" i="11"/>
  <c r="H324" i="11"/>
  <c r="H308" i="11"/>
  <c r="H292" i="11"/>
  <c r="H276" i="11"/>
  <c r="H260" i="11"/>
  <c r="H244" i="11"/>
  <c r="H228" i="11"/>
  <c r="H212" i="11"/>
  <c r="H49" i="11"/>
  <c r="H53" i="11"/>
  <c r="H57" i="11"/>
  <c r="H61" i="11"/>
  <c r="H65" i="11"/>
  <c r="H69" i="11"/>
  <c r="H73" i="11"/>
  <c r="H77" i="11"/>
  <c r="H81" i="11"/>
  <c r="H85" i="11"/>
  <c r="H89" i="11"/>
  <c r="H93" i="11"/>
  <c r="H97" i="11"/>
  <c r="H101" i="11"/>
  <c r="H105" i="11"/>
  <c r="H109" i="11"/>
  <c r="H113" i="11"/>
  <c r="H117" i="11"/>
  <c r="H121" i="11"/>
  <c r="H125" i="11"/>
  <c r="H129" i="11"/>
  <c r="H133" i="11"/>
  <c r="H137" i="11"/>
  <c r="H141" i="11"/>
  <c r="H145" i="11"/>
  <c r="H149" i="11"/>
  <c r="H153" i="11"/>
  <c r="H157" i="11"/>
  <c r="H161" i="11"/>
  <c r="H165" i="11"/>
  <c r="H169" i="11"/>
  <c r="H173" i="11"/>
  <c r="H177" i="11"/>
  <c r="H181" i="11"/>
  <c r="H185" i="11"/>
  <c r="H189" i="11"/>
  <c r="H193" i="11"/>
  <c r="H197" i="11"/>
  <c r="H201" i="11"/>
  <c r="H205" i="11"/>
  <c r="H209" i="11"/>
  <c r="H213" i="11"/>
  <c r="H217" i="11"/>
  <c r="H221" i="11"/>
  <c r="H225" i="11"/>
  <c r="H229" i="11"/>
  <c r="H233" i="11"/>
  <c r="H237" i="11"/>
  <c r="H241" i="11"/>
  <c r="H245" i="11"/>
  <c r="H249" i="11"/>
  <c r="H253" i="11"/>
  <c r="H257" i="11"/>
  <c r="H261" i="11"/>
  <c r="H265" i="11"/>
  <c r="H269" i="11"/>
  <c r="H273" i="11"/>
  <c r="H277" i="11"/>
  <c r="H281" i="11"/>
  <c r="H285" i="11"/>
  <c r="H289" i="11"/>
  <c r="H293" i="11"/>
  <c r="H297" i="11"/>
  <c r="H301" i="11"/>
  <c r="H305" i="11"/>
  <c r="H309" i="11"/>
  <c r="H313" i="11"/>
  <c r="H317" i="11"/>
  <c r="H321" i="11"/>
  <c r="H325" i="11"/>
  <c r="H329" i="11"/>
  <c r="H333" i="11"/>
  <c r="H48" i="11"/>
  <c r="H60" i="11"/>
  <c r="H76" i="11"/>
  <c r="H88" i="11"/>
  <c r="H100" i="11"/>
  <c r="H116" i="11"/>
  <c r="H128" i="11"/>
  <c r="H140" i="11"/>
  <c r="H156" i="11"/>
  <c r="H168" i="11"/>
  <c r="H184" i="11"/>
  <c r="H50" i="11"/>
  <c r="H54" i="11"/>
  <c r="H58" i="11"/>
  <c r="H62" i="11"/>
  <c r="H66" i="11"/>
  <c r="H70" i="11"/>
  <c r="H74" i="11"/>
  <c r="H78" i="11"/>
  <c r="H82" i="11"/>
  <c r="H86" i="11"/>
  <c r="H90" i="11"/>
  <c r="H94" i="11"/>
  <c r="H98" i="11"/>
  <c r="H102" i="11"/>
  <c r="H106" i="11"/>
  <c r="H110" i="11"/>
  <c r="H114" i="11"/>
  <c r="H118" i="11"/>
  <c r="H122" i="11"/>
  <c r="H126" i="11"/>
  <c r="H130" i="11"/>
  <c r="H134" i="11"/>
  <c r="H138" i="11"/>
  <c r="H142" i="11"/>
  <c r="H146" i="11"/>
  <c r="H150" i="11"/>
  <c r="H154" i="11"/>
  <c r="H158" i="11"/>
  <c r="H162" i="11"/>
  <c r="H166" i="11"/>
  <c r="H170" i="11"/>
  <c r="H174" i="11"/>
  <c r="H178" i="11"/>
  <c r="H182" i="11"/>
  <c r="H186" i="11"/>
  <c r="H190" i="11"/>
  <c r="H194" i="11"/>
  <c r="H198" i="11"/>
  <c r="H202" i="11"/>
  <c r="H206" i="11"/>
  <c r="H210" i="11"/>
  <c r="H214" i="11"/>
  <c r="H218" i="11"/>
  <c r="H222" i="11"/>
  <c r="H226" i="11"/>
  <c r="H230" i="11"/>
  <c r="H234" i="11"/>
  <c r="H238" i="11"/>
  <c r="H242" i="11"/>
  <c r="H246" i="11"/>
  <c r="H250" i="11"/>
  <c r="H254" i="11"/>
  <c r="H258" i="11"/>
  <c r="H262" i="11"/>
  <c r="H266" i="11"/>
  <c r="H270" i="11"/>
  <c r="H274" i="11"/>
  <c r="H278" i="11"/>
  <c r="H282" i="11"/>
  <c r="H286" i="11"/>
  <c r="H290" i="11"/>
  <c r="H294" i="11"/>
  <c r="H298" i="11"/>
  <c r="H302" i="11"/>
  <c r="H306" i="11"/>
  <c r="H310" i="11"/>
  <c r="H314" i="11"/>
  <c r="H318" i="11"/>
  <c r="H322" i="11"/>
  <c r="H326" i="11"/>
  <c r="H330" i="11"/>
  <c r="H47" i="11"/>
  <c r="H56" i="11"/>
  <c r="H68" i="11"/>
  <c r="H80" i="11"/>
  <c r="H96" i="11"/>
  <c r="H108" i="11"/>
  <c r="H120" i="11"/>
  <c r="H136" i="11"/>
  <c r="H148" i="11"/>
  <c r="H160" i="11"/>
  <c r="H176" i="11"/>
  <c r="H188" i="11"/>
  <c r="H51" i="11"/>
  <c r="H55" i="11"/>
  <c r="H59" i="11"/>
  <c r="H63" i="11"/>
  <c r="H67" i="11"/>
  <c r="H71" i="11"/>
  <c r="H75" i="11"/>
  <c r="H79" i="11"/>
  <c r="H83" i="11"/>
  <c r="H87" i="11"/>
  <c r="H91" i="11"/>
  <c r="H95" i="11"/>
  <c r="H99" i="11"/>
  <c r="H103" i="11"/>
  <c r="H107" i="11"/>
  <c r="H111" i="11"/>
  <c r="H115" i="11"/>
  <c r="H119" i="11"/>
  <c r="H123" i="11"/>
  <c r="H127" i="11"/>
  <c r="H131" i="11"/>
  <c r="H135" i="11"/>
  <c r="H139" i="11"/>
  <c r="H143" i="11"/>
  <c r="H147" i="11"/>
  <c r="H151" i="11"/>
  <c r="H155" i="11"/>
  <c r="H159" i="11"/>
  <c r="H163" i="11"/>
  <c r="H167" i="11"/>
  <c r="H171" i="11"/>
  <c r="H175" i="11"/>
  <c r="H179" i="11"/>
  <c r="H183" i="11"/>
  <c r="H187" i="11"/>
  <c r="H191" i="11"/>
  <c r="H195" i="11"/>
  <c r="H199" i="11"/>
  <c r="H203" i="11"/>
  <c r="H207" i="11"/>
  <c r="H211" i="11"/>
  <c r="H215" i="11"/>
  <c r="H219" i="11"/>
  <c r="H223" i="11"/>
  <c r="H227" i="11"/>
  <c r="H231" i="11"/>
  <c r="H235" i="11"/>
  <c r="H239" i="11"/>
  <c r="H243" i="11"/>
  <c r="H247" i="11"/>
  <c r="H251" i="11"/>
  <c r="H255" i="11"/>
  <c r="H259" i="11"/>
  <c r="H263" i="11"/>
  <c r="H267" i="11"/>
  <c r="H271" i="11"/>
  <c r="H275" i="11"/>
  <c r="H279" i="11"/>
  <c r="H283" i="11"/>
  <c r="H287" i="11"/>
  <c r="H291" i="11"/>
  <c r="H295" i="11"/>
  <c r="H299" i="11"/>
  <c r="H303" i="11"/>
  <c r="H307" i="11"/>
  <c r="H311" i="11"/>
  <c r="H315" i="11"/>
  <c r="H319" i="11"/>
  <c r="H323" i="11"/>
  <c r="H327" i="11"/>
  <c r="H331" i="11"/>
  <c r="H46" i="11"/>
  <c r="H52" i="11"/>
  <c r="H64" i="11"/>
  <c r="H72" i="11"/>
  <c r="H84" i="11"/>
  <c r="H92" i="11"/>
  <c r="H104" i="11"/>
  <c r="H112" i="11"/>
  <c r="H124" i="11"/>
  <c r="H132" i="11"/>
  <c r="H144" i="11"/>
  <c r="H152" i="11"/>
  <c r="H164" i="11"/>
  <c r="H172" i="11"/>
  <c r="H320" i="11"/>
  <c r="H304" i="11"/>
  <c r="H288" i="11"/>
  <c r="H272" i="11"/>
  <c r="H256" i="11"/>
  <c r="H240" i="11"/>
  <c r="H224" i="11"/>
  <c r="H208" i="11"/>
  <c r="H192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47" i="11"/>
  <c r="C46" i="11"/>
  <c r="A5" i="12"/>
  <c r="A6" i="12" l="1"/>
  <c r="AC5" i="12"/>
  <c r="AA3" i="18"/>
  <c r="AD4" i="18"/>
  <c r="AD5" i="18"/>
  <c r="AD6" i="18"/>
  <c r="AD7" i="18"/>
  <c r="AD8" i="18"/>
  <c r="AD9" i="18"/>
  <c r="AD10" i="18"/>
  <c r="AD11" i="18"/>
  <c r="AD12" i="18"/>
  <c r="AD13" i="18"/>
  <c r="AD14" i="18"/>
  <c r="AD15" i="18"/>
  <c r="AD16" i="18"/>
  <c r="AD17" i="18"/>
  <c r="AD18" i="18"/>
  <c r="AD19" i="18"/>
  <c r="AD20" i="18"/>
  <c r="AD21" i="18"/>
  <c r="AD22" i="18"/>
  <c r="AD23" i="18"/>
  <c r="AD24" i="18"/>
  <c r="AD25" i="18"/>
  <c r="AD26" i="18"/>
  <c r="AD27" i="18"/>
  <c r="AD28" i="18"/>
  <c r="AD29" i="18"/>
  <c r="AD30" i="18"/>
  <c r="AD31" i="18"/>
  <c r="AD32" i="18"/>
  <c r="AD33" i="18"/>
  <c r="AD34" i="18"/>
  <c r="AD35" i="18"/>
  <c r="AD36" i="18"/>
  <c r="AD37" i="18"/>
  <c r="AD38" i="18"/>
  <c r="AD39" i="18"/>
  <c r="AD40" i="18"/>
  <c r="AD41" i="18"/>
  <c r="AD42" i="18"/>
  <c r="AD43" i="18"/>
  <c r="AD44" i="18"/>
  <c r="AD45" i="18"/>
  <c r="AD46" i="18"/>
  <c r="AD47" i="18"/>
  <c r="AD48" i="18"/>
  <c r="AD49" i="18"/>
  <c r="AD50" i="18"/>
  <c r="AD51" i="18"/>
  <c r="AD52" i="18"/>
  <c r="AD53" i="18"/>
  <c r="AD54" i="18"/>
  <c r="AD55" i="18"/>
  <c r="AD56" i="18"/>
  <c r="AD57" i="18"/>
  <c r="AD58" i="18"/>
  <c r="AD59" i="18"/>
  <c r="AD60" i="18"/>
  <c r="AD61" i="18"/>
  <c r="AD62" i="18"/>
  <c r="AD63" i="18"/>
  <c r="AD3" i="18"/>
  <c r="AA4" i="18"/>
  <c r="AA5" i="18"/>
  <c r="AA6" i="18"/>
  <c r="AA7" i="18"/>
  <c r="AA8" i="18"/>
  <c r="AA9" i="18"/>
  <c r="AA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AA38" i="18"/>
  <c r="AA39" i="18"/>
  <c r="AA40" i="18"/>
  <c r="AA41" i="18"/>
  <c r="AA42" i="18"/>
  <c r="AA43" i="18"/>
  <c r="AA44" i="18"/>
  <c r="AA45" i="18"/>
  <c r="AA46" i="18"/>
  <c r="AA47" i="18"/>
  <c r="AA48" i="18"/>
  <c r="AA49" i="18"/>
  <c r="AA50" i="18"/>
  <c r="AA51" i="18"/>
  <c r="AA52" i="18"/>
  <c r="AA53" i="18"/>
  <c r="AA54" i="18"/>
  <c r="AA55" i="18"/>
  <c r="AA56" i="18"/>
  <c r="AA57" i="18"/>
  <c r="AA58" i="18"/>
  <c r="AA59" i="18"/>
  <c r="AA60" i="18"/>
  <c r="AA61" i="18"/>
  <c r="AA62" i="18"/>
  <c r="AA63" i="18"/>
  <c r="Z4" i="18"/>
  <c r="Z5" i="18"/>
  <c r="Z6" i="18"/>
  <c r="Z7" i="18"/>
  <c r="Z8" i="18"/>
  <c r="Z9" i="18"/>
  <c r="Z10" i="18"/>
  <c r="Z11" i="18"/>
  <c r="Z12" i="18"/>
  <c r="Z13" i="18"/>
  <c r="Z14" i="18"/>
  <c r="Z15" i="18"/>
  <c r="Z16" i="18"/>
  <c r="Z17" i="18"/>
  <c r="Z18" i="18"/>
  <c r="Z19" i="18"/>
  <c r="Z20" i="18"/>
  <c r="Z21" i="18"/>
  <c r="Z22" i="18"/>
  <c r="Z23" i="18"/>
  <c r="Z24" i="18"/>
  <c r="Z25" i="18"/>
  <c r="Z26" i="18"/>
  <c r="Z27" i="18"/>
  <c r="Z28" i="18"/>
  <c r="Z29" i="18"/>
  <c r="Z30" i="18"/>
  <c r="Z31" i="18"/>
  <c r="Z32" i="18"/>
  <c r="Z33" i="18"/>
  <c r="Z34" i="18"/>
  <c r="Z35" i="18"/>
  <c r="Z36" i="18"/>
  <c r="Z37" i="18"/>
  <c r="Z38" i="18"/>
  <c r="Z39" i="18"/>
  <c r="Z40" i="18"/>
  <c r="Z41" i="18"/>
  <c r="Z42" i="18"/>
  <c r="Z43" i="18"/>
  <c r="Z44" i="18"/>
  <c r="Z45" i="18"/>
  <c r="Z46" i="18"/>
  <c r="Z47" i="18"/>
  <c r="Z48" i="18"/>
  <c r="Z49" i="18"/>
  <c r="Z50" i="18"/>
  <c r="Z51" i="18"/>
  <c r="Z52" i="18"/>
  <c r="Z53" i="18"/>
  <c r="Z54" i="18"/>
  <c r="Z55" i="18"/>
  <c r="Z56" i="18"/>
  <c r="Z57" i="18"/>
  <c r="Z58" i="18"/>
  <c r="Z59" i="18"/>
  <c r="Z60" i="18"/>
  <c r="Z61" i="18"/>
  <c r="Z62" i="18"/>
  <c r="Z63" i="18"/>
  <c r="Z3" i="18"/>
  <c r="A7" i="12" l="1"/>
  <c r="AC6" i="12"/>
  <c r="A214" i="12"/>
  <c r="AC214" i="12" s="1"/>
  <c r="A215" i="12"/>
  <c r="AC215" i="12" s="1"/>
  <c r="A216" i="12"/>
  <c r="AC216" i="12" s="1"/>
  <c r="A217" i="12"/>
  <c r="AC217" i="12" s="1"/>
  <c r="A218" i="12"/>
  <c r="AC218" i="12" s="1"/>
  <c r="A219" i="12"/>
  <c r="AC219" i="12" s="1"/>
  <c r="A220" i="12"/>
  <c r="AC220" i="12" s="1"/>
  <c r="A221" i="12"/>
  <c r="AC221" i="12" s="1"/>
  <c r="A222" i="12"/>
  <c r="AC222" i="12" s="1"/>
  <c r="A223" i="12"/>
  <c r="AC223" i="12" s="1"/>
  <c r="A224" i="12"/>
  <c r="AC224" i="12" s="1"/>
  <c r="A225" i="12"/>
  <c r="AC225" i="12" s="1"/>
  <c r="A226" i="12"/>
  <c r="AC226" i="12" s="1"/>
  <c r="A227" i="12"/>
  <c r="AC227" i="12" s="1"/>
  <c r="A228" i="12"/>
  <c r="AC228" i="12" s="1"/>
  <c r="A229" i="12"/>
  <c r="AC229" i="12" s="1"/>
  <c r="A230" i="12"/>
  <c r="AC230" i="12" s="1"/>
  <c r="A231" i="12"/>
  <c r="AC231" i="12" s="1"/>
  <c r="A232" i="12"/>
  <c r="AC232" i="12" s="1"/>
  <c r="A233" i="12"/>
  <c r="AC233" i="12" s="1"/>
  <c r="A234" i="12"/>
  <c r="AC234" i="12" s="1"/>
  <c r="A235" i="12"/>
  <c r="AC235" i="12" s="1"/>
  <c r="A236" i="12"/>
  <c r="AC236" i="12" s="1"/>
  <c r="A237" i="12"/>
  <c r="AC237" i="12" s="1"/>
  <c r="A238" i="12"/>
  <c r="AC238" i="12" s="1"/>
  <c r="A239" i="12"/>
  <c r="AC239" i="12" s="1"/>
  <c r="A240" i="12"/>
  <c r="AC240" i="12" s="1"/>
  <c r="A241" i="12"/>
  <c r="AC241" i="12" s="1"/>
  <c r="A242" i="12"/>
  <c r="AC242" i="12" s="1"/>
  <c r="A243" i="12"/>
  <c r="AC243" i="12" s="1"/>
  <c r="A244" i="12"/>
  <c r="AC244" i="12" s="1"/>
  <c r="A245" i="12"/>
  <c r="AC245" i="12" s="1"/>
  <c r="A246" i="12"/>
  <c r="AC246" i="12" s="1"/>
  <c r="A247" i="12"/>
  <c r="AC247" i="12" s="1"/>
  <c r="A248" i="12"/>
  <c r="AC248" i="12" s="1"/>
  <c r="A249" i="12"/>
  <c r="AC249" i="12" s="1"/>
  <c r="A250" i="12"/>
  <c r="AC250" i="12" s="1"/>
  <c r="A251" i="12"/>
  <c r="AC251" i="12" s="1"/>
  <c r="A252" i="12"/>
  <c r="AC252" i="12" s="1"/>
  <c r="A253" i="12"/>
  <c r="AC253" i="12" s="1"/>
  <c r="A254" i="12"/>
  <c r="AC254" i="12" s="1"/>
  <c r="A255" i="12"/>
  <c r="AC255" i="12" s="1"/>
  <c r="A256" i="12"/>
  <c r="AC256" i="12" s="1"/>
  <c r="A257" i="12"/>
  <c r="AC257" i="12" s="1"/>
  <c r="A258" i="12"/>
  <c r="AC258" i="12" s="1"/>
  <c r="A259" i="12"/>
  <c r="AC259" i="12" s="1"/>
  <c r="A260" i="12"/>
  <c r="AC260" i="12" s="1"/>
  <c r="A261" i="12"/>
  <c r="AC261" i="12" s="1"/>
  <c r="A262" i="12"/>
  <c r="AC262" i="12" s="1"/>
  <c r="A263" i="12"/>
  <c r="AC263" i="12" s="1"/>
  <c r="A264" i="12"/>
  <c r="AC264" i="12" s="1"/>
  <c r="A265" i="12"/>
  <c r="AC265" i="12" s="1"/>
  <c r="A266" i="12"/>
  <c r="AC266" i="12" s="1"/>
  <c r="A267" i="12"/>
  <c r="AC267" i="12" s="1"/>
  <c r="A268" i="12"/>
  <c r="AC268" i="12" s="1"/>
  <c r="A269" i="12"/>
  <c r="AC269" i="12" s="1"/>
  <c r="A270" i="12"/>
  <c r="AC270" i="12" s="1"/>
  <c r="A271" i="12"/>
  <c r="AC271" i="12" s="1"/>
  <c r="A272" i="12"/>
  <c r="AC272" i="12" s="1"/>
  <c r="A273" i="12"/>
  <c r="AC273" i="12" s="1"/>
  <c r="A274" i="12"/>
  <c r="AC274" i="12" s="1"/>
  <c r="A275" i="12"/>
  <c r="AC275" i="12" s="1"/>
  <c r="A276" i="12"/>
  <c r="AC276" i="12" s="1"/>
  <c r="A277" i="12"/>
  <c r="AC277" i="12" s="1"/>
  <c r="A278" i="12"/>
  <c r="AC278" i="12" s="1"/>
  <c r="A279" i="12"/>
  <c r="AC279" i="12" s="1"/>
  <c r="A280" i="12"/>
  <c r="AC280" i="12" s="1"/>
  <c r="A281" i="12"/>
  <c r="AC281" i="12" s="1"/>
  <c r="A282" i="12"/>
  <c r="AC282" i="12" s="1"/>
  <c r="A283" i="12"/>
  <c r="AC283" i="12" s="1"/>
  <c r="A284" i="12"/>
  <c r="AC284" i="12" s="1"/>
  <c r="A285" i="12"/>
  <c r="AC285" i="12" s="1"/>
  <c r="A286" i="12"/>
  <c r="AC286" i="12" s="1"/>
  <c r="A287" i="12"/>
  <c r="AC287" i="12" s="1"/>
  <c r="A288" i="12"/>
  <c r="AC288" i="12" s="1"/>
  <c r="A289" i="12"/>
  <c r="AC289" i="12" s="1"/>
  <c r="A290" i="12"/>
  <c r="AC290" i="12" s="1"/>
  <c r="A291" i="12"/>
  <c r="AC291" i="12" s="1"/>
  <c r="A292" i="12"/>
  <c r="AC292" i="12" s="1"/>
  <c r="A293" i="12"/>
  <c r="AC293" i="12" s="1"/>
  <c r="A294" i="12"/>
  <c r="AC294" i="12" s="1"/>
  <c r="A295" i="12"/>
  <c r="AC295" i="12" s="1"/>
  <c r="A296" i="12"/>
  <c r="AC296" i="12" s="1"/>
  <c r="A297" i="12"/>
  <c r="AC297" i="12" s="1"/>
  <c r="A298" i="12"/>
  <c r="AC298" i="12" s="1"/>
  <c r="A299" i="12"/>
  <c r="AC299" i="12" s="1"/>
  <c r="A300" i="12"/>
  <c r="AC300" i="12" s="1"/>
  <c r="A301" i="12"/>
  <c r="AC301" i="12" s="1"/>
  <c r="A302" i="12"/>
  <c r="AC302" i="12" s="1"/>
  <c r="A303" i="12"/>
  <c r="AC303" i="12" s="1"/>
  <c r="A304" i="12"/>
  <c r="AC304" i="12" s="1"/>
  <c r="A305" i="12"/>
  <c r="AC305" i="12" s="1"/>
  <c r="A306" i="12"/>
  <c r="AC306" i="12" s="1"/>
  <c r="A307" i="12"/>
  <c r="AC307" i="12" s="1"/>
  <c r="A308" i="12"/>
  <c r="AC308" i="12" s="1"/>
  <c r="A309" i="12"/>
  <c r="AC309" i="12" s="1"/>
  <c r="A310" i="12"/>
  <c r="AC310" i="12" s="1"/>
  <c r="A311" i="12"/>
  <c r="AC311" i="12" s="1"/>
  <c r="A312" i="12"/>
  <c r="AC312" i="12" s="1"/>
  <c r="A313" i="12"/>
  <c r="AC313" i="12" s="1"/>
  <c r="A314" i="12"/>
  <c r="AC314" i="12" s="1"/>
  <c r="A315" i="12"/>
  <c r="AC315" i="12" s="1"/>
  <c r="A316" i="12"/>
  <c r="AC316" i="12" s="1"/>
  <c r="A317" i="12"/>
  <c r="AC317" i="12" s="1"/>
  <c r="A318" i="12"/>
  <c r="AC318" i="12" s="1"/>
  <c r="A319" i="12"/>
  <c r="AC319" i="12" s="1"/>
  <c r="A320" i="12"/>
  <c r="AC320" i="12" s="1"/>
  <c r="A321" i="12"/>
  <c r="AC321" i="12" s="1"/>
  <c r="A322" i="12"/>
  <c r="AC322" i="12" s="1"/>
  <c r="A323" i="12"/>
  <c r="AC323" i="12" s="1"/>
  <c r="A324" i="12"/>
  <c r="AC324" i="12" s="1"/>
  <c r="A325" i="12"/>
  <c r="AC325" i="12" s="1"/>
  <c r="A326" i="12"/>
  <c r="AC326" i="12" s="1"/>
  <c r="A327" i="12"/>
  <c r="AC327" i="12" s="1"/>
  <c r="A328" i="12"/>
  <c r="AC328" i="12" s="1"/>
  <c r="A329" i="12"/>
  <c r="AC329" i="12" s="1"/>
  <c r="A330" i="12"/>
  <c r="AC330" i="12" s="1"/>
  <c r="A331" i="12"/>
  <c r="AC331" i="12" s="1"/>
  <c r="A332" i="12"/>
  <c r="AC332" i="12" s="1"/>
  <c r="A333" i="12"/>
  <c r="AC333" i="12" s="1"/>
  <c r="A334" i="12"/>
  <c r="AC334" i="12" s="1"/>
  <c r="A335" i="12"/>
  <c r="AC335" i="12" s="1"/>
  <c r="A336" i="12"/>
  <c r="AC336" i="12" s="1"/>
  <c r="A337" i="12"/>
  <c r="AC337" i="12" s="1"/>
  <c r="A338" i="12"/>
  <c r="AC338" i="12" s="1"/>
  <c r="A339" i="12"/>
  <c r="AC339" i="12" s="1"/>
  <c r="A340" i="12"/>
  <c r="AC340" i="12" s="1"/>
  <c r="A341" i="12"/>
  <c r="AC341" i="12" s="1"/>
  <c r="A342" i="12"/>
  <c r="AC342" i="12" s="1"/>
  <c r="A343" i="12"/>
  <c r="AC343" i="12" s="1"/>
  <c r="A344" i="12"/>
  <c r="AC344" i="12" s="1"/>
  <c r="A345" i="12"/>
  <c r="AC345" i="12" s="1"/>
  <c r="A346" i="12"/>
  <c r="AC346" i="12" s="1"/>
  <c r="A347" i="12"/>
  <c r="AC347" i="12" s="1"/>
  <c r="A348" i="12"/>
  <c r="AC348" i="12" s="1"/>
  <c r="A349" i="12"/>
  <c r="AC349" i="12" s="1"/>
  <c r="A350" i="12"/>
  <c r="AC350" i="12" s="1"/>
  <c r="A351" i="12"/>
  <c r="AC351" i="12" s="1"/>
  <c r="A352" i="12"/>
  <c r="AC352" i="12" s="1"/>
  <c r="A353" i="12"/>
  <c r="AC353" i="12" s="1"/>
  <c r="A354" i="12"/>
  <c r="AC354" i="12" s="1"/>
  <c r="A355" i="12"/>
  <c r="AC355" i="12" s="1"/>
  <c r="A356" i="12"/>
  <c r="AC356" i="12" s="1"/>
  <c r="A357" i="12"/>
  <c r="AC357" i="12" s="1"/>
  <c r="A358" i="12"/>
  <c r="AC358" i="12" s="1"/>
  <c r="A359" i="12"/>
  <c r="AC359" i="12" s="1"/>
  <c r="A360" i="12"/>
  <c r="AC360" i="12" s="1"/>
  <c r="A361" i="12"/>
  <c r="AC361" i="12" s="1"/>
  <c r="A362" i="12"/>
  <c r="AC362" i="12" s="1"/>
  <c r="A363" i="12"/>
  <c r="AC363" i="12" s="1"/>
  <c r="A364" i="12"/>
  <c r="AC364" i="12" s="1"/>
  <c r="A365" i="12"/>
  <c r="AC365" i="12" s="1"/>
  <c r="A366" i="12"/>
  <c r="AC366" i="12" s="1"/>
  <c r="A367" i="12"/>
  <c r="AC367" i="12" s="1"/>
  <c r="A368" i="12"/>
  <c r="AC368" i="12" s="1"/>
  <c r="A369" i="12"/>
  <c r="AC369" i="12" s="1"/>
  <c r="A370" i="12"/>
  <c r="AC370" i="12" s="1"/>
  <c r="A371" i="12"/>
  <c r="AC371" i="12" s="1"/>
  <c r="A372" i="12"/>
  <c r="AC372" i="12" s="1"/>
  <c r="A373" i="12"/>
  <c r="AC373" i="12" s="1"/>
  <c r="A374" i="12"/>
  <c r="AC374" i="12" s="1"/>
  <c r="A375" i="12"/>
  <c r="AC375" i="12" s="1"/>
  <c r="A376" i="12"/>
  <c r="AC376" i="12" s="1"/>
  <c r="A377" i="12"/>
  <c r="AC377" i="12" s="1"/>
  <c r="A378" i="12"/>
  <c r="AC378" i="12" s="1"/>
  <c r="A379" i="12"/>
  <c r="AC379" i="12" s="1"/>
  <c r="A380" i="12"/>
  <c r="AC380" i="12" s="1"/>
  <c r="A381" i="12"/>
  <c r="AC381" i="12" s="1"/>
  <c r="A382" i="12"/>
  <c r="AC382" i="12" s="1"/>
  <c r="A383" i="12"/>
  <c r="AC383" i="12" s="1"/>
  <c r="A384" i="12"/>
  <c r="AC384" i="12" s="1"/>
  <c r="A385" i="12"/>
  <c r="AC385" i="12" s="1"/>
  <c r="A386" i="12"/>
  <c r="AC386" i="12" s="1"/>
  <c r="A387" i="12"/>
  <c r="AC387" i="12" s="1"/>
  <c r="A388" i="12"/>
  <c r="AC388" i="12" s="1"/>
  <c r="A389" i="12"/>
  <c r="AC389" i="12" s="1"/>
  <c r="A390" i="12"/>
  <c r="AC390" i="12" s="1"/>
  <c r="A391" i="12"/>
  <c r="AC391" i="12" s="1"/>
  <c r="A392" i="12"/>
  <c r="AC392" i="12" s="1"/>
  <c r="A393" i="12"/>
  <c r="AC393" i="12" s="1"/>
  <c r="A394" i="12"/>
  <c r="AC394" i="12" s="1"/>
  <c r="A395" i="12"/>
  <c r="AC395" i="12" s="1"/>
  <c r="A396" i="12"/>
  <c r="AC396" i="12" s="1"/>
  <c r="A397" i="12"/>
  <c r="AC397" i="12" s="1"/>
  <c r="A398" i="12"/>
  <c r="AC398" i="12" s="1"/>
  <c r="A399" i="12"/>
  <c r="AC399" i="12" s="1"/>
  <c r="A400" i="12"/>
  <c r="AC400" i="12" s="1"/>
  <c r="A401" i="12"/>
  <c r="AC401" i="12" s="1"/>
  <c r="A402" i="12"/>
  <c r="AC402" i="12" s="1"/>
  <c r="A403" i="12"/>
  <c r="AC403" i="12" s="1"/>
  <c r="A404" i="12"/>
  <c r="AC404" i="12" s="1"/>
  <c r="A405" i="12"/>
  <c r="AC405" i="12" s="1"/>
  <c r="A406" i="12"/>
  <c r="AC406" i="12" s="1"/>
  <c r="A407" i="12"/>
  <c r="AC407" i="12" s="1"/>
  <c r="A408" i="12"/>
  <c r="AC408" i="12" s="1"/>
  <c r="A409" i="12"/>
  <c r="AC409" i="12" s="1"/>
  <c r="A410" i="12"/>
  <c r="AC410" i="12" s="1"/>
  <c r="A411" i="12"/>
  <c r="AC411" i="12" s="1"/>
  <c r="A412" i="12"/>
  <c r="AC412" i="12" s="1"/>
  <c r="A413" i="12"/>
  <c r="AC413" i="12" s="1"/>
  <c r="A414" i="12"/>
  <c r="AC414" i="12" s="1"/>
  <c r="A415" i="12"/>
  <c r="AC415" i="12" s="1"/>
  <c r="A416" i="12"/>
  <c r="AC416" i="12" s="1"/>
  <c r="A417" i="12"/>
  <c r="AC417" i="12" s="1"/>
  <c r="A418" i="12"/>
  <c r="AC418" i="12" s="1"/>
  <c r="A419" i="12"/>
  <c r="AC419" i="12" s="1"/>
  <c r="A420" i="12"/>
  <c r="AC420" i="12" s="1"/>
  <c r="A421" i="12"/>
  <c r="AC421" i="12" s="1"/>
  <c r="A422" i="12"/>
  <c r="AC422" i="12" s="1"/>
  <c r="A423" i="12"/>
  <c r="AC423" i="12" s="1"/>
  <c r="A424" i="12"/>
  <c r="AC424" i="12" s="1"/>
  <c r="A425" i="12"/>
  <c r="AC425" i="12" s="1"/>
  <c r="A426" i="12"/>
  <c r="AC426" i="12" s="1"/>
  <c r="A427" i="12"/>
  <c r="AC427" i="12" s="1"/>
  <c r="A428" i="12"/>
  <c r="AC428" i="12" s="1"/>
  <c r="A429" i="12"/>
  <c r="AC429" i="12" s="1"/>
  <c r="A430" i="12"/>
  <c r="AC430" i="12" s="1"/>
  <c r="A431" i="12"/>
  <c r="AC431" i="12" s="1"/>
  <c r="A432" i="12"/>
  <c r="AC432" i="12" s="1"/>
  <c r="A433" i="12"/>
  <c r="AC433" i="12" s="1"/>
  <c r="A434" i="12"/>
  <c r="AC434" i="12" s="1"/>
  <c r="A435" i="12"/>
  <c r="AC435" i="12" s="1"/>
  <c r="A436" i="12"/>
  <c r="AC436" i="12" s="1"/>
  <c r="A437" i="12"/>
  <c r="AC437" i="12" s="1"/>
  <c r="A438" i="12"/>
  <c r="AC438" i="12" s="1"/>
  <c r="A439" i="12"/>
  <c r="AC439" i="12" s="1"/>
  <c r="A440" i="12"/>
  <c r="AC440" i="12" s="1"/>
  <c r="A441" i="12"/>
  <c r="AC441" i="12" s="1"/>
  <c r="A442" i="12"/>
  <c r="AC442" i="12" s="1"/>
  <c r="A443" i="12"/>
  <c r="AC443" i="12" s="1"/>
  <c r="A444" i="12"/>
  <c r="AC444" i="12" s="1"/>
  <c r="A445" i="12"/>
  <c r="AC445" i="12" s="1"/>
  <c r="A446" i="12"/>
  <c r="AC446" i="12" s="1"/>
  <c r="A447" i="12"/>
  <c r="AC447" i="12" s="1"/>
  <c r="A448" i="12"/>
  <c r="AC448" i="12" s="1"/>
  <c r="A449" i="12"/>
  <c r="AC449" i="12" s="1"/>
  <c r="A450" i="12"/>
  <c r="AC450" i="12" s="1"/>
  <c r="A451" i="12"/>
  <c r="AC451" i="12" s="1"/>
  <c r="A452" i="12"/>
  <c r="AC452" i="12" s="1"/>
  <c r="A453" i="12"/>
  <c r="AC453" i="12" s="1"/>
  <c r="A454" i="12"/>
  <c r="AC454" i="12" s="1"/>
  <c r="A455" i="12"/>
  <c r="AC455" i="12" s="1"/>
  <c r="A456" i="12"/>
  <c r="AC456" i="12" s="1"/>
  <c r="A457" i="12"/>
  <c r="AC457" i="12" s="1"/>
  <c r="A458" i="12"/>
  <c r="AC458" i="12" s="1"/>
  <c r="A459" i="12"/>
  <c r="AC459" i="12" s="1"/>
  <c r="A460" i="12"/>
  <c r="AC460" i="12" s="1"/>
  <c r="A461" i="12"/>
  <c r="AC461" i="12" s="1"/>
  <c r="A462" i="12"/>
  <c r="AC462" i="12" s="1"/>
  <c r="A463" i="12"/>
  <c r="AC463" i="12" s="1"/>
  <c r="A464" i="12"/>
  <c r="AC464" i="12" s="1"/>
  <c r="A465" i="12"/>
  <c r="AC465" i="12" s="1"/>
  <c r="A466" i="12"/>
  <c r="AC466" i="12" s="1"/>
  <c r="A467" i="12"/>
  <c r="AC467" i="12" s="1"/>
  <c r="A468" i="12"/>
  <c r="AC468" i="12" s="1"/>
  <c r="A469" i="12"/>
  <c r="AC469" i="12" s="1"/>
  <c r="A470" i="12"/>
  <c r="AC470" i="12" s="1"/>
  <c r="A471" i="12"/>
  <c r="AC471" i="12" s="1"/>
  <c r="A472" i="12"/>
  <c r="AC472" i="12" s="1"/>
  <c r="A473" i="12"/>
  <c r="AC473" i="12" s="1"/>
  <c r="A474" i="12"/>
  <c r="AC474" i="12" s="1"/>
  <c r="A475" i="12"/>
  <c r="AC475" i="12" s="1"/>
  <c r="A476" i="12"/>
  <c r="AC476" i="12" s="1"/>
  <c r="A477" i="12"/>
  <c r="AC477" i="12" s="1"/>
  <c r="A478" i="12"/>
  <c r="AC478" i="12" s="1"/>
  <c r="A479" i="12"/>
  <c r="AC479" i="12" s="1"/>
  <c r="A480" i="12"/>
  <c r="AC480" i="12" s="1"/>
  <c r="A481" i="12"/>
  <c r="AC481" i="12" s="1"/>
  <c r="A482" i="12"/>
  <c r="AC482" i="12" s="1"/>
  <c r="A483" i="12"/>
  <c r="AC483" i="12" s="1"/>
  <c r="A484" i="12"/>
  <c r="AC484" i="12" s="1"/>
  <c r="A485" i="12"/>
  <c r="AC485" i="12" s="1"/>
  <c r="A486" i="12"/>
  <c r="AC486" i="12" s="1"/>
  <c r="A487" i="12"/>
  <c r="AC487" i="12" s="1"/>
  <c r="A488" i="12"/>
  <c r="AC488" i="12" s="1"/>
  <c r="A489" i="12"/>
  <c r="AC489" i="12" s="1"/>
  <c r="A490" i="12"/>
  <c r="AC490" i="12" s="1"/>
  <c r="A491" i="12"/>
  <c r="AC491" i="12" s="1"/>
  <c r="A492" i="12"/>
  <c r="AC492" i="12" s="1"/>
  <c r="A493" i="12"/>
  <c r="AC493" i="12" s="1"/>
  <c r="A494" i="12"/>
  <c r="AC494" i="12" s="1"/>
  <c r="A495" i="12"/>
  <c r="AC495" i="12" s="1"/>
  <c r="A496" i="12"/>
  <c r="AC496" i="12" s="1"/>
  <c r="A497" i="12"/>
  <c r="AC497" i="12" s="1"/>
  <c r="A498" i="12"/>
  <c r="AC498" i="12" s="1"/>
  <c r="A499" i="12"/>
  <c r="AC499" i="12" s="1"/>
  <c r="A500" i="12"/>
  <c r="AC500" i="12" s="1"/>
  <c r="A501" i="12"/>
  <c r="AC501" i="12" s="1"/>
  <c r="A502" i="12"/>
  <c r="AC502" i="12" s="1"/>
  <c r="A503" i="12"/>
  <c r="AC503" i="12" s="1"/>
  <c r="A504" i="12"/>
  <c r="AC504" i="12" s="1"/>
  <c r="A505" i="12"/>
  <c r="AC505" i="12" s="1"/>
  <c r="A506" i="12"/>
  <c r="AC506" i="12" s="1"/>
  <c r="A507" i="12"/>
  <c r="AC507" i="12" s="1"/>
  <c r="A508" i="12"/>
  <c r="AC508" i="12" s="1"/>
  <c r="A509" i="12"/>
  <c r="AC509" i="12" s="1"/>
  <c r="A510" i="12"/>
  <c r="AC510" i="12" s="1"/>
  <c r="A511" i="12"/>
  <c r="AC511" i="12" s="1"/>
  <c r="A512" i="12"/>
  <c r="AC512" i="12" s="1"/>
  <c r="A513" i="12"/>
  <c r="AC513" i="12" s="1"/>
  <c r="A514" i="12"/>
  <c r="AC514" i="12" s="1"/>
  <c r="A515" i="12"/>
  <c r="AC515" i="12" s="1"/>
  <c r="A516" i="12"/>
  <c r="AC516" i="12" s="1"/>
  <c r="A517" i="12"/>
  <c r="AC517" i="12" s="1"/>
  <c r="A518" i="12"/>
  <c r="AC518" i="12" s="1"/>
  <c r="A519" i="12"/>
  <c r="AC519" i="12" s="1"/>
  <c r="A520" i="12"/>
  <c r="AC520" i="12" s="1"/>
  <c r="A521" i="12"/>
  <c r="AC521" i="12" s="1"/>
  <c r="A522" i="12"/>
  <c r="AC522" i="12" s="1"/>
  <c r="A523" i="12"/>
  <c r="AC523" i="12" s="1"/>
  <c r="A524" i="12"/>
  <c r="AC524" i="12" s="1"/>
  <c r="A525" i="12"/>
  <c r="AC525" i="12" s="1"/>
  <c r="A526" i="12"/>
  <c r="AC526" i="12" s="1"/>
  <c r="A527" i="12"/>
  <c r="AC527" i="12" s="1"/>
  <c r="A528" i="12"/>
  <c r="AC528" i="12" s="1"/>
  <c r="A529" i="12"/>
  <c r="AC529" i="12" s="1"/>
  <c r="A530" i="12"/>
  <c r="AC530" i="12" s="1"/>
  <c r="A531" i="12"/>
  <c r="AC531" i="12" s="1"/>
  <c r="A532" i="12"/>
  <c r="AC532" i="12" s="1"/>
  <c r="A533" i="12"/>
  <c r="AC533" i="12" s="1"/>
  <c r="A534" i="12"/>
  <c r="AC534" i="12" s="1"/>
  <c r="A535" i="12"/>
  <c r="AC535" i="12" s="1"/>
  <c r="A536" i="12"/>
  <c r="AC536" i="12" s="1"/>
  <c r="A537" i="12"/>
  <c r="AC537" i="12" s="1"/>
  <c r="A538" i="12"/>
  <c r="AC538" i="12" s="1"/>
  <c r="A539" i="12"/>
  <c r="AC539" i="12" s="1"/>
  <c r="A540" i="12"/>
  <c r="AC540" i="12" s="1"/>
  <c r="A541" i="12"/>
  <c r="AC541" i="12" s="1"/>
  <c r="A542" i="12"/>
  <c r="AC542" i="12" s="1"/>
  <c r="A543" i="12"/>
  <c r="AC543" i="12" s="1"/>
  <c r="A544" i="12"/>
  <c r="AC544" i="12" s="1"/>
  <c r="A545" i="12"/>
  <c r="AC545" i="12" s="1"/>
  <c r="A546" i="12"/>
  <c r="AC546" i="12" s="1"/>
  <c r="A547" i="12"/>
  <c r="AC547" i="12" s="1"/>
  <c r="A548" i="12"/>
  <c r="AC548" i="12" s="1"/>
  <c r="A549" i="12"/>
  <c r="AC549" i="12" s="1"/>
  <c r="A550" i="12"/>
  <c r="AC550" i="12" s="1"/>
  <c r="A551" i="12"/>
  <c r="AC551" i="12" s="1"/>
  <c r="A552" i="12"/>
  <c r="AC552" i="12" s="1"/>
  <c r="A553" i="12"/>
  <c r="AC553" i="12" s="1"/>
  <c r="A554" i="12"/>
  <c r="AC554" i="12" s="1"/>
  <c r="A555" i="12"/>
  <c r="AC555" i="12" s="1"/>
  <c r="A556" i="12"/>
  <c r="AC556" i="12" s="1"/>
  <c r="A557" i="12"/>
  <c r="AC557" i="12" s="1"/>
  <c r="A558" i="12"/>
  <c r="AC558" i="12" s="1"/>
  <c r="A559" i="12"/>
  <c r="AC559" i="12" s="1"/>
  <c r="A560" i="12"/>
  <c r="AC560" i="12" s="1"/>
  <c r="A561" i="12"/>
  <c r="AC561" i="12" s="1"/>
  <c r="A562" i="12"/>
  <c r="AC562" i="12" s="1"/>
  <c r="A563" i="12"/>
  <c r="AC563" i="12" s="1"/>
  <c r="A564" i="12"/>
  <c r="AC564" i="12" s="1"/>
  <c r="A565" i="12"/>
  <c r="AC565" i="12" s="1"/>
  <c r="A566" i="12"/>
  <c r="AC566" i="12" s="1"/>
  <c r="A567" i="12"/>
  <c r="AC567" i="12" s="1"/>
  <c r="A568" i="12"/>
  <c r="AC568" i="12" s="1"/>
  <c r="A569" i="12"/>
  <c r="AC569" i="12" s="1"/>
  <c r="A570" i="12"/>
  <c r="AC570" i="12" s="1"/>
  <c r="A571" i="12"/>
  <c r="AC571" i="12" s="1"/>
  <c r="A572" i="12"/>
  <c r="AC572" i="12" s="1"/>
  <c r="A573" i="12"/>
  <c r="AC573" i="12" s="1"/>
  <c r="A574" i="12"/>
  <c r="AC574" i="12" s="1"/>
  <c r="A575" i="12"/>
  <c r="AC575" i="12" s="1"/>
  <c r="A576" i="12"/>
  <c r="AC576" i="12" s="1"/>
  <c r="A577" i="12"/>
  <c r="AC577" i="12" s="1"/>
  <c r="A578" i="12"/>
  <c r="AC578" i="12" s="1"/>
  <c r="A579" i="12"/>
  <c r="AC579" i="12" s="1"/>
  <c r="A580" i="12"/>
  <c r="AC580" i="12" s="1"/>
  <c r="A581" i="12"/>
  <c r="AC581" i="12" s="1"/>
  <c r="A582" i="12"/>
  <c r="AC582" i="12" s="1"/>
  <c r="A583" i="12"/>
  <c r="AC583" i="12" s="1"/>
  <c r="A584" i="12"/>
  <c r="AC584" i="12" s="1"/>
  <c r="A585" i="12"/>
  <c r="AC585" i="12" s="1"/>
  <c r="A586" i="12"/>
  <c r="AC586" i="12" s="1"/>
  <c r="A587" i="12"/>
  <c r="AC587" i="12" s="1"/>
  <c r="A588" i="12"/>
  <c r="AC588" i="12" s="1"/>
  <c r="A589" i="12"/>
  <c r="AC589" i="12" s="1"/>
  <c r="A590" i="12"/>
  <c r="AC590" i="12" s="1"/>
  <c r="A591" i="12"/>
  <c r="AC591" i="12" s="1"/>
  <c r="A592" i="12"/>
  <c r="AC592" i="12" s="1"/>
  <c r="A593" i="12"/>
  <c r="AC593" i="12" s="1"/>
  <c r="A594" i="12"/>
  <c r="AC594" i="12" s="1"/>
  <c r="A595" i="12"/>
  <c r="AC595" i="12" s="1"/>
  <c r="A596" i="12"/>
  <c r="AC596" i="12" s="1"/>
  <c r="A597" i="12"/>
  <c r="AC597" i="12" s="1"/>
  <c r="A598" i="12"/>
  <c r="AC598" i="12" s="1"/>
  <c r="A599" i="12"/>
  <c r="AC599" i="12" s="1"/>
  <c r="A600" i="12"/>
  <c r="AC600" i="12" s="1"/>
  <c r="A601" i="12"/>
  <c r="AC601" i="12" s="1"/>
  <c r="A602" i="12"/>
  <c r="AC602" i="12" s="1"/>
  <c r="A603" i="12"/>
  <c r="AC603" i="12" s="1"/>
  <c r="A604" i="12"/>
  <c r="AC604" i="12" s="1"/>
  <c r="A605" i="12"/>
  <c r="AC605" i="12" s="1"/>
  <c r="A606" i="12"/>
  <c r="AC606" i="12" s="1"/>
  <c r="A607" i="12"/>
  <c r="AC607" i="12" s="1"/>
  <c r="A608" i="12"/>
  <c r="AC608" i="12" s="1"/>
  <c r="A609" i="12"/>
  <c r="AC609" i="12" s="1"/>
  <c r="A610" i="12"/>
  <c r="AC610" i="12" s="1"/>
  <c r="A611" i="12"/>
  <c r="AC611" i="12" s="1"/>
  <c r="A612" i="12"/>
  <c r="AC612" i="12" s="1"/>
  <c r="A613" i="12"/>
  <c r="AC613" i="12" s="1"/>
  <c r="A614" i="12"/>
  <c r="AC614" i="12" s="1"/>
  <c r="A615" i="12"/>
  <c r="AC615" i="12" s="1"/>
  <c r="A616" i="12"/>
  <c r="AC616" i="12" s="1"/>
  <c r="A617" i="12"/>
  <c r="AC617" i="12" s="1"/>
  <c r="A618" i="12"/>
  <c r="AC618" i="12" s="1"/>
  <c r="A619" i="12"/>
  <c r="AC619" i="12" s="1"/>
  <c r="A620" i="12"/>
  <c r="AC620" i="12" s="1"/>
  <c r="A621" i="12"/>
  <c r="AC621" i="12" s="1"/>
  <c r="A622" i="12"/>
  <c r="AC622" i="12" s="1"/>
  <c r="A623" i="12"/>
  <c r="AC623" i="12" s="1"/>
  <c r="A624" i="12"/>
  <c r="AC624" i="12" s="1"/>
  <c r="A625" i="12"/>
  <c r="AC625" i="12" s="1"/>
  <c r="A626" i="12"/>
  <c r="AC626" i="12" s="1"/>
  <c r="A627" i="12"/>
  <c r="AC627" i="12" s="1"/>
  <c r="A628" i="12"/>
  <c r="AC628" i="12" s="1"/>
  <c r="A629" i="12"/>
  <c r="AC629" i="12" s="1"/>
  <c r="A630" i="12"/>
  <c r="AC630" i="12" s="1"/>
  <c r="A631" i="12"/>
  <c r="AC631" i="12" s="1"/>
  <c r="A632" i="12"/>
  <c r="AC632" i="12" s="1"/>
  <c r="A633" i="12"/>
  <c r="AC633" i="12" s="1"/>
  <c r="A634" i="12"/>
  <c r="AC634" i="12" s="1"/>
  <c r="A635" i="12"/>
  <c r="AC635" i="12" s="1"/>
  <c r="A636" i="12"/>
  <c r="AC636" i="12" s="1"/>
  <c r="A637" i="12"/>
  <c r="AC637" i="12" s="1"/>
  <c r="A638" i="12"/>
  <c r="AC638" i="12" s="1"/>
  <c r="A639" i="12"/>
  <c r="AC639" i="12" s="1"/>
  <c r="A640" i="12"/>
  <c r="AC640" i="12" s="1"/>
  <c r="A641" i="12"/>
  <c r="AC641" i="12" s="1"/>
  <c r="A642" i="12"/>
  <c r="AC642" i="12" s="1"/>
  <c r="A643" i="12"/>
  <c r="AC643" i="12" s="1"/>
  <c r="A644" i="12"/>
  <c r="AC644" i="12" s="1"/>
  <c r="A645" i="12"/>
  <c r="AC645" i="12" s="1"/>
  <c r="A646" i="12"/>
  <c r="AC646" i="12" s="1"/>
  <c r="A647" i="12"/>
  <c r="AC647" i="12" s="1"/>
  <c r="A648" i="12"/>
  <c r="AC648" i="12" s="1"/>
  <c r="A649" i="12"/>
  <c r="AC649" i="12" s="1"/>
  <c r="A650" i="12"/>
  <c r="AC650" i="12" s="1"/>
  <c r="A651" i="12"/>
  <c r="AC651" i="12" s="1"/>
  <c r="A652" i="12"/>
  <c r="AC652" i="12" s="1"/>
  <c r="A653" i="12"/>
  <c r="AC653" i="12" s="1"/>
  <c r="A654" i="12"/>
  <c r="AC654" i="12" s="1"/>
  <c r="A655" i="12"/>
  <c r="AC655" i="12" s="1"/>
  <c r="A656" i="12"/>
  <c r="AC656" i="12" s="1"/>
  <c r="A657" i="12"/>
  <c r="AC657" i="12" s="1"/>
  <c r="A658" i="12"/>
  <c r="AC658" i="12" s="1"/>
  <c r="A659" i="12"/>
  <c r="AC659" i="12" s="1"/>
  <c r="A660" i="12"/>
  <c r="AC660" i="12" s="1"/>
  <c r="A661" i="12"/>
  <c r="AC661" i="12" s="1"/>
  <c r="A662" i="12"/>
  <c r="AC662" i="12" s="1"/>
  <c r="A663" i="12"/>
  <c r="AC663" i="12" s="1"/>
  <c r="A664" i="12"/>
  <c r="AC664" i="12" s="1"/>
  <c r="A665" i="12"/>
  <c r="AC665" i="12" s="1"/>
  <c r="A666" i="12"/>
  <c r="AC666" i="12" s="1"/>
  <c r="A667" i="12"/>
  <c r="AC667" i="12" s="1"/>
  <c r="A668" i="12"/>
  <c r="AC668" i="12" s="1"/>
  <c r="A669" i="12"/>
  <c r="AC669" i="12" s="1"/>
  <c r="A670" i="12"/>
  <c r="AC670" i="12" s="1"/>
  <c r="A671" i="12"/>
  <c r="AC671" i="12" s="1"/>
  <c r="A672" i="12"/>
  <c r="AC672" i="12" s="1"/>
  <c r="A673" i="12"/>
  <c r="AC673" i="12" s="1"/>
  <c r="A674" i="12"/>
  <c r="AC674" i="12" s="1"/>
  <c r="A675" i="12"/>
  <c r="AC675" i="12" s="1"/>
  <c r="A676" i="12"/>
  <c r="AC676" i="12" s="1"/>
  <c r="A677" i="12"/>
  <c r="AC677" i="12" s="1"/>
  <c r="A678" i="12"/>
  <c r="AC678" i="12" s="1"/>
  <c r="A679" i="12"/>
  <c r="AC679" i="12" s="1"/>
  <c r="A680" i="12"/>
  <c r="AC680" i="12" s="1"/>
  <c r="A681" i="12"/>
  <c r="AC681" i="12" s="1"/>
  <c r="A682" i="12"/>
  <c r="AC682" i="12" s="1"/>
  <c r="A683" i="12"/>
  <c r="AC683" i="12" s="1"/>
  <c r="A684" i="12"/>
  <c r="AC684" i="12" s="1"/>
  <c r="A685" i="12"/>
  <c r="AC685" i="12" s="1"/>
  <c r="A686" i="12"/>
  <c r="AC686" i="12" s="1"/>
  <c r="A687" i="12"/>
  <c r="AC687" i="12" s="1"/>
  <c r="A688" i="12"/>
  <c r="AC688" i="12" s="1"/>
  <c r="A689" i="12"/>
  <c r="AC689" i="12" s="1"/>
  <c r="A690" i="12"/>
  <c r="AC690" i="12" s="1"/>
  <c r="A691" i="12"/>
  <c r="AC691" i="12" s="1"/>
  <c r="A692" i="12"/>
  <c r="AC692" i="12" s="1"/>
  <c r="A693" i="12"/>
  <c r="AC693" i="12" s="1"/>
  <c r="A694" i="12"/>
  <c r="AC694" i="12" s="1"/>
  <c r="A695" i="12"/>
  <c r="AC695" i="12" s="1"/>
  <c r="A696" i="12"/>
  <c r="AC696" i="12" s="1"/>
  <c r="A697" i="12"/>
  <c r="AC697" i="12" s="1"/>
  <c r="A698" i="12"/>
  <c r="AC698" i="12" s="1"/>
  <c r="A699" i="12"/>
  <c r="AC699" i="12" s="1"/>
  <c r="A700" i="12"/>
  <c r="AC700" i="12" s="1"/>
  <c r="A701" i="12"/>
  <c r="AC701" i="12" s="1"/>
  <c r="A702" i="12"/>
  <c r="AC702" i="12" s="1"/>
  <c r="A703" i="12"/>
  <c r="AC703" i="12" s="1"/>
  <c r="A704" i="12"/>
  <c r="AC704" i="12" s="1"/>
  <c r="A705" i="12"/>
  <c r="AC705" i="12" s="1"/>
  <c r="A706" i="12"/>
  <c r="AC706" i="12" s="1"/>
  <c r="A707" i="12"/>
  <c r="AC707" i="12" s="1"/>
  <c r="A708" i="12"/>
  <c r="AC708" i="12" s="1"/>
  <c r="A709" i="12"/>
  <c r="AC709" i="12" s="1"/>
  <c r="A710" i="12"/>
  <c r="AC710" i="12" s="1"/>
  <c r="A711" i="12"/>
  <c r="AC711" i="12" s="1"/>
  <c r="A712" i="12"/>
  <c r="AC712" i="12" s="1"/>
  <c r="A713" i="12"/>
  <c r="AC713" i="12" s="1"/>
  <c r="A714" i="12"/>
  <c r="AC714" i="12" s="1"/>
  <c r="A715" i="12"/>
  <c r="AC715" i="12" s="1"/>
  <c r="A716" i="12"/>
  <c r="AC716" i="12" s="1"/>
  <c r="A717" i="12"/>
  <c r="AC717" i="12" s="1"/>
  <c r="A718" i="12"/>
  <c r="AC718" i="12" s="1"/>
  <c r="A719" i="12"/>
  <c r="AC719" i="12" s="1"/>
  <c r="A720" i="12"/>
  <c r="AC720" i="12" s="1"/>
  <c r="A721" i="12"/>
  <c r="AC721" i="12" s="1"/>
  <c r="A722" i="12"/>
  <c r="AC722" i="12" s="1"/>
  <c r="A723" i="12"/>
  <c r="AC723" i="12" s="1"/>
  <c r="A724" i="12"/>
  <c r="AC724" i="12" s="1"/>
  <c r="A725" i="12"/>
  <c r="AC725" i="12" s="1"/>
  <c r="A726" i="12"/>
  <c r="AC726" i="12" s="1"/>
  <c r="A727" i="12"/>
  <c r="AC727" i="12" s="1"/>
  <c r="A728" i="12"/>
  <c r="AC728" i="12" s="1"/>
  <c r="A729" i="12"/>
  <c r="AC729" i="12" s="1"/>
  <c r="A730" i="12"/>
  <c r="AC730" i="12" s="1"/>
  <c r="A731" i="12"/>
  <c r="AC731" i="12" s="1"/>
  <c r="A732" i="12"/>
  <c r="AC732" i="12" s="1"/>
  <c r="A733" i="12"/>
  <c r="AC733" i="12" s="1"/>
  <c r="A734" i="12"/>
  <c r="AC734" i="12" s="1"/>
  <c r="A735" i="12"/>
  <c r="AC735" i="12" s="1"/>
  <c r="A736" i="12"/>
  <c r="AC736" i="12" s="1"/>
  <c r="A737" i="12"/>
  <c r="AC737" i="12" s="1"/>
  <c r="A738" i="12"/>
  <c r="AC738" i="12" s="1"/>
  <c r="A739" i="12"/>
  <c r="AC739" i="12" s="1"/>
  <c r="A740" i="12"/>
  <c r="AC740" i="12" s="1"/>
  <c r="A741" i="12"/>
  <c r="AC741" i="12" s="1"/>
  <c r="A742" i="12"/>
  <c r="AC742" i="12" s="1"/>
  <c r="A743" i="12"/>
  <c r="AC743" i="12" s="1"/>
  <c r="A744" i="12"/>
  <c r="AC744" i="12" s="1"/>
  <c r="A745" i="12"/>
  <c r="AC745" i="12" s="1"/>
  <c r="A746" i="12"/>
  <c r="AC746" i="12" s="1"/>
  <c r="A747" i="12"/>
  <c r="AC747" i="12" s="1"/>
  <c r="A748" i="12"/>
  <c r="AC748" i="12" s="1"/>
  <c r="A749" i="12"/>
  <c r="AC749" i="12" s="1"/>
  <c r="A750" i="12"/>
  <c r="AC750" i="12" s="1"/>
  <c r="A751" i="12"/>
  <c r="AC751" i="12" s="1"/>
  <c r="A752" i="12"/>
  <c r="AC752" i="12" s="1"/>
  <c r="A753" i="12"/>
  <c r="AC753" i="12" s="1"/>
  <c r="A754" i="12"/>
  <c r="AC754" i="12" s="1"/>
  <c r="A755" i="12"/>
  <c r="AC755" i="12" s="1"/>
  <c r="A756" i="12"/>
  <c r="AC756" i="12" s="1"/>
  <c r="A757" i="12"/>
  <c r="AC757" i="12" s="1"/>
  <c r="A758" i="12"/>
  <c r="AC758" i="12" s="1"/>
  <c r="A759" i="12"/>
  <c r="AC759" i="12" s="1"/>
  <c r="A760" i="12"/>
  <c r="AC760" i="12" s="1"/>
  <c r="A761" i="12"/>
  <c r="AC761" i="12" s="1"/>
  <c r="A762" i="12"/>
  <c r="AC762" i="12" s="1"/>
  <c r="A763" i="12"/>
  <c r="AC763" i="12" s="1"/>
  <c r="A764" i="12"/>
  <c r="AC764" i="12" s="1"/>
  <c r="A765" i="12"/>
  <c r="AC765" i="12" s="1"/>
  <c r="A766" i="12"/>
  <c r="AC766" i="12" s="1"/>
  <c r="A767" i="12"/>
  <c r="AC767" i="12" s="1"/>
  <c r="A768" i="12"/>
  <c r="AC768" i="12" s="1"/>
  <c r="A769" i="12"/>
  <c r="AC769" i="12" s="1"/>
  <c r="A770" i="12"/>
  <c r="AC770" i="12" s="1"/>
  <c r="A771" i="12"/>
  <c r="AC771" i="12" s="1"/>
  <c r="A772" i="12"/>
  <c r="AC772" i="12" s="1"/>
  <c r="A773" i="12"/>
  <c r="AC773" i="12" s="1"/>
  <c r="A774" i="12"/>
  <c r="AC774" i="12" s="1"/>
  <c r="A775" i="12"/>
  <c r="AC775" i="12" s="1"/>
  <c r="A776" i="12"/>
  <c r="AC776" i="12" s="1"/>
  <c r="A777" i="12"/>
  <c r="AC777" i="12" s="1"/>
  <c r="A778" i="12"/>
  <c r="AC778" i="12" s="1"/>
  <c r="A779" i="12"/>
  <c r="AC779" i="12" s="1"/>
  <c r="A780" i="12"/>
  <c r="AC780" i="12" s="1"/>
  <c r="A781" i="12"/>
  <c r="AC781" i="12" s="1"/>
  <c r="A782" i="12"/>
  <c r="AC782" i="12" s="1"/>
  <c r="A783" i="12"/>
  <c r="AC783" i="12" s="1"/>
  <c r="A784" i="12"/>
  <c r="AC784" i="12" s="1"/>
  <c r="A785" i="12"/>
  <c r="AC785" i="12" s="1"/>
  <c r="A786" i="12"/>
  <c r="AC786" i="12" s="1"/>
  <c r="A787" i="12"/>
  <c r="AC787" i="12" s="1"/>
  <c r="A788" i="12"/>
  <c r="AC788" i="12" s="1"/>
  <c r="A789" i="12"/>
  <c r="AC789" i="12" s="1"/>
  <c r="A790" i="12"/>
  <c r="AC790" i="12" s="1"/>
  <c r="A791" i="12"/>
  <c r="AC791" i="12" s="1"/>
  <c r="A792" i="12"/>
  <c r="AC792" i="12" s="1"/>
  <c r="A793" i="12"/>
  <c r="AC793" i="12" s="1"/>
  <c r="A794" i="12"/>
  <c r="AC794" i="12" s="1"/>
  <c r="A795" i="12"/>
  <c r="AC795" i="12" s="1"/>
  <c r="A796" i="12"/>
  <c r="AC796" i="12" s="1"/>
  <c r="A797" i="12"/>
  <c r="AC797" i="12" s="1"/>
  <c r="A798" i="12"/>
  <c r="AC798" i="12" s="1"/>
  <c r="A799" i="12"/>
  <c r="AC799" i="12" s="1"/>
  <c r="A800" i="12"/>
  <c r="AC800" i="12" s="1"/>
  <c r="A801" i="12"/>
  <c r="AC801" i="12" s="1"/>
  <c r="A802" i="12"/>
  <c r="AC802" i="12" s="1"/>
  <c r="A803" i="12"/>
  <c r="AC803" i="12" s="1"/>
  <c r="A804" i="12"/>
  <c r="AC804" i="12" s="1"/>
  <c r="A805" i="12"/>
  <c r="AC805" i="12" s="1"/>
  <c r="A806" i="12"/>
  <c r="AC806" i="12" s="1"/>
  <c r="A807" i="12"/>
  <c r="AC807" i="12" s="1"/>
  <c r="A808" i="12"/>
  <c r="AC808" i="12" s="1"/>
  <c r="A809" i="12"/>
  <c r="AC809" i="12" s="1"/>
  <c r="A810" i="12"/>
  <c r="AC810" i="12" s="1"/>
  <c r="A811" i="12"/>
  <c r="AC811" i="12" s="1"/>
  <c r="A812" i="12"/>
  <c r="AC812" i="12" s="1"/>
  <c r="A813" i="12"/>
  <c r="AC813" i="12" s="1"/>
  <c r="A814" i="12"/>
  <c r="AC814" i="12" s="1"/>
  <c r="A815" i="12"/>
  <c r="AC815" i="12" s="1"/>
  <c r="A816" i="12"/>
  <c r="AC816" i="12" s="1"/>
  <c r="A817" i="12"/>
  <c r="AC817" i="12" s="1"/>
  <c r="A818" i="12"/>
  <c r="AC818" i="12" s="1"/>
  <c r="A819" i="12"/>
  <c r="AC819" i="12" s="1"/>
  <c r="A820" i="12"/>
  <c r="AC820" i="12" s="1"/>
  <c r="A821" i="12"/>
  <c r="AC821" i="12" s="1"/>
  <c r="A822" i="12"/>
  <c r="AC822" i="12" s="1"/>
  <c r="A823" i="12"/>
  <c r="AC823" i="12" s="1"/>
  <c r="A824" i="12"/>
  <c r="AC824" i="12" s="1"/>
  <c r="A825" i="12"/>
  <c r="AC825" i="12" s="1"/>
  <c r="A826" i="12"/>
  <c r="AC826" i="12" s="1"/>
  <c r="A827" i="12"/>
  <c r="AC827" i="12" s="1"/>
  <c r="A828" i="12"/>
  <c r="AC828" i="12" s="1"/>
  <c r="A829" i="12"/>
  <c r="AC829" i="12" s="1"/>
  <c r="A830" i="12"/>
  <c r="AC830" i="12" s="1"/>
  <c r="A831" i="12"/>
  <c r="AC831" i="12" s="1"/>
  <c r="A832" i="12"/>
  <c r="AC832" i="12" s="1"/>
  <c r="A833" i="12"/>
  <c r="AC833" i="12" s="1"/>
  <c r="A834" i="12"/>
  <c r="AC834" i="12" s="1"/>
  <c r="A835" i="12"/>
  <c r="AC835" i="12" s="1"/>
  <c r="A836" i="12"/>
  <c r="AC836" i="12" s="1"/>
  <c r="A837" i="12"/>
  <c r="AC837" i="12" s="1"/>
  <c r="A838" i="12"/>
  <c r="AC838" i="12" s="1"/>
  <c r="A839" i="12"/>
  <c r="AC839" i="12" s="1"/>
  <c r="A840" i="12"/>
  <c r="AC840" i="12" s="1"/>
  <c r="A841" i="12"/>
  <c r="AC841" i="12" s="1"/>
  <c r="A842" i="12"/>
  <c r="AC842" i="12" s="1"/>
  <c r="A843" i="12"/>
  <c r="AC843" i="12" s="1"/>
  <c r="A844" i="12"/>
  <c r="AC844" i="12" s="1"/>
  <c r="A845" i="12"/>
  <c r="AC845" i="12" s="1"/>
  <c r="A846" i="12"/>
  <c r="AC846" i="12" s="1"/>
  <c r="A847" i="12"/>
  <c r="AC847" i="12" s="1"/>
  <c r="A848" i="12"/>
  <c r="AC848" i="12" s="1"/>
  <c r="A849" i="12"/>
  <c r="AC849" i="12" s="1"/>
  <c r="A850" i="12"/>
  <c r="AC850" i="12" s="1"/>
  <c r="A851" i="12"/>
  <c r="AC851" i="12" s="1"/>
  <c r="A852" i="12"/>
  <c r="AC852" i="12" s="1"/>
  <c r="A853" i="12"/>
  <c r="AC853" i="12" s="1"/>
  <c r="A854" i="12"/>
  <c r="AC854" i="12" s="1"/>
  <c r="A855" i="12"/>
  <c r="AC855" i="12" s="1"/>
  <c r="A856" i="12"/>
  <c r="AC856" i="12" s="1"/>
  <c r="A857" i="12"/>
  <c r="AC857" i="12" s="1"/>
  <c r="A858" i="12"/>
  <c r="AC858" i="12" s="1"/>
  <c r="A859" i="12"/>
  <c r="AC859" i="12" s="1"/>
  <c r="A860" i="12"/>
  <c r="AC860" i="12" s="1"/>
  <c r="A861" i="12"/>
  <c r="AC861" i="12" s="1"/>
  <c r="A862" i="12"/>
  <c r="AC862" i="12" s="1"/>
  <c r="A863" i="12"/>
  <c r="AC863" i="12" s="1"/>
  <c r="A864" i="12"/>
  <c r="AC864" i="12" s="1"/>
  <c r="A865" i="12"/>
  <c r="AC865" i="12" s="1"/>
  <c r="A866" i="12"/>
  <c r="AC866" i="12" s="1"/>
  <c r="A867" i="12"/>
  <c r="AC867" i="12" s="1"/>
  <c r="A868" i="12"/>
  <c r="AC868" i="12" s="1"/>
  <c r="A869" i="12"/>
  <c r="AC869" i="12" s="1"/>
  <c r="A870" i="12"/>
  <c r="AC870" i="12" s="1"/>
  <c r="A871" i="12"/>
  <c r="AC871" i="12" s="1"/>
  <c r="A872" i="12"/>
  <c r="AC872" i="12" s="1"/>
  <c r="A873" i="12"/>
  <c r="AC873" i="12" s="1"/>
  <c r="A874" i="12"/>
  <c r="AC874" i="12" s="1"/>
  <c r="A875" i="12"/>
  <c r="AC875" i="12" s="1"/>
  <c r="A876" i="12"/>
  <c r="AC876" i="12" s="1"/>
  <c r="A877" i="12"/>
  <c r="AC877" i="12" s="1"/>
  <c r="A878" i="12"/>
  <c r="AC878" i="12" s="1"/>
  <c r="A879" i="12"/>
  <c r="AC879" i="12" s="1"/>
  <c r="A880" i="12"/>
  <c r="AC880" i="12" s="1"/>
  <c r="A881" i="12"/>
  <c r="AC881" i="12" s="1"/>
  <c r="A882" i="12"/>
  <c r="AC882" i="12" s="1"/>
  <c r="A883" i="12"/>
  <c r="AC883" i="12" s="1"/>
  <c r="A884" i="12"/>
  <c r="AC884" i="12" s="1"/>
  <c r="A885" i="12"/>
  <c r="AC885" i="12" s="1"/>
  <c r="A886" i="12"/>
  <c r="AC886" i="12" s="1"/>
  <c r="A887" i="12"/>
  <c r="AC887" i="12" s="1"/>
  <c r="A888" i="12"/>
  <c r="AC888" i="12" s="1"/>
  <c r="A889" i="12"/>
  <c r="AC889" i="12" s="1"/>
  <c r="A890" i="12"/>
  <c r="AC890" i="12" s="1"/>
  <c r="A891" i="12"/>
  <c r="AC891" i="12" s="1"/>
  <c r="A892" i="12"/>
  <c r="AC892" i="12" s="1"/>
  <c r="A893" i="12"/>
  <c r="AC893" i="12" s="1"/>
  <c r="A894" i="12"/>
  <c r="AC894" i="12" s="1"/>
  <c r="A895" i="12"/>
  <c r="AC895" i="12" s="1"/>
  <c r="A896" i="12"/>
  <c r="AC896" i="12" s="1"/>
  <c r="A897" i="12"/>
  <c r="AC897" i="12" s="1"/>
  <c r="A898" i="12"/>
  <c r="AC898" i="12" s="1"/>
  <c r="A899" i="12"/>
  <c r="AC899" i="12" s="1"/>
  <c r="A900" i="12"/>
  <c r="AC900" i="12" s="1"/>
  <c r="A901" i="12"/>
  <c r="AC901" i="12" s="1"/>
  <c r="A902" i="12"/>
  <c r="AC902" i="12" s="1"/>
  <c r="A903" i="12"/>
  <c r="AC903" i="12" s="1"/>
  <c r="A904" i="12"/>
  <c r="AC904" i="12" s="1"/>
  <c r="A905" i="12"/>
  <c r="AC905" i="12" s="1"/>
  <c r="A906" i="12"/>
  <c r="AC906" i="12" s="1"/>
  <c r="A907" i="12"/>
  <c r="AC907" i="12" s="1"/>
  <c r="A908" i="12"/>
  <c r="AC908" i="12" s="1"/>
  <c r="A909" i="12"/>
  <c r="AC909" i="12" s="1"/>
  <c r="A910" i="12"/>
  <c r="AC910" i="12" s="1"/>
  <c r="A911" i="12"/>
  <c r="AC911" i="12" s="1"/>
  <c r="A912" i="12"/>
  <c r="AC912" i="12" s="1"/>
  <c r="A913" i="12"/>
  <c r="AC913" i="12" s="1"/>
  <c r="A914" i="12"/>
  <c r="AC914" i="12" s="1"/>
  <c r="A915" i="12"/>
  <c r="AC915" i="12" s="1"/>
  <c r="A916" i="12"/>
  <c r="AC916" i="12" s="1"/>
  <c r="A917" i="12"/>
  <c r="AC917" i="12" s="1"/>
  <c r="A918" i="12"/>
  <c r="AC918" i="12" s="1"/>
  <c r="A919" i="12"/>
  <c r="AC919" i="12" s="1"/>
  <c r="A920" i="12"/>
  <c r="AC920" i="12" s="1"/>
  <c r="A921" i="12"/>
  <c r="AC921" i="12" s="1"/>
  <c r="A922" i="12"/>
  <c r="AC922" i="12" s="1"/>
  <c r="A923" i="12"/>
  <c r="AC923" i="12" s="1"/>
  <c r="A924" i="12"/>
  <c r="AC924" i="12" s="1"/>
  <c r="A925" i="12"/>
  <c r="AC925" i="12" s="1"/>
  <c r="A926" i="12"/>
  <c r="AC926" i="12" s="1"/>
  <c r="A927" i="12"/>
  <c r="AC927" i="12" s="1"/>
  <c r="A928" i="12"/>
  <c r="AC928" i="12" s="1"/>
  <c r="A929" i="12"/>
  <c r="AC929" i="12" s="1"/>
  <c r="A930" i="12"/>
  <c r="AC930" i="12" s="1"/>
  <c r="A931" i="12"/>
  <c r="AC931" i="12" s="1"/>
  <c r="A932" i="12"/>
  <c r="AC932" i="12" s="1"/>
  <c r="A933" i="12"/>
  <c r="AC933" i="12" s="1"/>
  <c r="A934" i="12"/>
  <c r="AC934" i="12" s="1"/>
  <c r="A935" i="12"/>
  <c r="AC935" i="12" s="1"/>
  <c r="A936" i="12"/>
  <c r="AC936" i="12" s="1"/>
  <c r="A937" i="12"/>
  <c r="AC937" i="12" s="1"/>
  <c r="A938" i="12"/>
  <c r="AC938" i="12" s="1"/>
  <c r="A939" i="12"/>
  <c r="AC939" i="12" s="1"/>
  <c r="A940" i="12"/>
  <c r="AC940" i="12" s="1"/>
  <c r="A941" i="12"/>
  <c r="AC941" i="12" s="1"/>
  <c r="A942" i="12"/>
  <c r="AC942" i="12" s="1"/>
  <c r="A943" i="12"/>
  <c r="AC943" i="12" s="1"/>
  <c r="A944" i="12"/>
  <c r="AC944" i="12" s="1"/>
  <c r="A945" i="12"/>
  <c r="AC945" i="12" s="1"/>
  <c r="A946" i="12"/>
  <c r="AC946" i="12" s="1"/>
  <c r="A947" i="12"/>
  <c r="AC947" i="12" s="1"/>
  <c r="A948" i="12"/>
  <c r="AC948" i="12" s="1"/>
  <c r="A949" i="12"/>
  <c r="AC949" i="12" s="1"/>
  <c r="A950" i="12"/>
  <c r="AC950" i="12" s="1"/>
  <c r="A951" i="12"/>
  <c r="AC951" i="12" s="1"/>
  <c r="A952" i="12"/>
  <c r="AC952" i="12" s="1"/>
  <c r="A953" i="12"/>
  <c r="AC953" i="12" s="1"/>
  <c r="A954" i="12"/>
  <c r="AC954" i="12" s="1"/>
  <c r="A955" i="12"/>
  <c r="AC955" i="12" s="1"/>
  <c r="A956" i="12"/>
  <c r="AC956" i="12" s="1"/>
  <c r="A957" i="12"/>
  <c r="AC957" i="12" s="1"/>
  <c r="A958" i="12"/>
  <c r="AC958" i="12" s="1"/>
  <c r="A959" i="12"/>
  <c r="AC959" i="12" s="1"/>
  <c r="A960" i="12"/>
  <c r="AC960" i="12" s="1"/>
  <c r="A961" i="12"/>
  <c r="AC961" i="12" s="1"/>
  <c r="A962" i="12"/>
  <c r="AC962" i="12" s="1"/>
  <c r="A963" i="12"/>
  <c r="AC963" i="12" s="1"/>
  <c r="A964" i="12"/>
  <c r="AC964" i="12" s="1"/>
  <c r="A965" i="12"/>
  <c r="AC965" i="12" s="1"/>
  <c r="A966" i="12"/>
  <c r="AC966" i="12" s="1"/>
  <c r="A967" i="12"/>
  <c r="AC967" i="12" s="1"/>
  <c r="A968" i="12"/>
  <c r="AC968" i="12" s="1"/>
  <c r="A969" i="12"/>
  <c r="AC969" i="12" s="1"/>
  <c r="A970" i="12"/>
  <c r="AC970" i="12" s="1"/>
  <c r="A971" i="12"/>
  <c r="AC971" i="12" s="1"/>
  <c r="A972" i="12"/>
  <c r="AC972" i="12" s="1"/>
  <c r="A973" i="12"/>
  <c r="AC973" i="12" s="1"/>
  <c r="A974" i="12"/>
  <c r="AC974" i="12" s="1"/>
  <c r="A975" i="12"/>
  <c r="AC975" i="12" s="1"/>
  <c r="A976" i="12"/>
  <c r="AC976" i="12" s="1"/>
  <c r="A977" i="12"/>
  <c r="AC977" i="12" s="1"/>
  <c r="A978" i="12"/>
  <c r="AC978" i="12" s="1"/>
  <c r="A979" i="12"/>
  <c r="AC979" i="12" s="1"/>
  <c r="A980" i="12"/>
  <c r="AC980" i="12" s="1"/>
  <c r="A981" i="12"/>
  <c r="AC981" i="12" s="1"/>
  <c r="A982" i="12"/>
  <c r="AC982" i="12" s="1"/>
  <c r="A983" i="12"/>
  <c r="AC983" i="12" s="1"/>
  <c r="A984" i="12"/>
  <c r="AC984" i="12" s="1"/>
  <c r="A985" i="12"/>
  <c r="AC985" i="12" s="1"/>
  <c r="A986" i="12"/>
  <c r="AC986" i="12" s="1"/>
  <c r="A987" i="12"/>
  <c r="AC987" i="12" s="1"/>
  <c r="A988" i="12"/>
  <c r="AC988" i="12" s="1"/>
  <c r="A989" i="12"/>
  <c r="AC989" i="12" s="1"/>
  <c r="A990" i="12"/>
  <c r="AC990" i="12" s="1"/>
  <c r="A991" i="12"/>
  <c r="AC991" i="12" s="1"/>
  <c r="A992" i="12"/>
  <c r="AC992" i="12" s="1"/>
  <c r="A993" i="12"/>
  <c r="AC993" i="12" s="1"/>
  <c r="A994" i="12"/>
  <c r="AC994" i="12" s="1"/>
  <c r="A995" i="12"/>
  <c r="AC995" i="12" s="1"/>
  <c r="A996" i="12"/>
  <c r="AC996" i="12" s="1"/>
  <c r="A997" i="12"/>
  <c r="AC997" i="12" s="1"/>
  <c r="A998" i="12"/>
  <c r="AC998" i="12" s="1"/>
  <c r="A999" i="12"/>
  <c r="AC999" i="12" s="1"/>
  <c r="A1000" i="12"/>
  <c r="AC1000" i="12" s="1"/>
  <c r="A157" i="12"/>
  <c r="AC157" i="12" s="1"/>
  <c r="A158" i="12"/>
  <c r="AC158" i="12" s="1"/>
  <c r="A159" i="12"/>
  <c r="AC159" i="12" s="1"/>
  <c r="A160" i="12"/>
  <c r="AC160" i="12" s="1"/>
  <c r="A161" i="12"/>
  <c r="AC161" i="12" s="1"/>
  <c r="A162" i="12"/>
  <c r="AC162" i="12" s="1"/>
  <c r="A163" i="12"/>
  <c r="AC163" i="12" s="1"/>
  <c r="A164" i="12"/>
  <c r="AC164" i="12" s="1"/>
  <c r="A165" i="12"/>
  <c r="AC165" i="12" s="1"/>
  <c r="A166" i="12"/>
  <c r="AC166" i="12" s="1"/>
  <c r="A167" i="12"/>
  <c r="AC167" i="12" s="1"/>
  <c r="A168" i="12"/>
  <c r="AC168" i="12" s="1"/>
  <c r="A169" i="12"/>
  <c r="AC169" i="12" s="1"/>
  <c r="A170" i="12"/>
  <c r="AC170" i="12" s="1"/>
  <c r="A171" i="12"/>
  <c r="AC171" i="12" s="1"/>
  <c r="A172" i="12"/>
  <c r="AC172" i="12" s="1"/>
  <c r="A173" i="12"/>
  <c r="AC173" i="12" s="1"/>
  <c r="A174" i="12"/>
  <c r="AC174" i="12" s="1"/>
  <c r="A175" i="12"/>
  <c r="AC175" i="12" s="1"/>
  <c r="A176" i="12"/>
  <c r="AC176" i="12" s="1"/>
  <c r="A177" i="12"/>
  <c r="AC177" i="12" s="1"/>
  <c r="A178" i="12"/>
  <c r="AC178" i="12" s="1"/>
  <c r="A179" i="12"/>
  <c r="AC179" i="12" s="1"/>
  <c r="A180" i="12"/>
  <c r="AC180" i="12" s="1"/>
  <c r="A181" i="12"/>
  <c r="AC181" i="12" s="1"/>
  <c r="A182" i="12"/>
  <c r="AC182" i="12" s="1"/>
  <c r="A183" i="12"/>
  <c r="AC183" i="12" s="1"/>
  <c r="A184" i="12"/>
  <c r="AC184" i="12" s="1"/>
  <c r="A185" i="12"/>
  <c r="AC185" i="12" s="1"/>
  <c r="A186" i="12"/>
  <c r="AC186" i="12" s="1"/>
  <c r="A187" i="12"/>
  <c r="AC187" i="12" s="1"/>
  <c r="A188" i="12"/>
  <c r="AC188" i="12" s="1"/>
  <c r="A189" i="12"/>
  <c r="AC189" i="12" s="1"/>
  <c r="A190" i="12"/>
  <c r="AC190" i="12" s="1"/>
  <c r="A191" i="12"/>
  <c r="AC191" i="12" s="1"/>
  <c r="A192" i="12"/>
  <c r="AC192" i="12" s="1"/>
  <c r="A193" i="12"/>
  <c r="AC193" i="12" s="1"/>
  <c r="A194" i="12"/>
  <c r="AC194" i="12" s="1"/>
  <c r="A195" i="12"/>
  <c r="AC195" i="12" s="1"/>
  <c r="A196" i="12"/>
  <c r="AC196" i="12" s="1"/>
  <c r="A197" i="12"/>
  <c r="AC197" i="12" s="1"/>
  <c r="A198" i="12"/>
  <c r="AC198" i="12" s="1"/>
  <c r="A199" i="12"/>
  <c r="AC199" i="12" s="1"/>
  <c r="A200" i="12"/>
  <c r="AC200" i="12" s="1"/>
  <c r="A201" i="12"/>
  <c r="AC201" i="12" s="1"/>
  <c r="A202" i="12"/>
  <c r="AC202" i="12" s="1"/>
  <c r="A203" i="12"/>
  <c r="AC203" i="12" s="1"/>
  <c r="A204" i="12"/>
  <c r="AC204" i="12" s="1"/>
  <c r="A205" i="12"/>
  <c r="AC205" i="12" s="1"/>
  <c r="A206" i="12"/>
  <c r="AC206" i="12" s="1"/>
  <c r="A207" i="12"/>
  <c r="AC207" i="12" s="1"/>
  <c r="A208" i="12"/>
  <c r="AC208" i="12" s="1"/>
  <c r="A209" i="12"/>
  <c r="AC209" i="12" s="1"/>
  <c r="A210" i="12"/>
  <c r="AC210" i="12" s="1"/>
  <c r="A211" i="12"/>
  <c r="AC211" i="12" s="1"/>
  <c r="A212" i="12"/>
  <c r="AC212" i="12" s="1"/>
  <c r="A213" i="12"/>
  <c r="AC213" i="12" s="1"/>
  <c r="X64" i="18"/>
  <c r="W64" i="18"/>
  <c r="V64" i="18"/>
  <c r="U64" i="18"/>
  <c r="T64" i="18"/>
  <c r="S64" i="18"/>
  <c r="R64" i="18"/>
  <c r="Q64" i="18"/>
  <c r="P64" i="18"/>
  <c r="O64" i="18"/>
  <c r="N64" i="18"/>
  <c r="M64" i="18"/>
  <c r="L64" i="18"/>
  <c r="K64" i="18"/>
  <c r="J64" i="18"/>
  <c r="I64" i="18"/>
  <c r="H64" i="18"/>
  <c r="G64" i="18"/>
  <c r="F64" i="18"/>
  <c r="E64" i="18"/>
  <c r="AD64" i="18" l="1"/>
  <c r="AA64" i="18"/>
  <c r="Z64" i="18"/>
  <c r="AR64" i="18" s="1"/>
  <c r="A8" i="12"/>
  <c r="AC7" i="12"/>
  <c r="A9" i="12" l="1"/>
  <c r="AC8" i="12"/>
  <c r="AO64" i="18"/>
  <c r="AE64" i="18"/>
  <c r="V95" i="13" s="1"/>
  <c r="AX64" i="18"/>
  <c r="BH64" i="18"/>
  <c r="BA64" i="18"/>
  <c r="BD64" i="18"/>
  <c r="BC64" i="18"/>
  <c r="AW64" i="18"/>
  <c r="BB64" i="18"/>
  <c r="AZ64" i="18"/>
  <c r="AY64" i="18"/>
  <c r="AU64" i="18"/>
  <c r="AP64" i="18"/>
  <c r="AS64" i="18"/>
  <c r="BG64" i="18"/>
  <c r="AT64" i="18"/>
  <c r="AB64" i="18"/>
  <c r="AV64" i="18"/>
  <c r="AQ64" i="18"/>
  <c r="BF64" i="18"/>
  <c r="BE64" i="18"/>
  <c r="BJ64" i="18" l="1"/>
  <c r="A10" i="12"/>
  <c r="AC9" i="12"/>
  <c r="AG64" i="18"/>
  <c r="X95" i="13" s="1"/>
  <c r="AF64" i="18"/>
  <c r="AH64" i="18" l="1"/>
  <c r="W95" i="13"/>
  <c r="Y95" i="13" s="1"/>
  <c r="A11" i="12"/>
  <c r="AC10" i="12"/>
  <c r="AJ3" i="2"/>
  <c r="AK3" i="2"/>
  <c r="A12" i="12" l="1"/>
  <c r="AC11" i="12"/>
  <c r="C6" i="19"/>
  <c r="C7" i="19"/>
  <c r="C9" i="19"/>
  <c r="A13" i="12" l="1"/>
  <c r="AC12" i="12"/>
  <c r="BH63" i="18"/>
  <c r="BG63" i="18"/>
  <c r="BB63" i="18"/>
  <c r="AZ63" i="18"/>
  <c r="AY63" i="18"/>
  <c r="AT63" i="18"/>
  <c r="AR63" i="18"/>
  <c r="AQ63" i="18"/>
  <c r="AE63" i="18"/>
  <c r="V94" i="13" s="1"/>
  <c r="AB63" i="18"/>
  <c r="BC63" i="18"/>
  <c r="BA63" i="18"/>
  <c r="BD62" i="18"/>
  <c r="AY62" i="18"/>
  <c r="BE62" i="18"/>
  <c r="BD61" i="18"/>
  <c r="BB61" i="18"/>
  <c r="BA61" i="18"/>
  <c r="AV61" i="18"/>
  <c r="AT61" i="18"/>
  <c r="AS61" i="18"/>
  <c r="AE61" i="18"/>
  <c r="V92" i="13" s="1"/>
  <c r="AB61" i="18"/>
  <c r="BC61" i="18"/>
  <c r="BG60" i="18"/>
  <c r="BF60" i="18"/>
  <c r="AX60" i="18"/>
  <c r="AS60" i="18"/>
  <c r="AQ60" i="18"/>
  <c r="AP60" i="18"/>
  <c r="AE60" i="18"/>
  <c r="V91" i="13" s="1"/>
  <c r="BH60" i="18"/>
  <c r="BD59" i="18"/>
  <c r="BC59" i="18"/>
  <c r="AX59" i="18"/>
  <c r="AV59" i="18"/>
  <c r="AE59" i="18"/>
  <c r="V90" i="13" s="1"/>
  <c r="BE59" i="18"/>
  <c r="BH58" i="18"/>
  <c r="BC58" i="18"/>
  <c r="BA58" i="18"/>
  <c r="AZ58" i="18"/>
  <c r="AU58" i="18"/>
  <c r="AS58" i="18"/>
  <c r="AR58" i="18"/>
  <c r="AE58" i="18"/>
  <c r="V89" i="13" s="1"/>
  <c r="BB58" i="18"/>
  <c r="BH57" i="18"/>
  <c r="BF57" i="18"/>
  <c r="AE57" i="18"/>
  <c r="V88" i="13" s="1"/>
  <c r="AB57" i="18"/>
  <c r="BB56" i="18"/>
  <c r="AU56" i="18"/>
  <c r="AT56" i="18"/>
  <c r="AO56" i="18"/>
  <c r="AB56" i="18"/>
  <c r="BH55" i="18"/>
  <c r="BG55" i="18"/>
  <c r="BB55" i="18"/>
  <c r="AZ55" i="18"/>
  <c r="AY55" i="18"/>
  <c r="AT55" i="18"/>
  <c r="AR55" i="18"/>
  <c r="AQ55" i="18"/>
  <c r="AE55" i="18"/>
  <c r="V86" i="13" s="1"/>
  <c r="AB55" i="18"/>
  <c r="BF55" i="18"/>
  <c r="BA55" i="18"/>
  <c r="AY54" i="18"/>
  <c r="AW54" i="18"/>
  <c r="AV54" i="18"/>
  <c r="AQ54" i="18"/>
  <c r="BD53" i="18"/>
  <c r="BB53" i="18"/>
  <c r="BA53" i="18"/>
  <c r="AZ53" i="18"/>
  <c r="AV53" i="18"/>
  <c r="AT53" i="18"/>
  <c r="AS53" i="18"/>
  <c r="AR53" i="18"/>
  <c r="AE53" i="18"/>
  <c r="V84" i="13" s="1"/>
  <c r="AB53" i="18"/>
  <c r="BC53" i="18"/>
  <c r="BG52" i="18"/>
  <c r="BF52" i="18"/>
  <c r="AX52" i="18"/>
  <c r="AQ52" i="18"/>
  <c r="AP52" i="18"/>
  <c r="AE52" i="18"/>
  <c r="V83" i="13" s="1"/>
  <c r="BA52" i="18"/>
  <c r="BH52" i="18"/>
  <c r="AE51" i="18"/>
  <c r="V82" i="13" s="1"/>
  <c r="BH50" i="18"/>
  <c r="BG50" i="18"/>
  <c r="BC50" i="18"/>
  <c r="BA50" i="18"/>
  <c r="AZ50" i="18"/>
  <c r="AY50" i="18"/>
  <c r="AU50" i="18"/>
  <c r="AS50" i="18"/>
  <c r="AR50" i="18"/>
  <c r="AQ50" i="18"/>
  <c r="AE50" i="18"/>
  <c r="V81" i="13" s="1"/>
  <c r="AB50" i="18"/>
  <c r="BB50" i="18"/>
  <c r="AX49" i="18"/>
  <c r="AW49" i="18"/>
  <c r="AR49" i="18"/>
  <c r="AP49" i="18"/>
  <c r="AE49" i="18"/>
  <c r="V80" i="13" s="1"/>
  <c r="AB49" i="18"/>
  <c r="BH47" i="18"/>
  <c r="BG47" i="18"/>
  <c r="BB47" i="18"/>
  <c r="AZ47" i="18"/>
  <c r="AY47" i="18"/>
  <c r="AT47" i="18"/>
  <c r="AR47" i="18"/>
  <c r="AQ47" i="18"/>
  <c r="AE47" i="18"/>
  <c r="V78" i="13" s="1"/>
  <c r="AB47" i="18"/>
  <c r="BF47" i="18"/>
  <c r="BA47" i="18"/>
  <c r="BG46" i="18"/>
  <c r="BE46" i="18"/>
  <c r="BD46" i="18"/>
  <c r="AV46" i="18"/>
  <c r="AO46" i="18"/>
  <c r="AE46" i="18"/>
  <c r="V77" i="13" s="1"/>
  <c r="AB46" i="18"/>
  <c r="AQ46" i="18"/>
  <c r="BH45" i="18"/>
  <c r="BD45" i="18"/>
  <c r="BB45" i="18"/>
  <c r="BA45" i="18"/>
  <c r="AZ45" i="18"/>
  <c r="AV45" i="18"/>
  <c r="AT45" i="18"/>
  <c r="AS45" i="18"/>
  <c r="AR45" i="18"/>
  <c r="AE45" i="18"/>
  <c r="V76" i="13" s="1"/>
  <c r="AB45" i="18"/>
  <c r="AF45" i="18" s="1"/>
  <c r="W76" i="13" s="1"/>
  <c r="BC45" i="18"/>
  <c r="BF44" i="18"/>
  <c r="AY44" i="18"/>
  <c r="AX44" i="18"/>
  <c r="AE44" i="18"/>
  <c r="V75" i="13" s="1"/>
  <c r="BA44" i="18"/>
  <c r="BH44" i="18"/>
  <c r="AV43" i="18"/>
  <c r="AU43" i="18"/>
  <c r="AP43" i="18"/>
  <c r="AE43" i="18"/>
  <c r="V74" i="13" s="1"/>
  <c r="AX43" i="18"/>
  <c r="BH42" i="18"/>
  <c r="BG42" i="18"/>
  <c r="BC42" i="18"/>
  <c r="BA42" i="18"/>
  <c r="AZ42" i="18"/>
  <c r="AY42" i="18"/>
  <c r="AU42" i="18"/>
  <c r="AS42" i="18"/>
  <c r="AR42" i="18"/>
  <c r="AQ42" i="18"/>
  <c r="AE42" i="18"/>
  <c r="AB42" i="18"/>
  <c r="BB42" i="18"/>
  <c r="BH41" i="18"/>
  <c r="BF41" i="18"/>
  <c r="BE41" i="18"/>
  <c r="AP41" i="18"/>
  <c r="AO41" i="18"/>
  <c r="AE41" i="18"/>
  <c r="V72" i="13" s="1"/>
  <c r="BE40" i="18"/>
  <c r="BC40" i="18"/>
  <c r="BB40" i="18"/>
  <c r="BA40" i="18"/>
  <c r="AW40" i="18"/>
  <c r="AU40" i="18"/>
  <c r="AS40" i="18"/>
  <c r="AO40" i="18"/>
  <c r="AE40" i="18"/>
  <c r="V71" i="13" s="1"/>
  <c r="AB40" i="18"/>
  <c r="AY39" i="18"/>
  <c r="AX39" i="18"/>
  <c r="AE39" i="18"/>
  <c r="V70" i="13" s="1"/>
  <c r="AB39" i="18"/>
  <c r="BB39" i="18"/>
  <c r="AY38" i="18"/>
  <c r="AW38" i="18"/>
  <c r="AE38" i="18"/>
  <c r="V69" i="13" s="1"/>
  <c r="BC38" i="18"/>
  <c r="BF37" i="18"/>
  <c r="BE37" i="18"/>
  <c r="BC37" i="18"/>
  <c r="AX37" i="18"/>
  <c r="AP37" i="18"/>
  <c r="AO37" i="18"/>
  <c r="AE37" i="18"/>
  <c r="V68" i="13" s="1"/>
  <c r="AU37" i="18"/>
  <c r="BH36" i="18"/>
  <c r="BC36" i="18"/>
  <c r="BB36" i="18"/>
  <c r="BA36" i="18"/>
  <c r="AZ36" i="18"/>
  <c r="AU36" i="18"/>
  <c r="AT36" i="18"/>
  <c r="AS36" i="18"/>
  <c r="AR36" i="18"/>
  <c r="AE36" i="18"/>
  <c r="V67" i="13" s="1"/>
  <c r="AB36" i="18"/>
  <c r="BG36" i="18"/>
  <c r="BG35" i="18"/>
  <c r="BF35" i="18"/>
  <c r="AZ35" i="18"/>
  <c r="AY35" i="18"/>
  <c r="AQ35" i="18"/>
  <c r="AP35" i="18"/>
  <c r="AE35" i="18"/>
  <c r="V66" i="13" s="1"/>
  <c r="AB35" i="18"/>
  <c r="BH35" i="18"/>
  <c r="BD34" i="18"/>
  <c r="BC34" i="18"/>
  <c r="BB34" i="18"/>
  <c r="AW34" i="18"/>
  <c r="AV34" i="18"/>
  <c r="AT34" i="18"/>
  <c r="AE34" i="18"/>
  <c r="V65" i="13" s="1"/>
  <c r="BE34" i="18"/>
  <c r="BH33" i="18"/>
  <c r="BG33" i="18"/>
  <c r="BD33" i="18"/>
  <c r="BB33" i="18"/>
  <c r="BA33" i="18"/>
  <c r="AZ33" i="18"/>
  <c r="AY33" i="18"/>
  <c r="AV33" i="18"/>
  <c r="AT33" i="18"/>
  <c r="AS33" i="18"/>
  <c r="AR33" i="18"/>
  <c r="AQ33" i="18"/>
  <c r="AE33" i="18"/>
  <c r="V64" i="13" s="1"/>
  <c r="AB33" i="18"/>
  <c r="BF33" i="18"/>
  <c r="BG32" i="18"/>
  <c r="BE32" i="18"/>
  <c r="BD32" i="18"/>
  <c r="AQ32" i="18"/>
  <c r="AO32" i="18"/>
  <c r="BF32" i="18"/>
  <c r="BD31" i="18"/>
  <c r="BC31" i="18"/>
  <c r="BB31" i="18"/>
  <c r="BA31" i="18"/>
  <c r="AV31" i="18"/>
  <c r="AU31" i="18"/>
  <c r="AT31" i="18"/>
  <c r="AS31" i="18"/>
  <c r="AE31" i="18"/>
  <c r="V62" i="13" s="1"/>
  <c r="BG31" i="18"/>
  <c r="BH31" i="18"/>
  <c r="BG30" i="18"/>
  <c r="BF30" i="18"/>
  <c r="AS30" i="18"/>
  <c r="AQ30" i="18"/>
  <c r="AP30" i="18"/>
  <c r="AE30" i="18"/>
  <c r="V61" i="13" s="1"/>
  <c r="BH30" i="18"/>
  <c r="BE30" i="18"/>
  <c r="BE29" i="18"/>
  <c r="BD29" i="18"/>
  <c r="AU29" i="18"/>
  <c r="AO29" i="18"/>
  <c r="BF29" i="18"/>
  <c r="BH28" i="18"/>
  <c r="BC28" i="18"/>
  <c r="BB28" i="18"/>
  <c r="BA28" i="18"/>
  <c r="AZ28" i="18"/>
  <c r="AU28" i="18"/>
  <c r="AT28" i="18"/>
  <c r="AS28" i="18"/>
  <c r="AR28" i="18"/>
  <c r="AE28" i="18"/>
  <c r="V59" i="13" s="1"/>
  <c r="AB28" i="18"/>
  <c r="BG28" i="18"/>
  <c r="BH27" i="18"/>
  <c r="BF27" i="18"/>
  <c r="BE27" i="18"/>
  <c r="AR27" i="18"/>
  <c r="AP27" i="18"/>
  <c r="AO27" i="18"/>
  <c r="BG27" i="18"/>
  <c r="BE26" i="18"/>
  <c r="BD26" i="18"/>
  <c r="BC26" i="18"/>
  <c r="BB26" i="18"/>
  <c r="AV26" i="18"/>
  <c r="AT26" i="18"/>
  <c r="AO26" i="18"/>
  <c r="BD25" i="18"/>
  <c r="BB25" i="18"/>
  <c r="AR25" i="18"/>
  <c r="AY24" i="18"/>
  <c r="AX24" i="18"/>
  <c r="AO24" i="18"/>
  <c r="BD24" i="18"/>
  <c r="BG23" i="18"/>
  <c r="BA23" i="18"/>
  <c r="AX23" i="18"/>
  <c r="AV23" i="18"/>
  <c r="AP23" i="18"/>
  <c r="AE23" i="18"/>
  <c r="V54" i="13" s="1"/>
  <c r="BF23" i="18"/>
  <c r="BH23" i="18"/>
  <c r="BH22" i="18"/>
  <c r="BG22" i="18"/>
  <c r="BA22" i="18"/>
  <c r="AZ22" i="18"/>
  <c r="AY22" i="18"/>
  <c r="AX22" i="18"/>
  <c r="AV22" i="18"/>
  <c r="AS22" i="18"/>
  <c r="AQ22" i="18"/>
  <c r="AP22" i="18"/>
  <c r="AE22" i="18"/>
  <c r="V53" i="13" s="1"/>
  <c r="AB22" i="18"/>
  <c r="BF22" i="18"/>
  <c r="BE22" i="18"/>
  <c r="BF21" i="18"/>
  <c r="BE21" i="18"/>
  <c r="AZ21" i="18"/>
  <c r="AX21" i="18"/>
  <c r="AW21" i="18"/>
  <c r="AV21" i="18"/>
  <c r="AU21" i="18"/>
  <c r="AO21" i="18"/>
  <c r="AE21" i="18"/>
  <c r="V52" i="13" s="1"/>
  <c r="AB21" i="18"/>
  <c r="BE20" i="18"/>
  <c r="AX20" i="18"/>
  <c r="BC19" i="18"/>
  <c r="BB19" i="18"/>
  <c r="AU19" i="18"/>
  <c r="AT19" i="18"/>
  <c r="AE19" i="18"/>
  <c r="V50" i="13" s="1"/>
  <c r="AB19" i="18"/>
  <c r="BA19" i="18"/>
  <c r="BH18" i="18"/>
  <c r="BG18" i="18"/>
  <c r="BC18" i="18"/>
  <c r="BB18" i="18"/>
  <c r="AZ18" i="18"/>
  <c r="AY18" i="18"/>
  <c r="AU18" i="18"/>
  <c r="AT18" i="18"/>
  <c r="AR18" i="18"/>
  <c r="AQ18" i="18"/>
  <c r="AE18" i="18"/>
  <c r="V49" i="13" s="1"/>
  <c r="AB18" i="18"/>
  <c r="BF18" i="18"/>
  <c r="BD17" i="18"/>
  <c r="AW17" i="18"/>
  <c r="BB16" i="18"/>
  <c r="BA16" i="18"/>
  <c r="AT16" i="18"/>
  <c r="AS16" i="18"/>
  <c r="AE16" i="18"/>
  <c r="V47" i="13" s="1"/>
  <c r="AB16" i="18"/>
  <c r="BH16" i="18"/>
  <c r="AY15" i="18"/>
  <c r="AX15" i="18"/>
  <c r="AQ15" i="18"/>
  <c r="AP15" i="18"/>
  <c r="AE15" i="18"/>
  <c r="V46" i="13" s="1"/>
  <c r="BE15" i="18"/>
  <c r="BD14" i="18"/>
  <c r="BC14" i="18"/>
  <c r="AV14" i="18"/>
  <c r="AU14" i="18"/>
  <c r="AE14" i="18"/>
  <c r="V45" i="13" s="1"/>
  <c r="BG14" i="18"/>
  <c r="BB14" i="18"/>
  <c r="BH13" i="18"/>
  <c r="BD13" i="18"/>
  <c r="BC13" i="18"/>
  <c r="BA13" i="18"/>
  <c r="AZ13" i="18"/>
  <c r="AV13" i="18"/>
  <c r="AU13" i="18"/>
  <c r="AS13" i="18"/>
  <c r="AR13" i="18"/>
  <c r="AE13" i="18"/>
  <c r="V44" i="13" s="1"/>
  <c r="AB13" i="18"/>
  <c r="BG13" i="18"/>
  <c r="AX12" i="18"/>
  <c r="AW12" i="18"/>
  <c r="AP12" i="18"/>
  <c r="AO12" i="18"/>
  <c r="AB12" i="18"/>
  <c r="BE12" i="18"/>
  <c r="BC11" i="18"/>
  <c r="BB11" i="18"/>
  <c r="AU11" i="18"/>
  <c r="AT11" i="18"/>
  <c r="AE11" i="18"/>
  <c r="V42" i="13" s="1"/>
  <c r="AB11" i="18"/>
  <c r="BA11" i="18"/>
  <c r="BH10" i="18"/>
  <c r="BG10" i="18"/>
  <c r="BC10" i="18"/>
  <c r="BB10" i="18"/>
  <c r="AZ10" i="18"/>
  <c r="AY10" i="18"/>
  <c r="AU10" i="18"/>
  <c r="AT10" i="18"/>
  <c r="AR10" i="18"/>
  <c r="AQ10" i="18"/>
  <c r="AE10" i="18"/>
  <c r="V41" i="13" s="1"/>
  <c r="AB10" i="18"/>
  <c r="BF10" i="18"/>
  <c r="AW9" i="18"/>
  <c r="AV9" i="18"/>
  <c r="AO9" i="18"/>
  <c r="BD9" i="18"/>
  <c r="BB8" i="18"/>
  <c r="BA8" i="18"/>
  <c r="AT8" i="18"/>
  <c r="AS8" i="18"/>
  <c r="AE8" i="18"/>
  <c r="V39" i="13" s="1"/>
  <c r="AB8" i="18"/>
  <c r="BH8" i="18"/>
  <c r="AY7" i="18"/>
  <c r="AE7" i="18"/>
  <c r="V38" i="13" s="1"/>
  <c r="BE7" i="18"/>
  <c r="BC6" i="18"/>
  <c r="AU6" i="18"/>
  <c r="AQ6" i="18"/>
  <c r="AE6" i="18"/>
  <c r="AB6" i="18"/>
  <c r="AP6" i="18"/>
  <c r="BB6" i="18"/>
  <c r="BD5" i="18"/>
  <c r="BC5" i="18"/>
  <c r="AU5" i="18"/>
  <c r="AE5" i="18"/>
  <c r="V36" i="13" s="1"/>
  <c r="AB5" i="18"/>
  <c r="AS5" i="18"/>
  <c r="BH4" i="18"/>
  <c r="BD4" i="18"/>
  <c r="BC4" i="18"/>
  <c r="BA4" i="18"/>
  <c r="AZ4" i="18"/>
  <c r="AV4" i="18"/>
  <c r="AU4" i="18"/>
  <c r="AS4" i="18"/>
  <c r="AR4" i="18"/>
  <c r="AE4" i="18"/>
  <c r="V35" i="13" s="1"/>
  <c r="AB4" i="18"/>
  <c r="BG4" i="18"/>
  <c r="AB3" i="18"/>
  <c r="BD3" i="18"/>
  <c r="C16" i="19"/>
  <c r="C13" i="19"/>
  <c r="C11" i="19"/>
  <c r="C15" i="19"/>
  <c r="C10" i="19"/>
  <c r="C8" i="19"/>
  <c r="C17" i="19"/>
  <c r="C19" i="19"/>
  <c r="C14" i="19"/>
  <c r="C12" i="19"/>
  <c r="C18" i="19"/>
  <c r="AG42" i="18" l="1"/>
  <c r="X73" i="13" s="1"/>
  <c r="V73" i="13"/>
  <c r="AG6" i="18"/>
  <c r="X37" i="13" s="1"/>
  <c r="V37" i="13"/>
  <c r="AG11" i="18"/>
  <c r="X42" i="13" s="1"/>
  <c r="AF40" i="18"/>
  <c r="W71" i="13" s="1"/>
  <c r="A14" i="12"/>
  <c r="AC13" i="12"/>
  <c r="AG28" i="18"/>
  <c r="X59" i="13" s="1"/>
  <c r="AG45" i="18"/>
  <c r="X76" i="13" s="1"/>
  <c r="AG53" i="18"/>
  <c r="X84" i="13" s="1"/>
  <c r="AF61" i="18"/>
  <c r="W92" i="13" s="1"/>
  <c r="AG13" i="18"/>
  <c r="X44" i="13" s="1"/>
  <c r="AF13" i="18"/>
  <c r="AG36" i="18"/>
  <c r="X67" i="13" s="1"/>
  <c r="Y67" i="13" s="1"/>
  <c r="AF36" i="18"/>
  <c r="W67" i="13" s="1"/>
  <c r="AF5" i="18"/>
  <c r="W36" i="13" s="1"/>
  <c r="AG5" i="18"/>
  <c r="X36" i="13" s="1"/>
  <c r="AG4" i="18"/>
  <c r="X35" i="13" s="1"/>
  <c r="AF4" i="18"/>
  <c r="W35" i="13" s="1"/>
  <c r="AP3" i="18"/>
  <c r="AX3" i="18"/>
  <c r="BF3" i="18"/>
  <c r="BB7" i="18"/>
  <c r="AT7" i="18"/>
  <c r="BA7" i="18"/>
  <c r="AS7" i="18"/>
  <c r="BF7" i="18"/>
  <c r="AG10" i="18"/>
  <c r="X41" i="13" s="1"/>
  <c r="AF10" i="18"/>
  <c r="W41" i="13" s="1"/>
  <c r="AG33" i="18"/>
  <c r="X64" i="13" s="1"/>
  <c r="Y64" i="13" s="1"/>
  <c r="BD48" i="18"/>
  <c r="AV48" i="18"/>
  <c r="BA48" i="18"/>
  <c r="AS48" i="18"/>
  <c r="AE48" i="18"/>
  <c r="V79" i="13" s="1"/>
  <c r="BH48" i="18"/>
  <c r="AZ48" i="18"/>
  <c r="AR48" i="18"/>
  <c r="BG48" i="18"/>
  <c r="AY48" i="18"/>
  <c r="AQ48" i="18"/>
  <c r="BF48" i="18"/>
  <c r="AX48" i="18"/>
  <c r="AP48" i="18"/>
  <c r="AU48" i="18"/>
  <c r="AT48" i="18"/>
  <c r="AO48" i="18"/>
  <c r="BC48" i="18"/>
  <c r="BB48" i="18"/>
  <c r="AW48" i="18"/>
  <c r="AQ3" i="18"/>
  <c r="AY3" i="18"/>
  <c r="BG3" i="18"/>
  <c r="AT4" i="18"/>
  <c r="BB4" i="18"/>
  <c r="BG5" i="18"/>
  <c r="AY5" i="18"/>
  <c r="AQ5" i="18"/>
  <c r="BF5" i="18"/>
  <c r="AX5" i="18"/>
  <c r="AP5" i="18"/>
  <c r="BE5" i="18"/>
  <c r="AW5" i="18"/>
  <c r="AO5" i="18"/>
  <c r="BB5" i="18"/>
  <c r="AT5" i="18"/>
  <c r="AR5" i="18"/>
  <c r="BH5" i="18"/>
  <c r="AB7" i="18"/>
  <c r="AF7" i="18" s="1"/>
  <c r="W38" i="13" s="1"/>
  <c r="BG7" i="18"/>
  <c r="BC17" i="18"/>
  <c r="AU17" i="18"/>
  <c r="BB17" i="18"/>
  <c r="AT17" i="18"/>
  <c r="BA17" i="18"/>
  <c r="AS17" i="18"/>
  <c r="BH17" i="18"/>
  <c r="AZ17" i="18"/>
  <c r="AR17" i="18"/>
  <c r="BG17" i="18"/>
  <c r="AY17" i="18"/>
  <c r="AQ17" i="18"/>
  <c r="AB17" i="18"/>
  <c r="BF17" i="18"/>
  <c r="AX17" i="18"/>
  <c r="AP17" i="18"/>
  <c r="BE17" i="18"/>
  <c r="BD20" i="18"/>
  <c r="AV20" i="18"/>
  <c r="BC20" i="18"/>
  <c r="AU20" i="18"/>
  <c r="BB20" i="18"/>
  <c r="AT20" i="18"/>
  <c r="BA20" i="18"/>
  <c r="AS20" i="18"/>
  <c r="BH20" i="18"/>
  <c r="AZ20" i="18"/>
  <c r="AR20" i="18"/>
  <c r="BG20" i="18"/>
  <c r="AY20" i="18"/>
  <c r="AQ20" i="18"/>
  <c r="BF20" i="18"/>
  <c r="AF33" i="18"/>
  <c r="W64" i="13" s="1"/>
  <c r="AG39" i="18"/>
  <c r="X70" i="13" s="1"/>
  <c r="AF39" i="18"/>
  <c r="AW3" i="18"/>
  <c r="AR3" i="18"/>
  <c r="AZ3" i="18"/>
  <c r="BH3" i="18"/>
  <c r="AG16" i="18"/>
  <c r="X47" i="13" s="1"/>
  <c r="Y47" i="13" s="1"/>
  <c r="AB20" i="18"/>
  <c r="AF28" i="18"/>
  <c r="AG35" i="18"/>
  <c r="X66" i="13" s="1"/>
  <c r="AF35" i="18"/>
  <c r="BB51" i="18"/>
  <c r="AT51" i="18"/>
  <c r="AB51" i="18"/>
  <c r="AF51" i="18" s="1"/>
  <c r="W82" i="13" s="1"/>
  <c r="AU51" i="18"/>
  <c r="AP51" i="18"/>
  <c r="BF51" i="18"/>
  <c r="BD51" i="18"/>
  <c r="BC51" i="18"/>
  <c r="AX51" i="18"/>
  <c r="AV51" i="18"/>
  <c r="AE3" i="18"/>
  <c r="AS3" i="18"/>
  <c r="BA3" i="18"/>
  <c r="AF16" i="18"/>
  <c r="W47" i="13" s="1"/>
  <c r="AE17" i="18"/>
  <c r="V48" i="13" s="1"/>
  <c r="AF19" i="18"/>
  <c r="W50" i="13" s="1"/>
  <c r="AE20" i="18"/>
  <c r="V51" i="13" s="1"/>
  <c r="AF22" i="18"/>
  <c r="W53" i="13" s="1"/>
  <c r="BF25" i="18"/>
  <c r="AX25" i="18"/>
  <c r="AP25" i="18"/>
  <c r="BE25" i="18"/>
  <c r="AW25" i="18"/>
  <c r="AO25" i="18"/>
  <c r="BC25" i="18"/>
  <c r="AU25" i="18"/>
  <c r="BA25" i="18"/>
  <c r="AZ25" i="18"/>
  <c r="AY25" i="18"/>
  <c r="AV25" i="18"/>
  <c r="BH25" i="18"/>
  <c r="AT25" i="18"/>
  <c r="AB25" i="18"/>
  <c r="BG25" i="18"/>
  <c r="AS25" i="18"/>
  <c r="BE48" i="18"/>
  <c r="AG55" i="18"/>
  <c r="X86" i="13" s="1"/>
  <c r="AT3" i="18"/>
  <c r="BB3" i="18"/>
  <c r="AO4" i="18"/>
  <c r="AW4" i="18"/>
  <c r="BE4" i="18"/>
  <c r="AV5" i="18"/>
  <c r="BG6" i="18"/>
  <c r="AY6" i="18"/>
  <c r="BF6" i="18"/>
  <c r="AX6" i="18"/>
  <c r="AV6" i="18"/>
  <c r="AP7" i="18"/>
  <c r="BC9" i="18"/>
  <c r="AU9" i="18"/>
  <c r="BB9" i="18"/>
  <c r="AT9" i="18"/>
  <c r="BA9" i="18"/>
  <c r="AS9" i="18"/>
  <c r="BH9" i="18"/>
  <c r="AZ9" i="18"/>
  <c r="AR9" i="18"/>
  <c r="BG9" i="18"/>
  <c r="AY9" i="18"/>
  <c r="AQ9" i="18"/>
  <c r="AB9" i="18"/>
  <c r="BF9" i="18"/>
  <c r="AX9" i="18"/>
  <c r="AP9" i="18"/>
  <c r="BE9" i="18"/>
  <c r="BD12" i="18"/>
  <c r="AV12" i="18"/>
  <c r="BC12" i="18"/>
  <c r="AU12" i="18"/>
  <c r="BB12" i="18"/>
  <c r="AT12" i="18"/>
  <c r="BA12" i="18"/>
  <c r="AS12" i="18"/>
  <c r="AE12" i="18"/>
  <c r="V43" i="13" s="1"/>
  <c r="BH12" i="18"/>
  <c r="AZ12" i="18"/>
  <c r="AR12" i="18"/>
  <c r="BG12" i="18"/>
  <c r="AY12" i="18"/>
  <c r="AQ12" i="18"/>
  <c r="BF12" i="18"/>
  <c r="AG19" i="18"/>
  <c r="X50" i="13" s="1"/>
  <c r="Y50" i="13" s="1"/>
  <c r="AO20" i="18"/>
  <c r="AG22" i="18"/>
  <c r="AF55" i="18"/>
  <c r="BE3" i="18"/>
  <c r="AU3" i="18"/>
  <c r="BC3" i="18"/>
  <c r="AP4" i="18"/>
  <c r="AX4" i="18"/>
  <c r="BF4" i="18"/>
  <c r="AZ5" i="18"/>
  <c r="AQ7" i="18"/>
  <c r="AG8" i="18"/>
  <c r="X39" i="13" s="1"/>
  <c r="BB15" i="18"/>
  <c r="AT15" i="18"/>
  <c r="BA15" i="18"/>
  <c r="AS15" i="18"/>
  <c r="BF15" i="18"/>
  <c r="AO17" i="18"/>
  <c r="AG18" i="18"/>
  <c r="X49" i="13" s="1"/>
  <c r="AF18" i="18"/>
  <c r="W49" i="13" s="1"/>
  <c r="AP20" i="18"/>
  <c r="AG21" i="18"/>
  <c r="X52" i="13" s="1"/>
  <c r="AE25" i="18"/>
  <c r="V56" i="13" s="1"/>
  <c r="AO3" i="18"/>
  <c r="AV3" i="18"/>
  <c r="AQ4" i="18"/>
  <c r="AY4" i="18"/>
  <c r="BA5" i="18"/>
  <c r="AF6" i="18"/>
  <c r="BD6" i="18"/>
  <c r="AX7" i="18"/>
  <c r="AF8" i="18"/>
  <c r="AE9" i="18"/>
  <c r="V40" i="13" s="1"/>
  <c r="AF11" i="18"/>
  <c r="AB15" i="18"/>
  <c r="AF15" i="18" s="1"/>
  <c r="W46" i="13" s="1"/>
  <c r="BG15" i="18"/>
  <c r="AV17" i="18"/>
  <c r="AW20" i="18"/>
  <c r="AF21" i="18"/>
  <c r="W52" i="13" s="1"/>
  <c r="AQ25" i="18"/>
  <c r="AO6" i="18"/>
  <c r="AW6" i="18"/>
  <c r="BE6" i="18"/>
  <c r="AR7" i="18"/>
  <c r="AZ7" i="18"/>
  <c r="BH7" i="18"/>
  <c r="AU8" i="18"/>
  <c r="BC8" i="18"/>
  <c r="AS10" i="18"/>
  <c r="BA10" i="18"/>
  <c r="AV11" i="18"/>
  <c r="BD11" i="18"/>
  <c r="AT13" i="18"/>
  <c r="BB13" i="18"/>
  <c r="AO14" i="18"/>
  <c r="AW14" i="18"/>
  <c r="BE14" i="18"/>
  <c r="AR15" i="18"/>
  <c r="AZ15" i="18"/>
  <c r="BH15" i="18"/>
  <c r="AU16" i="18"/>
  <c r="BC16" i="18"/>
  <c r="AS18" i="18"/>
  <c r="BA18" i="18"/>
  <c r="AV19" i="18"/>
  <c r="BD19" i="18"/>
  <c r="BH21" i="18"/>
  <c r="AY23" i="18"/>
  <c r="BC24" i="18"/>
  <c r="AU24" i="18"/>
  <c r="BH24" i="18"/>
  <c r="AZ24" i="18"/>
  <c r="AR24" i="18"/>
  <c r="AP24" i="18"/>
  <c r="BA24" i="18"/>
  <c r="AQ27" i="18"/>
  <c r="AP29" i="18"/>
  <c r="AR30" i="18"/>
  <c r="AP32" i="18"/>
  <c r="AO35" i="18"/>
  <c r="BE35" i="18"/>
  <c r="BD37" i="18"/>
  <c r="AV38" i="18"/>
  <c r="AG40" i="18"/>
  <c r="AB48" i="18"/>
  <c r="BG57" i="18"/>
  <c r="AY57" i="18"/>
  <c r="AQ57" i="18"/>
  <c r="BD57" i="18"/>
  <c r="AV57" i="18"/>
  <c r="BC57" i="18"/>
  <c r="AU57" i="18"/>
  <c r="BB57" i="18"/>
  <c r="AT57" i="18"/>
  <c r="BA57" i="18"/>
  <c r="AS57" i="18"/>
  <c r="AX57" i="18"/>
  <c r="AW57" i="18"/>
  <c r="AR57" i="18"/>
  <c r="AP57" i="18"/>
  <c r="AV8" i="18"/>
  <c r="BD8" i="18"/>
  <c r="AO11" i="18"/>
  <c r="AW11" i="18"/>
  <c r="BE11" i="18"/>
  <c r="AP14" i="18"/>
  <c r="AX14" i="18"/>
  <c r="BF14" i="18"/>
  <c r="AV16" i="18"/>
  <c r="BD16" i="18"/>
  <c r="AO19" i="18"/>
  <c r="AW19" i="18"/>
  <c r="BE19" i="18"/>
  <c r="AQ24" i="18"/>
  <c r="BB24" i="18"/>
  <c r="AF50" i="18"/>
  <c r="W81" i="13" s="1"/>
  <c r="AG50" i="18"/>
  <c r="X81" i="13" s="1"/>
  <c r="BF62" i="18"/>
  <c r="AX62" i="18"/>
  <c r="AP62" i="18"/>
  <c r="BC62" i="18"/>
  <c r="AU62" i="18"/>
  <c r="BB62" i="18"/>
  <c r="AT62" i="18"/>
  <c r="BA62" i="18"/>
  <c r="AS62" i="18"/>
  <c r="BH62" i="18"/>
  <c r="AZ62" i="18"/>
  <c r="AR62" i="18"/>
  <c r="AV62" i="18"/>
  <c r="AQ62" i="18"/>
  <c r="AO62" i="18"/>
  <c r="BG62" i="18"/>
  <c r="AO8" i="18"/>
  <c r="AW8" i="18"/>
  <c r="BE8" i="18"/>
  <c r="AP11" i="18"/>
  <c r="AX11" i="18"/>
  <c r="BF11" i="18"/>
  <c r="AB14" i="18"/>
  <c r="AF14" i="18" s="1"/>
  <c r="W45" i="13" s="1"/>
  <c r="AQ14" i="18"/>
  <c r="AY14" i="18"/>
  <c r="AO16" i="18"/>
  <c r="AW16" i="18"/>
  <c r="BE16" i="18"/>
  <c r="AP19" i="18"/>
  <c r="AX19" i="18"/>
  <c r="BF19" i="18"/>
  <c r="AQ23" i="18"/>
  <c r="BB23" i="18"/>
  <c r="AB24" i="18"/>
  <c r="AS24" i="18"/>
  <c r="BD27" i="18"/>
  <c r="AV27" i="18"/>
  <c r="BC27" i="18"/>
  <c r="AU27" i="18"/>
  <c r="BB27" i="18"/>
  <c r="AT27" i="18"/>
  <c r="BA27" i="18"/>
  <c r="AS27" i="18"/>
  <c r="AW27" i="18"/>
  <c r="BB29" i="18"/>
  <c r="AT29" i="18"/>
  <c r="BA29" i="18"/>
  <c r="AS29" i="18"/>
  <c r="BH29" i="18"/>
  <c r="AZ29" i="18"/>
  <c r="AR29" i="18"/>
  <c r="BG29" i="18"/>
  <c r="AY29" i="18"/>
  <c r="AQ29" i="18"/>
  <c r="AV29" i="18"/>
  <c r="BD30" i="18"/>
  <c r="AV30" i="18"/>
  <c r="BC30" i="18"/>
  <c r="AU30" i="18"/>
  <c r="AX30" i="18"/>
  <c r="BC32" i="18"/>
  <c r="AU32" i="18"/>
  <c r="BB32" i="18"/>
  <c r="AT32" i="18"/>
  <c r="BA32" i="18"/>
  <c r="AS32" i="18"/>
  <c r="AE32" i="18"/>
  <c r="V63" i="13" s="1"/>
  <c r="BH32" i="18"/>
  <c r="AZ32" i="18"/>
  <c r="AR32" i="18"/>
  <c r="AV32" i="18"/>
  <c r="AS44" i="18"/>
  <c r="AQ44" i="18"/>
  <c r="AP44" i="18"/>
  <c r="BG44" i="18"/>
  <c r="AG57" i="18"/>
  <c r="X88" i="13" s="1"/>
  <c r="AF57" i="18"/>
  <c r="W88" i="13" s="1"/>
  <c r="AR6" i="18"/>
  <c r="AZ6" i="18"/>
  <c r="BH6" i="18"/>
  <c r="AU7" i="18"/>
  <c r="BC7" i="18"/>
  <c r="AP8" i="18"/>
  <c r="AX8" i="18"/>
  <c r="BF8" i="18"/>
  <c r="AV10" i="18"/>
  <c r="BD10" i="18"/>
  <c r="AQ11" i="18"/>
  <c r="AY11" i="18"/>
  <c r="BG11" i="18"/>
  <c r="AO13" i="18"/>
  <c r="AW13" i="18"/>
  <c r="BE13" i="18"/>
  <c r="AR14" i="18"/>
  <c r="AZ14" i="18"/>
  <c r="BH14" i="18"/>
  <c r="AU15" i="18"/>
  <c r="BC15" i="18"/>
  <c r="AP16" i="18"/>
  <c r="AX16" i="18"/>
  <c r="BF16" i="18"/>
  <c r="AV18" i="18"/>
  <c r="BD18" i="18"/>
  <c r="AQ19" i="18"/>
  <c r="AY19" i="18"/>
  <c r="BG19" i="18"/>
  <c r="BB21" i="18"/>
  <c r="AT21" i="18"/>
  <c r="BG21" i="18"/>
  <c r="AY21" i="18"/>
  <c r="AQ21" i="18"/>
  <c r="AP21" i="18"/>
  <c r="BA21" i="18"/>
  <c r="AR22" i="18"/>
  <c r="BC22" i="18"/>
  <c r="AB23" i="18"/>
  <c r="AS23" i="18"/>
  <c r="BC23" i="18"/>
  <c r="AT24" i="18"/>
  <c r="BE24" i="18"/>
  <c r="BA26" i="18"/>
  <c r="AS26" i="18"/>
  <c r="BH26" i="18"/>
  <c r="AZ26" i="18"/>
  <c r="AR26" i="18"/>
  <c r="BG26" i="18"/>
  <c r="AY26" i="18"/>
  <c r="AQ26" i="18"/>
  <c r="AB26" i="18"/>
  <c r="BF26" i="18"/>
  <c r="AX26" i="18"/>
  <c r="AP26" i="18"/>
  <c r="AU26" i="18"/>
  <c r="AX27" i="18"/>
  <c r="AB29" i="18"/>
  <c r="AW29" i="18"/>
  <c r="AB30" i="18"/>
  <c r="AF30" i="18" s="1"/>
  <c r="W61" i="13" s="1"/>
  <c r="AY30" i="18"/>
  <c r="AW32" i="18"/>
  <c r="AO34" i="18"/>
  <c r="AR35" i="18"/>
  <c r="BD38" i="18"/>
  <c r="AZ39" i="18"/>
  <c r="AB41" i="18"/>
  <c r="AG41" i="18" s="1"/>
  <c r="X72" i="13" s="1"/>
  <c r="AX41" i="18"/>
  <c r="AW41" i="18"/>
  <c r="AR41" i="18"/>
  <c r="AB44" i="18"/>
  <c r="AG44" i="18" s="1"/>
  <c r="X75" i="13" s="1"/>
  <c r="AO57" i="18"/>
  <c r="AB62" i="18"/>
  <c r="AS6" i="18"/>
  <c r="BA6" i="18"/>
  <c r="AV7" i="18"/>
  <c r="BD7" i="18"/>
  <c r="AQ8" i="18"/>
  <c r="AY8" i="18"/>
  <c r="BG8" i="18"/>
  <c r="AO10" i="18"/>
  <c r="AW10" i="18"/>
  <c r="BE10" i="18"/>
  <c r="AR11" i="18"/>
  <c r="AZ11" i="18"/>
  <c r="BH11" i="18"/>
  <c r="AP13" i="18"/>
  <c r="AX13" i="18"/>
  <c r="BF13" i="18"/>
  <c r="AS14" i="18"/>
  <c r="BA14" i="18"/>
  <c r="AV15" i="18"/>
  <c r="BD15" i="18"/>
  <c r="AQ16" i="18"/>
  <c r="AY16" i="18"/>
  <c r="BG16" i="18"/>
  <c r="AO18" i="18"/>
  <c r="AW18" i="18"/>
  <c r="BE18" i="18"/>
  <c r="AR19" i="18"/>
  <c r="AZ19" i="18"/>
  <c r="BH19" i="18"/>
  <c r="AR21" i="18"/>
  <c r="BC21" i="18"/>
  <c r="BD22" i="18"/>
  <c r="AT23" i="18"/>
  <c r="BD23" i="18"/>
  <c r="AE24" i="18"/>
  <c r="V55" i="13" s="1"/>
  <c r="AV24" i="18"/>
  <c r="BF24" i="18"/>
  <c r="AB27" i="18"/>
  <c r="AY27" i="18"/>
  <c r="AE29" i="18"/>
  <c r="V60" i="13" s="1"/>
  <c r="AX29" i="18"/>
  <c r="AZ30" i="18"/>
  <c r="AB32" i="18"/>
  <c r="AX32" i="18"/>
  <c r="BD35" i="18"/>
  <c r="AV35" i="18"/>
  <c r="BC35" i="18"/>
  <c r="AU35" i="18"/>
  <c r="BB35" i="18"/>
  <c r="AT35" i="18"/>
  <c r="BA35" i="18"/>
  <c r="AS35" i="18"/>
  <c r="AW35" i="18"/>
  <c r="BB37" i="18"/>
  <c r="AT37" i="18"/>
  <c r="BA37" i="18"/>
  <c r="AS37" i="18"/>
  <c r="BH37" i="18"/>
  <c r="AZ37" i="18"/>
  <c r="AR37" i="18"/>
  <c r="BG37" i="18"/>
  <c r="AY37" i="18"/>
  <c r="AQ37" i="18"/>
  <c r="AV37" i="18"/>
  <c r="BG38" i="18"/>
  <c r="AQ38" i="18"/>
  <c r="BE38" i="18"/>
  <c r="AO38" i="18"/>
  <c r="AG46" i="18"/>
  <c r="X77" i="13" s="1"/>
  <c r="AF46" i="18"/>
  <c r="BF54" i="18"/>
  <c r="AX54" i="18"/>
  <c r="AP54" i="18"/>
  <c r="BC54" i="18"/>
  <c r="AU54" i="18"/>
  <c r="BB54" i="18"/>
  <c r="AT54" i="18"/>
  <c r="BA54" i="18"/>
  <c r="AS54" i="18"/>
  <c r="BH54" i="18"/>
  <c r="AZ54" i="18"/>
  <c r="AR54" i="18"/>
  <c r="AO54" i="18"/>
  <c r="BG54" i="18"/>
  <c r="BE54" i="18"/>
  <c r="BD54" i="18"/>
  <c r="AB54" i="18"/>
  <c r="AZ57" i="18"/>
  <c r="AE62" i="18"/>
  <c r="V93" i="13" s="1"/>
  <c r="AG63" i="18"/>
  <c r="X94" i="13" s="1"/>
  <c r="AT6" i="18"/>
  <c r="AO7" i="18"/>
  <c r="AW7" i="18"/>
  <c r="AR8" i="18"/>
  <c r="AZ8" i="18"/>
  <c r="AP10" i="18"/>
  <c r="AX10" i="18"/>
  <c r="AS11" i="18"/>
  <c r="AQ13" i="18"/>
  <c r="AY13" i="18"/>
  <c r="AT14" i="18"/>
  <c r="AO15" i="18"/>
  <c r="AW15" i="18"/>
  <c r="AR16" i="18"/>
  <c r="AZ16" i="18"/>
  <c r="AP18" i="18"/>
  <c r="AX18" i="18"/>
  <c r="AS19" i="18"/>
  <c r="AS21" i="18"/>
  <c r="BD21" i="18"/>
  <c r="AU22" i="18"/>
  <c r="AU23" i="18"/>
  <c r="AW24" i="18"/>
  <c r="BG24" i="18"/>
  <c r="AE26" i="18"/>
  <c r="V57" i="13" s="1"/>
  <c r="AW26" i="18"/>
  <c r="AE27" i="18"/>
  <c r="V58" i="13" s="1"/>
  <c r="AZ27" i="18"/>
  <c r="BC29" i="18"/>
  <c r="BA30" i="18"/>
  <c r="AY32" i="18"/>
  <c r="BA34" i="18"/>
  <c r="AS34" i="18"/>
  <c r="BH34" i="18"/>
  <c r="AZ34" i="18"/>
  <c r="AR34" i="18"/>
  <c r="BG34" i="18"/>
  <c r="AY34" i="18"/>
  <c r="AQ34" i="18"/>
  <c r="AB34" i="18"/>
  <c r="AG34" i="18" s="1"/>
  <c r="X65" i="13" s="1"/>
  <c r="BF34" i="18"/>
  <c r="AX34" i="18"/>
  <c r="AP34" i="18"/>
  <c r="AU34" i="18"/>
  <c r="AX35" i="18"/>
  <c r="AB37" i="18"/>
  <c r="AG37" i="18" s="1"/>
  <c r="X68" i="13" s="1"/>
  <c r="AW37" i="18"/>
  <c r="AB38" i="18"/>
  <c r="AG38" i="18" s="1"/>
  <c r="X69" i="13" s="1"/>
  <c r="AT39" i="18"/>
  <c r="BH39" i="18"/>
  <c r="AR39" i="18"/>
  <c r="BG39" i="18"/>
  <c r="AQ39" i="18"/>
  <c r="BF39" i="18"/>
  <c r="AP39" i="18"/>
  <c r="AF42" i="18"/>
  <c r="W73" i="13" s="1"/>
  <c r="Y73" i="13" s="1"/>
  <c r="BE51" i="18"/>
  <c r="BE57" i="18"/>
  <c r="BB59" i="18"/>
  <c r="AT59" i="18"/>
  <c r="BA59" i="18"/>
  <c r="AS59" i="18"/>
  <c r="BH59" i="18"/>
  <c r="AZ59" i="18"/>
  <c r="AR59" i="18"/>
  <c r="BG59" i="18"/>
  <c r="AY59" i="18"/>
  <c r="AQ59" i="18"/>
  <c r="AB59" i="18"/>
  <c r="AF59" i="18" s="1"/>
  <c r="W90" i="13" s="1"/>
  <c r="AU59" i="18"/>
  <c r="AP59" i="18"/>
  <c r="BF59" i="18"/>
  <c r="AW62" i="18"/>
  <c r="AF63" i="18"/>
  <c r="W94" i="13" s="1"/>
  <c r="AT22" i="18"/>
  <c r="BB22" i="18"/>
  <c r="AO23" i="18"/>
  <c r="AW23" i="18"/>
  <c r="BE23" i="18"/>
  <c r="AV28" i="18"/>
  <c r="BD28" i="18"/>
  <c r="AT30" i="18"/>
  <c r="BB30" i="18"/>
  <c r="AO31" i="18"/>
  <c r="AW31" i="18"/>
  <c r="BE31" i="18"/>
  <c r="AU33" i="18"/>
  <c r="BC33" i="18"/>
  <c r="AV36" i="18"/>
  <c r="BD36" i="18"/>
  <c r="BE43" i="18"/>
  <c r="BG49" i="18"/>
  <c r="AY49" i="18"/>
  <c r="AQ49" i="18"/>
  <c r="BD49" i="18"/>
  <c r="AV49" i="18"/>
  <c r="BC49" i="18"/>
  <c r="AU49" i="18"/>
  <c r="BB49" i="18"/>
  <c r="AT49" i="18"/>
  <c r="BA49" i="18"/>
  <c r="AS49" i="18"/>
  <c r="AZ49" i="18"/>
  <c r="AS52" i="18"/>
  <c r="BD56" i="18"/>
  <c r="AV56" i="18"/>
  <c r="BA56" i="18"/>
  <c r="AS56" i="18"/>
  <c r="AE56" i="18"/>
  <c r="V87" i="13" s="1"/>
  <c r="BH56" i="18"/>
  <c r="AZ56" i="18"/>
  <c r="AR56" i="18"/>
  <c r="BG56" i="18"/>
  <c r="AY56" i="18"/>
  <c r="AQ56" i="18"/>
  <c r="BF56" i="18"/>
  <c r="AX56" i="18"/>
  <c r="AP56" i="18"/>
  <c r="AW56" i="18"/>
  <c r="AO28" i="18"/>
  <c r="AW28" i="18"/>
  <c r="BE28" i="18"/>
  <c r="AP31" i="18"/>
  <c r="AX31" i="18"/>
  <c r="BF31" i="18"/>
  <c r="AO36" i="18"/>
  <c r="AW36" i="18"/>
  <c r="BE36" i="18"/>
  <c r="BJ36" i="18" s="1"/>
  <c r="BB43" i="18"/>
  <c r="AT43" i="18"/>
  <c r="AB43" i="18"/>
  <c r="AF43" i="18" s="1"/>
  <c r="W74" i="13" s="1"/>
  <c r="BC43" i="18"/>
  <c r="BE49" i="18"/>
  <c r="AE54" i="18"/>
  <c r="V85" i="13" s="1"/>
  <c r="AP28" i="18"/>
  <c r="AX28" i="18"/>
  <c r="BF28" i="18"/>
  <c r="AB31" i="18"/>
  <c r="AQ31" i="18"/>
  <c r="AY31" i="18"/>
  <c r="AO33" i="18"/>
  <c r="AW33" i="18"/>
  <c r="BE33" i="18"/>
  <c r="AP36" i="18"/>
  <c r="AX36" i="18"/>
  <c r="BF36" i="18"/>
  <c r="BD43" i="18"/>
  <c r="BF46" i="18"/>
  <c r="AX46" i="18"/>
  <c r="AP46" i="18"/>
  <c r="BC46" i="18"/>
  <c r="AU46" i="18"/>
  <c r="BB46" i="18"/>
  <c r="AT46" i="18"/>
  <c r="BA46" i="18"/>
  <c r="AS46" i="18"/>
  <c r="BH46" i="18"/>
  <c r="AZ46" i="18"/>
  <c r="AR46" i="18"/>
  <c r="AW46" i="18"/>
  <c r="AG47" i="18"/>
  <c r="X78" i="13" s="1"/>
  <c r="AG49" i="18"/>
  <c r="X80" i="13" s="1"/>
  <c r="AF49" i="18"/>
  <c r="W80" i="13" s="1"/>
  <c r="BF49" i="18"/>
  <c r="AY52" i="18"/>
  <c r="BC56" i="18"/>
  <c r="BC60" i="18"/>
  <c r="AU60" i="18"/>
  <c r="AT60" i="18"/>
  <c r="AY60" i="18"/>
  <c r="AG61" i="18"/>
  <c r="AO22" i="18"/>
  <c r="AW22" i="18"/>
  <c r="AR23" i="18"/>
  <c r="AZ23" i="18"/>
  <c r="AQ28" i="18"/>
  <c r="AY28" i="18"/>
  <c r="AO30" i="18"/>
  <c r="AW30" i="18"/>
  <c r="AR31" i="18"/>
  <c r="AZ31" i="18"/>
  <c r="AP33" i="18"/>
  <c r="AX33" i="18"/>
  <c r="AQ36" i="18"/>
  <c r="AY36" i="18"/>
  <c r="BF38" i="18"/>
  <c r="AX38" i="18"/>
  <c r="AP38" i="18"/>
  <c r="BB38" i="18"/>
  <c r="AT38" i="18"/>
  <c r="BA38" i="18"/>
  <c r="AS38" i="18"/>
  <c r="BH38" i="18"/>
  <c r="AZ38" i="18"/>
  <c r="AR38" i="18"/>
  <c r="AU38" i="18"/>
  <c r="BA39" i="18"/>
  <c r="BD40" i="18"/>
  <c r="AV40" i="18"/>
  <c r="BH40" i="18"/>
  <c r="AZ40" i="18"/>
  <c r="AR40" i="18"/>
  <c r="BG40" i="18"/>
  <c r="AY40" i="18"/>
  <c r="AQ40" i="18"/>
  <c r="BF40" i="18"/>
  <c r="AX40" i="18"/>
  <c r="AP40" i="18"/>
  <c r="AT40" i="18"/>
  <c r="BG41" i="18"/>
  <c r="AY41" i="18"/>
  <c r="AQ41" i="18"/>
  <c r="BD41" i="18"/>
  <c r="AV41" i="18"/>
  <c r="BC41" i="18"/>
  <c r="AU41" i="18"/>
  <c r="BB41" i="18"/>
  <c r="AT41" i="18"/>
  <c r="BA41" i="18"/>
  <c r="AS41" i="18"/>
  <c r="AZ41" i="18"/>
  <c r="BF43" i="18"/>
  <c r="AY46" i="18"/>
  <c r="AF47" i="18"/>
  <c r="AO49" i="18"/>
  <c r="BH49" i="18"/>
  <c r="AB52" i="18"/>
  <c r="AF52" i="18" s="1"/>
  <c r="W83" i="13" s="1"/>
  <c r="AF53" i="18"/>
  <c r="BE56" i="18"/>
  <c r="AB60" i="18"/>
  <c r="AG60" i="18" s="1"/>
  <c r="X91" i="13" s="1"/>
  <c r="BA60" i="18"/>
  <c r="AU39" i="18"/>
  <c r="BC39" i="18"/>
  <c r="AV42" i="18"/>
  <c r="BD42" i="18"/>
  <c r="AQ43" i="18"/>
  <c r="AY43" i="18"/>
  <c r="BG43" i="18"/>
  <c r="AT44" i="18"/>
  <c r="BB44" i="18"/>
  <c r="AO45" i="18"/>
  <c r="AW45" i="18"/>
  <c r="BE45" i="18"/>
  <c r="AU47" i="18"/>
  <c r="BC47" i="18"/>
  <c r="AV50" i="18"/>
  <c r="BD50" i="18"/>
  <c r="AQ51" i="18"/>
  <c r="AY51" i="18"/>
  <c r="BG51" i="18"/>
  <c r="AT52" i="18"/>
  <c r="BB52" i="18"/>
  <c r="AO53" i="18"/>
  <c r="AW53" i="18"/>
  <c r="BE53" i="18"/>
  <c r="AU55" i="18"/>
  <c r="BC55" i="18"/>
  <c r="AV58" i="18"/>
  <c r="BD58" i="18"/>
  <c r="BB60" i="18"/>
  <c r="AO61" i="18"/>
  <c r="AW61" i="18"/>
  <c r="BE61" i="18"/>
  <c r="AU63" i="18"/>
  <c r="AV39" i="18"/>
  <c r="BD39" i="18"/>
  <c r="AO42" i="18"/>
  <c r="AW42" i="18"/>
  <c r="BE42" i="18"/>
  <c r="AR43" i="18"/>
  <c r="AZ43" i="18"/>
  <c r="BH43" i="18"/>
  <c r="AU44" i="18"/>
  <c r="BC44" i="18"/>
  <c r="AP45" i="18"/>
  <c r="AX45" i="18"/>
  <c r="BF45" i="18"/>
  <c r="AV47" i="18"/>
  <c r="BD47" i="18"/>
  <c r="AO50" i="18"/>
  <c r="AW50" i="18"/>
  <c r="BE50" i="18"/>
  <c r="AR51" i="18"/>
  <c r="AZ51" i="18"/>
  <c r="BH51" i="18"/>
  <c r="AU52" i="18"/>
  <c r="BC52" i="18"/>
  <c r="AP53" i="18"/>
  <c r="AX53" i="18"/>
  <c r="BF53" i="18"/>
  <c r="AV55" i="18"/>
  <c r="BD55" i="18"/>
  <c r="AO58" i="18"/>
  <c r="AW58" i="18"/>
  <c r="BE58" i="18"/>
  <c r="AP61" i="18"/>
  <c r="AX61" i="18"/>
  <c r="BF61" i="18"/>
  <c r="AV63" i="18"/>
  <c r="BD63" i="18"/>
  <c r="AO39" i="18"/>
  <c r="AW39" i="18"/>
  <c r="BE39" i="18"/>
  <c r="AP42" i="18"/>
  <c r="AX42" i="18"/>
  <c r="BF42" i="18"/>
  <c r="AS43" i="18"/>
  <c r="BA43" i="18"/>
  <c r="AV44" i="18"/>
  <c r="BD44" i="18"/>
  <c r="AQ45" i="18"/>
  <c r="AY45" i="18"/>
  <c r="BG45" i="18"/>
  <c r="AO47" i="18"/>
  <c r="AW47" i="18"/>
  <c r="BE47" i="18"/>
  <c r="AP50" i="18"/>
  <c r="AX50" i="18"/>
  <c r="BF50" i="18"/>
  <c r="AS51" i="18"/>
  <c r="BA51" i="18"/>
  <c r="AV52" i="18"/>
  <c r="BD52" i="18"/>
  <c r="AQ53" i="18"/>
  <c r="AY53" i="18"/>
  <c r="BG53" i="18"/>
  <c r="AO55" i="18"/>
  <c r="AW55" i="18"/>
  <c r="BE55" i="18"/>
  <c r="AP58" i="18"/>
  <c r="AX58" i="18"/>
  <c r="BF58" i="18"/>
  <c r="AV60" i="18"/>
  <c r="BD60" i="18"/>
  <c r="AQ61" i="18"/>
  <c r="AY61" i="18"/>
  <c r="BG61" i="18"/>
  <c r="AO63" i="18"/>
  <c r="AW63" i="18"/>
  <c r="BE63" i="18"/>
  <c r="AO44" i="18"/>
  <c r="AW44" i="18"/>
  <c r="BE44" i="18"/>
  <c r="AP47" i="18"/>
  <c r="AX47" i="18"/>
  <c r="AO52" i="18"/>
  <c r="AW52" i="18"/>
  <c r="BE52" i="18"/>
  <c r="BH53" i="18"/>
  <c r="AP55" i="18"/>
  <c r="AX55" i="18"/>
  <c r="AB58" i="18"/>
  <c r="AF58" i="18" s="1"/>
  <c r="W89" i="13" s="1"/>
  <c r="AQ58" i="18"/>
  <c r="AY58" i="18"/>
  <c r="BG58" i="18"/>
  <c r="AO60" i="18"/>
  <c r="AW60" i="18"/>
  <c r="BE60" i="18"/>
  <c r="AR61" i="18"/>
  <c r="AZ61" i="18"/>
  <c r="BH61" i="18"/>
  <c r="AP63" i="18"/>
  <c r="AX63" i="18"/>
  <c r="BF63" i="18"/>
  <c r="AS39" i="18"/>
  <c r="AT42" i="18"/>
  <c r="AO43" i="18"/>
  <c r="AW43" i="18"/>
  <c r="AR44" i="18"/>
  <c r="AZ44" i="18"/>
  <c r="AU45" i="18"/>
  <c r="AS47" i="18"/>
  <c r="AT50" i="18"/>
  <c r="AO51" i="18"/>
  <c r="AW51" i="18"/>
  <c r="AR52" i="18"/>
  <c r="AZ52" i="18"/>
  <c r="AU53" i="18"/>
  <c r="AS55" i="18"/>
  <c r="AT58" i="18"/>
  <c r="AO59" i="18"/>
  <c r="AW59" i="18"/>
  <c r="AR60" i="18"/>
  <c r="AZ60" i="18"/>
  <c r="AU61" i="18"/>
  <c r="AS63" i="18"/>
  <c r="Y80" i="13"/>
  <c r="Y49" i="13"/>
  <c r="Y35" i="13"/>
  <c r="Y76" i="13"/>
  <c r="Y88" i="13" l="1"/>
  <c r="BJ26" i="18"/>
  <c r="BJ59" i="18"/>
  <c r="AH42" i="18"/>
  <c r="Y41" i="13"/>
  <c r="AG15" i="18"/>
  <c r="X46" i="13" s="1"/>
  <c r="AH45" i="18"/>
  <c r="Y81" i="13"/>
  <c r="Y36" i="13"/>
  <c r="BJ14" i="18"/>
  <c r="BJ5" i="18"/>
  <c r="BJ31" i="18"/>
  <c r="Y52" i="13"/>
  <c r="BJ45" i="18"/>
  <c r="Y94" i="13"/>
  <c r="BJ22" i="18"/>
  <c r="BJ53" i="18"/>
  <c r="BJ50" i="18"/>
  <c r="BJ4" i="18"/>
  <c r="BJ40" i="18"/>
  <c r="BJ18" i="18"/>
  <c r="BJ6" i="18"/>
  <c r="BJ63" i="18"/>
  <c r="BJ38" i="18"/>
  <c r="BJ10" i="18"/>
  <c r="BJ58" i="18"/>
  <c r="BJ42" i="18"/>
  <c r="BJ11" i="18"/>
  <c r="BJ13" i="18"/>
  <c r="BJ61" i="18"/>
  <c r="BJ28" i="18"/>
  <c r="BJ34" i="18"/>
  <c r="AF41" i="18"/>
  <c r="AH41" i="18" s="1"/>
  <c r="BJ37" i="18"/>
  <c r="BJ19" i="18"/>
  <c r="BJ12" i="18"/>
  <c r="AH47" i="18"/>
  <c r="W78" i="13"/>
  <c r="Y78" i="13" s="1"/>
  <c r="BJ43" i="18"/>
  <c r="BJ16" i="18"/>
  <c r="AH11" i="18"/>
  <c r="W42" i="13"/>
  <c r="Y42" i="13" s="1"/>
  <c r="AH22" i="18"/>
  <c r="X53" i="13"/>
  <c r="Y53" i="13" s="1"/>
  <c r="AH13" i="18"/>
  <c r="W44" i="13"/>
  <c r="Y44" i="13" s="1"/>
  <c r="BJ52" i="18"/>
  <c r="BJ41" i="18"/>
  <c r="AH61" i="18"/>
  <c r="X92" i="13"/>
  <c r="Y92" i="13" s="1"/>
  <c r="BJ60" i="18"/>
  <c r="BJ46" i="18"/>
  <c r="AF44" i="18"/>
  <c r="W75" i="13" s="1"/>
  <c r="Y75" i="13" s="1"/>
  <c r="BJ33" i="18"/>
  <c r="BJ29" i="18"/>
  <c r="BJ23" i="18"/>
  <c r="BJ15" i="18"/>
  <c r="BJ62" i="18"/>
  <c r="BJ24" i="18"/>
  <c r="AH6" i="18"/>
  <c r="W37" i="13"/>
  <c r="Y37" i="13" s="1"/>
  <c r="AG51" i="18"/>
  <c r="X82" i="13" s="1"/>
  <c r="Y82" i="13" s="1"/>
  <c r="AH28" i="18"/>
  <c r="W59" i="13"/>
  <c r="Y59" i="13" s="1"/>
  <c r="BJ48" i="18"/>
  <c r="AH53" i="18"/>
  <c r="W84" i="13"/>
  <c r="Y84" i="13" s="1"/>
  <c r="AG3" i="18"/>
  <c r="X34" i="13" s="1"/>
  <c r="V34" i="13"/>
  <c r="AH39" i="18"/>
  <c r="W70" i="13"/>
  <c r="Y70" i="13" s="1"/>
  <c r="BJ44" i="18"/>
  <c r="BJ56" i="18"/>
  <c r="BJ54" i="18"/>
  <c r="AH46" i="18"/>
  <c r="W77" i="13"/>
  <c r="Y77" i="13" s="1"/>
  <c r="BJ35" i="18"/>
  <c r="BJ21" i="18"/>
  <c r="BJ7" i="18"/>
  <c r="BJ30" i="18"/>
  <c r="BJ27" i="18"/>
  <c r="AH40" i="18"/>
  <c r="X71" i="13"/>
  <c r="Y71" i="13" s="1"/>
  <c r="BJ8" i="18"/>
  <c r="AH8" i="18"/>
  <c r="W39" i="13"/>
  <c r="Y39" i="13" s="1"/>
  <c r="BJ25" i="18"/>
  <c r="BJ17" i="18"/>
  <c r="BJ55" i="18"/>
  <c r="BJ47" i="18"/>
  <c r="BJ39" i="18"/>
  <c r="BJ49" i="18"/>
  <c r="BJ32" i="18"/>
  <c r="BJ57" i="18"/>
  <c r="AH55" i="18"/>
  <c r="W86" i="13"/>
  <c r="Y86" i="13" s="1"/>
  <c r="BJ9" i="18"/>
  <c r="BJ51" i="18"/>
  <c r="AH35" i="18"/>
  <c r="W66" i="13"/>
  <c r="Y66" i="13" s="1"/>
  <c r="BJ20" i="18"/>
  <c r="A15" i="12"/>
  <c r="AC14" i="12"/>
  <c r="BJ3" i="18"/>
  <c r="AH18" i="18"/>
  <c r="AH19" i="18"/>
  <c r="AH4" i="18"/>
  <c r="AH36" i="18"/>
  <c r="AH50" i="18"/>
  <c r="AH63" i="18"/>
  <c r="AH21" i="18"/>
  <c r="AH16" i="18"/>
  <c r="AH10" i="18"/>
  <c r="AG43" i="18"/>
  <c r="X74" i="13" s="1"/>
  <c r="Y74" i="13" s="1"/>
  <c r="AH49" i="18"/>
  <c r="AG7" i="18"/>
  <c r="AH57" i="18"/>
  <c r="AH15" i="18"/>
  <c r="AG30" i="18"/>
  <c r="AG58" i="18"/>
  <c r="AG14" i="18"/>
  <c r="AG52" i="18"/>
  <c r="AH33" i="18"/>
  <c r="AF60" i="18"/>
  <c r="AF34" i="18"/>
  <c r="AH5" i="18"/>
  <c r="AH44" i="18"/>
  <c r="AG26" i="18"/>
  <c r="X57" i="13" s="1"/>
  <c r="AF26" i="18"/>
  <c r="W57" i="13" s="1"/>
  <c r="AG32" i="18"/>
  <c r="X63" i="13" s="1"/>
  <c r="AF32" i="18"/>
  <c r="W63" i="13" s="1"/>
  <c r="Y63" i="13" s="1"/>
  <c r="AG17" i="18"/>
  <c r="X48" i="13" s="1"/>
  <c r="AF17" i="18"/>
  <c r="W48" i="13" s="1"/>
  <c r="AG12" i="18"/>
  <c r="X43" i="13" s="1"/>
  <c r="AF12" i="18"/>
  <c r="W43" i="13" s="1"/>
  <c r="AG23" i="18"/>
  <c r="X54" i="13" s="1"/>
  <c r="AF23" i="18"/>
  <c r="W54" i="13" s="1"/>
  <c r="AG25" i="18"/>
  <c r="X56" i="13" s="1"/>
  <c r="AF25" i="18"/>
  <c r="W56" i="13" s="1"/>
  <c r="Y56" i="13" s="1"/>
  <c r="AG62" i="18"/>
  <c r="X93" i="13" s="1"/>
  <c r="AF62" i="18"/>
  <c r="AF38" i="18"/>
  <c r="AG54" i="18"/>
  <c r="X85" i="13" s="1"/>
  <c r="AF54" i="18"/>
  <c r="W85" i="13" s="1"/>
  <c r="AG24" i="18"/>
  <c r="X55" i="13" s="1"/>
  <c r="AF24" i="18"/>
  <c r="W55" i="13" s="1"/>
  <c r="AG9" i="18"/>
  <c r="X40" i="13" s="1"/>
  <c r="AF9" i="18"/>
  <c r="AG59" i="18"/>
  <c r="AF37" i="18"/>
  <c r="AF56" i="18"/>
  <c r="W87" i="13" s="1"/>
  <c r="AG56" i="18"/>
  <c r="X87" i="13" s="1"/>
  <c r="AG27" i="18"/>
  <c r="X58" i="13" s="1"/>
  <c r="AF27" i="18"/>
  <c r="W58" i="13" s="1"/>
  <c r="AG20" i="18"/>
  <c r="X51" i="13" s="1"/>
  <c r="AF20" i="18"/>
  <c r="W51" i="13" s="1"/>
  <c r="AG48" i="18"/>
  <c r="X79" i="13" s="1"/>
  <c r="AF48" i="18"/>
  <c r="W79" i="13" s="1"/>
  <c r="Y79" i="13" s="1"/>
  <c r="AG31" i="18"/>
  <c r="X62" i="13" s="1"/>
  <c r="AF31" i="18"/>
  <c r="W62" i="13" s="1"/>
  <c r="AF29" i="18"/>
  <c r="W60" i="13" s="1"/>
  <c r="AG29" i="18"/>
  <c r="X60" i="13" s="1"/>
  <c r="AF3" i="18"/>
  <c r="Y46" i="13"/>
  <c r="Y54" i="13" l="1"/>
  <c r="Y87" i="13"/>
  <c r="AH43" i="18"/>
  <c r="Y58" i="13"/>
  <c r="Y55" i="13"/>
  <c r="W72" i="13"/>
  <c r="Y72" i="13" s="1"/>
  <c r="Y57" i="13"/>
  <c r="AH51" i="18"/>
  <c r="Y43" i="13"/>
  <c r="Y48" i="13"/>
  <c r="AH38" i="18"/>
  <c r="W69" i="13"/>
  <c r="Y69" i="13" s="1"/>
  <c r="AH3" i="18"/>
  <c r="W34" i="13"/>
  <c r="Y34" i="13" s="1"/>
  <c r="AH7" i="18"/>
  <c r="X38" i="13"/>
  <c r="Y38" i="13" s="1"/>
  <c r="AH30" i="18"/>
  <c r="X61" i="13"/>
  <c r="Y61" i="13" s="1"/>
  <c r="Y60" i="13"/>
  <c r="AH62" i="18"/>
  <c r="W93" i="13"/>
  <c r="Y93" i="13" s="1"/>
  <c r="AH34" i="18"/>
  <c r="W65" i="13"/>
  <c r="Y65" i="13" s="1"/>
  <c r="AH52" i="18"/>
  <c r="X83" i="13"/>
  <c r="Y83" i="13" s="1"/>
  <c r="AH58" i="18"/>
  <c r="X89" i="13"/>
  <c r="Y89" i="13" s="1"/>
  <c r="AH37" i="18"/>
  <c r="W68" i="13"/>
  <c r="Y68" i="13" s="1"/>
  <c r="AH59" i="18"/>
  <c r="X90" i="13"/>
  <c r="Y90" i="13" s="1"/>
  <c r="Y62" i="13"/>
  <c r="Y51" i="13"/>
  <c r="AH9" i="18"/>
  <c r="W40" i="13"/>
  <c r="Y40" i="13" s="1"/>
  <c r="Y85" i="13"/>
  <c r="AH60" i="18"/>
  <c r="W91" i="13"/>
  <c r="Y91" i="13" s="1"/>
  <c r="AH14" i="18"/>
  <c r="X45" i="13"/>
  <c r="Y45" i="13" s="1"/>
  <c r="A16" i="12"/>
  <c r="AC15" i="12"/>
  <c r="AH54" i="18"/>
  <c r="AH48" i="18"/>
  <c r="AH56" i="18"/>
  <c r="AH17" i="18"/>
  <c r="AH29" i="18"/>
  <c r="AH24" i="18"/>
  <c r="AH25" i="18"/>
  <c r="AH12" i="18"/>
  <c r="AH20" i="18"/>
  <c r="AH32" i="18"/>
  <c r="AH27" i="18"/>
  <c r="AH23" i="18"/>
  <c r="AH26" i="18"/>
  <c r="AH31" i="18"/>
  <c r="A17" i="12" l="1"/>
  <c r="AC16" i="12"/>
  <c r="C13" i="13"/>
  <c r="C14" i="13"/>
  <c r="C15" i="13"/>
  <c r="C16" i="13"/>
  <c r="C17" i="13"/>
  <c r="C18" i="13"/>
  <c r="C19" i="13"/>
  <c r="C20" i="13"/>
  <c r="C21" i="13"/>
  <c r="C22" i="13"/>
  <c r="AX23" i="2" s="1"/>
  <c r="C23" i="13"/>
  <c r="C24" i="13"/>
  <c r="C25" i="13"/>
  <c r="C26" i="13"/>
  <c r="C27" i="13"/>
  <c r="AX29" i="2" s="1"/>
  <c r="C28" i="13"/>
  <c r="AX30" i="2" s="1"/>
  <c r="C29" i="13"/>
  <c r="AX32" i="2" s="1"/>
  <c r="C30" i="13"/>
  <c r="C31" i="13"/>
  <c r="AX35" i="2" s="1"/>
  <c r="C32" i="13"/>
  <c r="C33" i="13"/>
  <c r="C34" i="13"/>
  <c r="C35" i="13"/>
  <c r="C36" i="13"/>
  <c r="C37" i="13"/>
  <c r="C38" i="13"/>
  <c r="C39" i="13"/>
  <c r="C40" i="13"/>
  <c r="C41" i="13"/>
  <c r="AX54" i="2" s="1"/>
  <c r="C42" i="13"/>
  <c r="C43" i="13"/>
  <c r="C44" i="13"/>
  <c r="AX62" i="2" s="1"/>
  <c r="C45" i="13"/>
  <c r="C46" i="13"/>
  <c r="AX69" i="2" s="1"/>
  <c r="C47" i="13"/>
  <c r="C48" i="13"/>
  <c r="AX73" i="2" s="1"/>
  <c r="C49" i="13"/>
  <c r="AX75" i="2" s="1"/>
  <c r="C50" i="13"/>
  <c r="AX76" i="2" s="1"/>
  <c r="C51" i="13"/>
  <c r="AX79" i="2" s="1"/>
  <c r="C52" i="13"/>
  <c r="C53" i="13"/>
  <c r="C54" i="13"/>
  <c r="C55" i="13"/>
  <c r="C56" i="13"/>
  <c r="C57" i="13"/>
  <c r="AX111" i="2" s="1"/>
  <c r="C58" i="13"/>
  <c r="AX123" i="2" s="1"/>
  <c r="C59" i="13"/>
  <c r="AX132" i="2" s="1"/>
  <c r="C60" i="13"/>
  <c r="C61" i="13"/>
  <c r="AX148" i="2" s="1"/>
  <c r="C62" i="13"/>
  <c r="AX159" i="2" s="1"/>
  <c r="C63" i="13"/>
  <c r="C64" i="13"/>
  <c r="AX169" i="2" s="1"/>
  <c r="C65" i="13"/>
  <c r="AX174" i="2" s="1"/>
  <c r="C66" i="13"/>
  <c r="C67" i="13"/>
  <c r="AX181" i="2" s="1"/>
  <c r="C68" i="13"/>
  <c r="AX183" i="2" s="1"/>
  <c r="C69" i="13"/>
  <c r="C70" i="13"/>
  <c r="C71" i="13"/>
  <c r="C72" i="13"/>
  <c r="AX198" i="2" s="1"/>
  <c r="C73" i="13"/>
  <c r="AX200" i="2" s="1"/>
  <c r="C74" i="13"/>
  <c r="AX203" i="2" s="1"/>
  <c r="C75" i="13"/>
  <c r="AX208" i="2" s="1"/>
  <c r="C76" i="13"/>
  <c r="AX209" i="2" s="1"/>
  <c r="C77" i="13"/>
  <c r="AX210" i="2" s="1"/>
  <c r="C78" i="13"/>
  <c r="AX213" i="2" s="1"/>
  <c r="C79" i="13"/>
  <c r="C80" i="13"/>
  <c r="C81" i="13"/>
  <c r="C82" i="13"/>
  <c r="AX38" i="2" l="1"/>
  <c r="AX160" i="2"/>
  <c r="AX74" i="2"/>
  <c r="AX171" i="2"/>
  <c r="AX26" i="2"/>
  <c r="AX206" i="2"/>
  <c r="AX222" i="2"/>
  <c r="AX16" i="2"/>
  <c r="AX17" i="2"/>
  <c r="AX101" i="2"/>
  <c r="AX176" i="2"/>
  <c r="AX168" i="2"/>
  <c r="AX119" i="2"/>
  <c r="AX8" i="2"/>
  <c r="AX102" i="2"/>
  <c r="AX43" i="2"/>
  <c r="AX27" i="2"/>
  <c r="AX28" i="2"/>
  <c r="AX104" i="2"/>
  <c r="AX161" i="2"/>
  <c r="AX217" i="2"/>
  <c r="AX207" i="2"/>
  <c r="AX163" i="2"/>
  <c r="AX52" i="2"/>
  <c r="AX140" i="2"/>
  <c r="AX141" i="2"/>
  <c r="AX36" i="2"/>
  <c r="AX142" i="2"/>
  <c r="AX143" i="2"/>
  <c r="AX37" i="2"/>
  <c r="AX94" i="2"/>
  <c r="AX91" i="2"/>
  <c r="AX105" i="2"/>
  <c r="AX84" i="2"/>
  <c r="AX109" i="2"/>
  <c r="AX133" i="2"/>
  <c r="AX25" i="2"/>
  <c r="AX97" i="2"/>
  <c r="AX139" i="2"/>
  <c r="AX85" i="2"/>
  <c r="AX98" i="2"/>
  <c r="AX53" i="2"/>
  <c r="AX71" i="2"/>
  <c r="AX47" i="2"/>
  <c r="AX18" i="2"/>
  <c r="AX19" i="2"/>
  <c r="AX6" i="2"/>
  <c r="AX50" i="2"/>
  <c r="AX86" i="2"/>
  <c r="AX64" i="2"/>
  <c r="AX65" i="2"/>
  <c r="AX66" i="2"/>
  <c r="AX12" i="2"/>
  <c r="AX193" i="2"/>
  <c r="AX211" i="2"/>
  <c r="AX166" i="2"/>
  <c r="AX205" i="2"/>
  <c r="AX122" i="2"/>
  <c r="AX99" i="2"/>
  <c r="AX156" i="2"/>
  <c r="AX182" i="2"/>
  <c r="AX72" i="2"/>
  <c r="AX179" i="2"/>
  <c r="AX51" i="2"/>
  <c r="AX223" i="2"/>
  <c r="AX155" i="2"/>
  <c r="AX153" i="2"/>
  <c r="AX154" i="2"/>
  <c r="AX157" i="2"/>
  <c r="AX125" i="2"/>
  <c r="AX24" i="2"/>
  <c r="AX128" i="2"/>
  <c r="AX134" i="2"/>
  <c r="AX42" i="2"/>
  <c r="AX202" i="2"/>
  <c r="AX34" i="2"/>
  <c r="AX118" i="2"/>
  <c r="AX120" i="2"/>
  <c r="AX14" i="2"/>
  <c r="AX167" i="2"/>
  <c r="AX5" i="2"/>
  <c r="AX144" i="2"/>
  <c r="AX63" i="2"/>
  <c r="AX117" i="2"/>
  <c r="AX136" i="2"/>
  <c r="AX137" i="2"/>
  <c r="AX57" i="2"/>
  <c r="AX61" i="2"/>
  <c r="AX39" i="2"/>
  <c r="AX194" i="2"/>
  <c r="AX191" i="2"/>
  <c r="AX68" i="2"/>
  <c r="AX186" i="2"/>
  <c r="AX190" i="2"/>
  <c r="AX201" i="2"/>
  <c r="AX225" i="2"/>
  <c r="AX229" i="2"/>
  <c r="AX214" i="2"/>
  <c r="AX218" i="2"/>
  <c r="AX226" i="2"/>
  <c r="AX230" i="2"/>
  <c r="AX215" i="2"/>
  <c r="AX227" i="2"/>
  <c r="AX204" i="2"/>
  <c r="AX220" i="2"/>
  <c r="AX224" i="2"/>
  <c r="AX228" i="2"/>
  <c r="AX232" i="2"/>
  <c r="AX95" i="2"/>
  <c r="AX112" i="2"/>
  <c r="AX127" i="2"/>
  <c r="AX106" i="2"/>
  <c r="AX49" i="2"/>
  <c r="AX77" i="2"/>
  <c r="AX33" i="2"/>
  <c r="AX175" i="2"/>
  <c r="AX196" i="2"/>
  <c r="AX114" i="2"/>
  <c r="AX116" i="2"/>
  <c r="AX108" i="2"/>
  <c r="AX4" i="2"/>
  <c r="AX131" i="2"/>
  <c r="AX113" i="2"/>
  <c r="AX115" i="2"/>
  <c r="AX41" i="2"/>
  <c r="AX147" i="2"/>
  <c r="AX58" i="2"/>
  <c r="AX199" i="2"/>
  <c r="AX185" i="2"/>
  <c r="AX195" i="2"/>
  <c r="AX88" i="2"/>
  <c r="AX121" i="2"/>
  <c r="AX150" i="2"/>
  <c r="AX130" i="2"/>
  <c r="AX145" i="2"/>
  <c r="AX67" i="2"/>
  <c r="AX70" i="2"/>
  <c r="AX184" i="2"/>
  <c r="AX46" i="2"/>
  <c r="AX48" i="2"/>
  <c r="AX22" i="2"/>
  <c r="AX78" i="2"/>
  <c r="AX96" i="2"/>
  <c r="AX188" i="2"/>
  <c r="AX178" i="2"/>
  <c r="AX13" i="2"/>
  <c r="AX173" i="2"/>
  <c r="AX40" i="2"/>
  <c r="AX7" i="2"/>
  <c r="AX92" i="2"/>
  <c r="AX197" i="2"/>
  <c r="AX103" i="2"/>
  <c r="AX93" i="2"/>
  <c r="AX216" i="2"/>
  <c r="AX180" i="2"/>
  <c r="AX187" i="2"/>
  <c r="AX138" i="2"/>
  <c r="AX177" i="2"/>
  <c r="AX189" i="2"/>
  <c r="AX170" i="2"/>
  <c r="AX87" i="2"/>
  <c r="AX89" i="2"/>
  <c r="AX192" i="2"/>
  <c r="AX221" i="2"/>
  <c r="AX45" i="2"/>
  <c r="AX21" i="2"/>
  <c r="AX80" i="2"/>
  <c r="AX90" i="2"/>
  <c r="AX107" i="2"/>
  <c r="AX56" i="2"/>
  <c r="AX83" i="2"/>
  <c r="AX9" i="2"/>
  <c r="AX10" i="2"/>
  <c r="AX11" i="2"/>
  <c r="AX31" i="2"/>
  <c r="AX146" i="2"/>
  <c r="AX126" i="2"/>
  <c r="AX100" i="2"/>
  <c r="AX59" i="2"/>
  <c r="AX60" i="2"/>
  <c r="AX81" i="2"/>
  <c r="AX110" i="2"/>
  <c r="AX219" i="2"/>
  <c r="AX158" i="2"/>
  <c r="AX44" i="2"/>
  <c r="AX55" i="2"/>
  <c r="AX124" i="2"/>
  <c r="AX164" i="2"/>
  <c r="AX165" i="2"/>
  <c r="AX15" i="2"/>
  <c r="AX149" i="2"/>
  <c r="AX20" i="2"/>
  <c r="AX135" i="2"/>
  <c r="AX151" i="2"/>
  <c r="AX172" i="2"/>
  <c r="AX129" i="2"/>
  <c r="AX152" i="2"/>
  <c r="AX82" i="2"/>
  <c r="AX231" i="2"/>
  <c r="AX162" i="2"/>
  <c r="AX212" i="2"/>
  <c r="A18" i="12"/>
  <c r="AC17" i="12"/>
  <c r="G20" i="17"/>
  <c r="G31" i="17" s="1"/>
  <c r="K19" i="17"/>
  <c r="J30" i="17" s="1"/>
  <c r="C19" i="17"/>
  <c r="C30" i="17" s="1"/>
  <c r="C17" i="17"/>
  <c r="C28" i="17" s="1"/>
  <c r="G16" i="17"/>
  <c r="G27" i="17" s="1"/>
  <c r="L11" i="17"/>
  <c r="H22" i="17" s="1"/>
  <c r="H33" i="17" s="1"/>
  <c r="L10" i="17"/>
  <c r="G21" i="17" s="1"/>
  <c r="G32" i="17" s="1"/>
  <c r="L9" i="17"/>
  <c r="H20" i="17" s="1"/>
  <c r="H31" i="17" s="1"/>
  <c r="L8" i="17"/>
  <c r="J19" i="17" s="1"/>
  <c r="L7" i="17"/>
  <c r="H18" i="17" s="1"/>
  <c r="H29" i="17" s="1"/>
  <c r="L6" i="17"/>
  <c r="K17" i="17" s="1"/>
  <c r="J28" i="17" s="1"/>
  <c r="L5" i="17"/>
  <c r="H16" i="17" s="1"/>
  <c r="H27" i="17" s="1"/>
  <c r="F16" i="17" l="1"/>
  <c r="F27" i="17" s="1"/>
  <c r="K16" i="17"/>
  <c r="J27" i="17" s="1"/>
  <c r="I18" i="17"/>
  <c r="I29" i="17" s="1"/>
  <c r="H19" i="17"/>
  <c r="H30" i="17" s="1"/>
  <c r="F20" i="17"/>
  <c r="F31" i="17" s="1"/>
  <c r="K20" i="17"/>
  <c r="J31" i="17" s="1"/>
  <c r="C16" i="17"/>
  <c r="C27" i="17" s="1"/>
  <c r="I16" i="17"/>
  <c r="I27" i="17" s="1"/>
  <c r="D19" i="17"/>
  <c r="D30" i="17" s="1"/>
  <c r="C20" i="17"/>
  <c r="C31" i="17" s="1"/>
  <c r="I20" i="17"/>
  <c r="I31" i="17" s="1"/>
  <c r="E22" i="17"/>
  <c r="E33" i="17" s="1"/>
  <c r="E16" i="17"/>
  <c r="E27" i="17" s="1"/>
  <c r="J16" i="17"/>
  <c r="E18" i="17"/>
  <c r="E29" i="17" s="1"/>
  <c r="G19" i="17"/>
  <c r="G30" i="17" s="1"/>
  <c r="E20" i="17"/>
  <c r="E31" i="17" s="1"/>
  <c r="J20" i="17"/>
  <c r="I22" i="17"/>
  <c r="I33" i="17" s="1"/>
  <c r="A19" i="12"/>
  <c r="AC18" i="12"/>
  <c r="D10" i="14"/>
  <c r="C10" i="14"/>
  <c r="J17" i="17"/>
  <c r="F17" i="17"/>
  <c r="F28" i="17" s="1"/>
  <c r="I17" i="17"/>
  <c r="I28" i="17" s="1"/>
  <c r="E17" i="17"/>
  <c r="E28" i="17" s="1"/>
  <c r="H17" i="17"/>
  <c r="H28" i="17" s="1"/>
  <c r="D17" i="17"/>
  <c r="D28" i="17" s="1"/>
  <c r="J21" i="17"/>
  <c r="F21" i="17"/>
  <c r="F32" i="17" s="1"/>
  <c r="I21" i="17"/>
  <c r="I32" i="17" s="1"/>
  <c r="E21" i="17"/>
  <c r="E32" i="17" s="1"/>
  <c r="H21" i="17"/>
  <c r="H32" i="17" s="1"/>
  <c r="D21" i="17"/>
  <c r="D32" i="17" s="1"/>
  <c r="K21" i="17"/>
  <c r="J32" i="17" s="1"/>
  <c r="G17" i="17"/>
  <c r="G28" i="17" s="1"/>
  <c r="C21" i="17"/>
  <c r="F18" i="17"/>
  <c r="F29" i="17" s="1"/>
  <c r="J18" i="17"/>
  <c r="F22" i="17"/>
  <c r="F33" i="17" s="1"/>
  <c r="J22" i="17"/>
  <c r="C18" i="17"/>
  <c r="G18" i="17"/>
  <c r="G29" i="17" s="1"/>
  <c r="K18" i="17"/>
  <c r="J29" i="17" s="1"/>
  <c r="E19" i="17"/>
  <c r="E30" i="17" s="1"/>
  <c r="I19" i="17"/>
  <c r="I30" i="17" s="1"/>
  <c r="C22" i="17"/>
  <c r="G22" i="17"/>
  <c r="G33" i="17" s="1"/>
  <c r="K22" i="17"/>
  <c r="J33" i="17" s="1"/>
  <c r="D16" i="17"/>
  <c r="D27" i="17" s="1"/>
  <c r="D18" i="17"/>
  <c r="D29" i="17" s="1"/>
  <c r="F19" i="17"/>
  <c r="F30" i="17" s="1"/>
  <c r="D20" i="17"/>
  <c r="D31" i="17" s="1"/>
  <c r="D22" i="17"/>
  <c r="D33" i="17" s="1"/>
  <c r="A20" i="12" l="1"/>
  <c r="AC19" i="12"/>
  <c r="L21" i="17"/>
  <c r="C32" i="17"/>
  <c r="L17" i="17"/>
  <c r="L18" i="17"/>
  <c r="C29" i="17"/>
  <c r="L16" i="17"/>
  <c r="L19" i="17"/>
  <c r="L22" i="17"/>
  <c r="C33" i="17"/>
  <c r="L20" i="17"/>
  <c r="A21" i="12" l="1"/>
  <c r="AC20" i="12"/>
  <c r="AQ3" i="2"/>
  <c r="AO2" i="12"/>
  <c r="AQ2" i="12"/>
  <c r="A22" i="12" l="1"/>
  <c r="AC21" i="12"/>
  <c r="AO3" i="2"/>
  <c r="AN3" i="2"/>
  <c r="AP3" i="2" s="1"/>
  <c r="A23" i="12" l="1"/>
  <c r="AC22" i="12"/>
  <c r="E10" i="14"/>
  <c r="AX3" i="2"/>
  <c r="A24" i="12" l="1"/>
  <c r="AC23" i="12"/>
  <c r="F10" i="14"/>
  <c r="J9" i="21"/>
  <c r="J10" i="21" s="1"/>
  <c r="BC3" i="2"/>
  <c r="BA3" i="2"/>
  <c r="A25" i="12" l="1"/>
  <c r="AC24" i="12"/>
  <c r="AL3" i="2"/>
  <c r="AP2" i="12"/>
  <c r="AR2" i="12"/>
  <c r="A26" i="12" l="1"/>
  <c r="AC25" i="12"/>
  <c r="AY2" i="12"/>
  <c r="CC3" i="12"/>
  <c r="AG3" i="2"/>
  <c r="AH3" i="2"/>
  <c r="A27" i="12" l="1"/>
  <c r="AC26" i="12"/>
  <c r="AZ3" i="2"/>
  <c r="AW3" i="2"/>
  <c r="AV3" i="2"/>
  <c r="AU3" i="2"/>
  <c r="AT3" i="2"/>
  <c r="A28" i="12" l="1"/>
  <c r="AC27" i="12"/>
  <c r="D39" i="11"/>
  <c r="A29" i="12" l="1"/>
  <c r="AC28" i="12"/>
  <c r="F46" i="11"/>
  <c r="F47" i="11"/>
  <c r="F51" i="11"/>
  <c r="F55" i="11"/>
  <c r="F59" i="11"/>
  <c r="F63" i="11"/>
  <c r="F67" i="11"/>
  <c r="F71" i="11"/>
  <c r="F75" i="11"/>
  <c r="F57" i="11"/>
  <c r="F61" i="11"/>
  <c r="F69" i="11"/>
  <c r="F54" i="11"/>
  <c r="F62" i="11"/>
  <c r="F70" i="11"/>
  <c r="F48" i="11"/>
  <c r="F52" i="11"/>
  <c r="F56" i="11"/>
  <c r="F60" i="11"/>
  <c r="F64" i="11"/>
  <c r="F68" i="11"/>
  <c r="F72" i="11"/>
  <c r="F53" i="11"/>
  <c r="F65" i="11"/>
  <c r="F73" i="11"/>
  <c r="F50" i="11"/>
  <c r="F58" i="11"/>
  <c r="F66" i="11"/>
  <c r="F74" i="11"/>
  <c r="F49" i="11"/>
  <c r="D40" i="11"/>
  <c r="AI3" i="2"/>
  <c r="BG3" i="2" s="1"/>
  <c r="AN2" i="12"/>
  <c r="A30" i="12" l="1"/>
  <c r="AC29" i="12"/>
  <c r="E74" i="11"/>
  <c r="G74" i="11" s="1"/>
  <c r="E75" i="11"/>
  <c r="G75" i="11" s="1"/>
  <c r="E72" i="11"/>
  <c r="G72" i="11" s="1"/>
  <c r="E73" i="11"/>
  <c r="G73" i="11" s="1"/>
  <c r="E70" i="11"/>
  <c r="G70" i="11" s="1"/>
  <c r="E71" i="11"/>
  <c r="G71" i="11" s="1"/>
  <c r="E47" i="11"/>
  <c r="G47" i="11" s="1"/>
  <c r="E51" i="11"/>
  <c r="G51" i="11" s="1"/>
  <c r="E55" i="11"/>
  <c r="G55" i="11" s="1"/>
  <c r="E59" i="11"/>
  <c r="G59" i="11" s="1"/>
  <c r="E63" i="11"/>
  <c r="G63" i="11" s="1"/>
  <c r="E67" i="11"/>
  <c r="G67" i="11" s="1"/>
  <c r="E54" i="11"/>
  <c r="G54" i="11" s="1"/>
  <c r="E66" i="11"/>
  <c r="G66" i="11" s="1"/>
  <c r="E48" i="11"/>
  <c r="G48" i="11" s="1"/>
  <c r="E52" i="11"/>
  <c r="G52" i="11" s="1"/>
  <c r="E56" i="11"/>
  <c r="G56" i="11" s="1"/>
  <c r="E60" i="11"/>
  <c r="G60" i="11" s="1"/>
  <c r="E64" i="11"/>
  <c r="G64" i="11" s="1"/>
  <c r="E68" i="11"/>
  <c r="G68" i="11" s="1"/>
  <c r="E58" i="11"/>
  <c r="G58" i="11" s="1"/>
  <c r="E62" i="11"/>
  <c r="G62" i="11" s="1"/>
  <c r="E49" i="11"/>
  <c r="G49" i="11" s="1"/>
  <c r="E53" i="11"/>
  <c r="G53" i="11" s="1"/>
  <c r="E57" i="11"/>
  <c r="G57" i="11" s="1"/>
  <c r="E61" i="11"/>
  <c r="G61" i="11" s="1"/>
  <c r="E65" i="11"/>
  <c r="G65" i="11" s="1"/>
  <c r="E69" i="11"/>
  <c r="G69" i="11" s="1"/>
  <c r="E50" i="11"/>
  <c r="G50" i="11" s="1"/>
  <c r="E46" i="11"/>
  <c r="BB3" i="2"/>
  <c r="BF3" i="2" s="1"/>
  <c r="CB6" i="12"/>
  <c r="F8" i="14"/>
  <c r="A31" i="12" l="1"/>
  <c r="AC30" i="12"/>
  <c r="I394" i="11"/>
  <c r="I395" i="11"/>
  <c r="I399" i="11"/>
  <c r="I403" i="11"/>
  <c r="I402" i="11"/>
  <c r="I396" i="11"/>
  <c r="I400" i="11"/>
  <c r="I404" i="11"/>
  <c r="I397" i="11"/>
  <c r="I401" i="11"/>
  <c r="I405" i="11"/>
  <c r="BE366" i="12" s="1"/>
  <c r="I398" i="11"/>
  <c r="I382" i="11"/>
  <c r="I383" i="11"/>
  <c r="I387" i="11"/>
  <c r="I391" i="11"/>
  <c r="I390" i="11"/>
  <c r="I384" i="11"/>
  <c r="I388" i="11"/>
  <c r="I392" i="11"/>
  <c r="I385" i="11"/>
  <c r="I389" i="11"/>
  <c r="I393" i="11"/>
  <c r="I386" i="11"/>
  <c r="I371" i="11"/>
  <c r="I375" i="11"/>
  <c r="I379" i="11"/>
  <c r="I372" i="11"/>
  <c r="I376" i="11"/>
  <c r="I380" i="11"/>
  <c r="I378" i="11"/>
  <c r="I373" i="11"/>
  <c r="I377" i="11"/>
  <c r="I381" i="11"/>
  <c r="I374" i="11"/>
  <c r="I370" i="11"/>
  <c r="I358" i="11"/>
  <c r="I359" i="11"/>
  <c r="I363" i="11"/>
  <c r="I367" i="11"/>
  <c r="I366" i="11"/>
  <c r="I360" i="11"/>
  <c r="I364" i="11"/>
  <c r="I368" i="11"/>
  <c r="I361" i="11"/>
  <c r="I365" i="11"/>
  <c r="I369" i="11"/>
  <c r="I362" i="11"/>
  <c r="I346" i="11"/>
  <c r="I347" i="11"/>
  <c r="I351" i="11"/>
  <c r="I355" i="11"/>
  <c r="I348" i="11"/>
  <c r="I352" i="11"/>
  <c r="I356" i="11"/>
  <c r="I354" i="11"/>
  <c r="I349" i="11"/>
  <c r="I353" i="11"/>
  <c r="I357" i="11"/>
  <c r="I350" i="11"/>
  <c r="I334" i="11"/>
  <c r="I335" i="11"/>
  <c r="I339" i="11"/>
  <c r="I343" i="11"/>
  <c r="I336" i="11"/>
  <c r="I340" i="11"/>
  <c r="I344" i="11"/>
  <c r="I342" i="11"/>
  <c r="I337" i="11"/>
  <c r="I341" i="11"/>
  <c r="I345" i="11"/>
  <c r="I338" i="11"/>
  <c r="I322" i="11"/>
  <c r="I323" i="11"/>
  <c r="I327" i="11"/>
  <c r="I331" i="11"/>
  <c r="I324" i="11"/>
  <c r="I332" i="11"/>
  <c r="I328" i="11"/>
  <c r="I325" i="11"/>
  <c r="I329" i="11"/>
  <c r="I333" i="11"/>
  <c r="I326" i="11"/>
  <c r="I330" i="11"/>
  <c r="I311" i="11"/>
  <c r="I315" i="11"/>
  <c r="I319" i="11"/>
  <c r="I318" i="11"/>
  <c r="I312" i="11"/>
  <c r="I316" i="11"/>
  <c r="I320" i="11"/>
  <c r="I313" i="11"/>
  <c r="I317" i="11"/>
  <c r="I321" i="11"/>
  <c r="I314" i="11"/>
  <c r="I310" i="11"/>
  <c r="I298" i="11"/>
  <c r="I299" i="11"/>
  <c r="I303" i="11"/>
  <c r="I307" i="11"/>
  <c r="I300" i="11"/>
  <c r="I304" i="11"/>
  <c r="I308" i="11"/>
  <c r="I306" i="11"/>
  <c r="I301" i="11"/>
  <c r="I305" i="11"/>
  <c r="I309" i="11"/>
  <c r="I302" i="11"/>
  <c r="I286" i="11"/>
  <c r="I287" i="11"/>
  <c r="I291" i="11"/>
  <c r="I295" i="11"/>
  <c r="I288" i="11"/>
  <c r="I292" i="11"/>
  <c r="I296" i="11"/>
  <c r="I289" i="11"/>
  <c r="I293" i="11"/>
  <c r="I297" i="11"/>
  <c r="I290" i="11"/>
  <c r="I294" i="11"/>
  <c r="I275" i="11"/>
  <c r="I279" i="11"/>
  <c r="I283" i="11"/>
  <c r="I276" i="11"/>
  <c r="I280" i="11"/>
  <c r="I284" i="11"/>
  <c r="I282" i="11"/>
  <c r="I277" i="11"/>
  <c r="I281" i="11"/>
  <c r="I285" i="11"/>
  <c r="I278" i="11"/>
  <c r="I274" i="11"/>
  <c r="I262" i="11"/>
  <c r="I271" i="11"/>
  <c r="I264" i="11"/>
  <c r="I268" i="11"/>
  <c r="I272" i="11"/>
  <c r="I270" i="11"/>
  <c r="I263" i="11"/>
  <c r="I265" i="11"/>
  <c r="I269" i="11"/>
  <c r="I273" i="11"/>
  <c r="I266" i="11"/>
  <c r="I267" i="11"/>
  <c r="I251" i="11"/>
  <c r="I255" i="11"/>
  <c r="I259" i="11"/>
  <c r="I252" i="11"/>
  <c r="I256" i="11"/>
  <c r="I260" i="11"/>
  <c r="I258" i="11"/>
  <c r="I253" i="11"/>
  <c r="I257" i="11"/>
  <c r="I261" i="11"/>
  <c r="I254" i="11"/>
  <c r="I250" i="11"/>
  <c r="I239" i="11"/>
  <c r="I243" i="11"/>
  <c r="I247" i="11"/>
  <c r="I246" i="11"/>
  <c r="I240" i="11"/>
  <c r="I244" i="11"/>
  <c r="I248" i="11"/>
  <c r="I241" i="11"/>
  <c r="I245" i="11"/>
  <c r="I249" i="11"/>
  <c r="I242" i="11"/>
  <c r="I238" i="11"/>
  <c r="I227" i="11"/>
  <c r="I231" i="11"/>
  <c r="I235" i="11"/>
  <c r="I229" i="11"/>
  <c r="I237" i="11"/>
  <c r="I234" i="11"/>
  <c r="I228" i="11"/>
  <c r="I232" i="11"/>
  <c r="I236" i="11"/>
  <c r="I233" i="11"/>
  <c r="I230" i="11"/>
  <c r="I214" i="11"/>
  <c r="I226" i="11"/>
  <c r="I221" i="11"/>
  <c r="I222" i="11"/>
  <c r="I215" i="11"/>
  <c r="I217" i="11"/>
  <c r="I224" i="11"/>
  <c r="I218" i="11"/>
  <c r="I223" i="11"/>
  <c r="I220" i="11"/>
  <c r="I225" i="11"/>
  <c r="I219" i="11"/>
  <c r="I216" i="11"/>
  <c r="I202" i="11"/>
  <c r="I203" i="11"/>
  <c r="I207" i="11"/>
  <c r="I211" i="11"/>
  <c r="I204" i="11"/>
  <c r="I208" i="11"/>
  <c r="I212" i="11"/>
  <c r="I205" i="11"/>
  <c r="I209" i="11"/>
  <c r="I213" i="11"/>
  <c r="I206" i="11"/>
  <c r="I210" i="11"/>
  <c r="I190" i="11"/>
  <c r="I191" i="11"/>
  <c r="I195" i="11"/>
  <c r="I199" i="11"/>
  <c r="I196" i="11"/>
  <c r="I200" i="11"/>
  <c r="I192" i="11"/>
  <c r="I193" i="11"/>
  <c r="I197" i="11"/>
  <c r="I201" i="11"/>
  <c r="I194" i="11"/>
  <c r="I198" i="11"/>
  <c r="I179" i="11"/>
  <c r="I183" i="11"/>
  <c r="I187" i="11"/>
  <c r="I180" i="11"/>
  <c r="I184" i="11"/>
  <c r="I188" i="11"/>
  <c r="I181" i="11"/>
  <c r="I185" i="11"/>
  <c r="I189" i="11"/>
  <c r="I182" i="11"/>
  <c r="I186" i="11"/>
  <c r="I178" i="11"/>
  <c r="I166" i="11"/>
  <c r="I167" i="11"/>
  <c r="I171" i="11"/>
  <c r="I175" i="11"/>
  <c r="I172" i="11"/>
  <c r="I168" i="11"/>
  <c r="I176" i="11"/>
  <c r="I169" i="11"/>
  <c r="I173" i="11"/>
  <c r="I177" i="11"/>
  <c r="I170" i="11"/>
  <c r="I174" i="11"/>
  <c r="I155" i="11"/>
  <c r="I159" i="11"/>
  <c r="I163" i="11"/>
  <c r="I156" i="11"/>
  <c r="I160" i="11"/>
  <c r="I164" i="11"/>
  <c r="I162" i="11"/>
  <c r="I157" i="11"/>
  <c r="I161" i="11"/>
  <c r="I165" i="11"/>
  <c r="I158" i="11"/>
  <c r="I154" i="11"/>
  <c r="I143" i="11"/>
  <c r="I147" i="11"/>
  <c r="I151" i="11"/>
  <c r="I144" i="11"/>
  <c r="I152" i="11"/>
  <c r="I148" i="11"/>
  <c r="I145" i="11"/>
  <c r="I149" i="11"/>
  <c r="I153" i="11"/>
  <c r="I146" i="11"/>
  <c r="I150" i="11"/>
  <c r="I142" i="11"/>
  <c r="I130" i="11"/>
  <c r="I131" i="11"/>
  <c r="I135" i="11"/>
  <c r="I139" i="11"/>
  <c r="I133" i="11"/>
  <c r="I141" i="11"/>
  <c r="I138" i="11"/>
  <c r="I132" i="11"/>
  <c r="I136" i="11"/>
  <c r="I140" i="11"/>
  <c r="I137" i="11"/>
  <c r="I134" i="11"/>
  <c r="I119" i="11"/>
  <c r="I123" i="11"/>
  <c r="I127" i="11"/>
  <c r="I120" i="11"/>
  <c r="I124" i="11"/>
  <c r="I128" i="11"/>
  <c r="I126" i="11"/>
  <c r="I121" i="11"/>
  <c r="I125" i="11"/>
  <c r="I129" i="11"/>
  <c r="I122" i="11"/>
  <c r="I118" i="11"/>
  <c r="I107" i="11"/>
  <c r="I111" i="11"/>
  <c r="I115" i="11"/>
  <c r="I108" i="11"/>
  <c r="I112" i="11"/>
  <c r="I116" i="11"/>
  <c r="I109" i="11"/>
  <c r="I113" i="11"/>
  <c r="I117" i="11"/>
  <c r="I110" i="11"/>
  <c r="I114" i="11"/>
  <c r="I106" i="11"/>
  <c r="I94" i="11"/>
  <c r="I95" i="11"/>
  <c r="I99" i="11"/>
  <c r="I103" i="11"/>
  <c r="I96" i="11"/>
  <c r="I100" i="11"/>
  <c r="I104" i="11"/>
  <c r="I102" i="11"/>
  <c r="I97" i="11"/>
  <c r="I101" i="11"/>
  <c r="I105" i="11"/>
  <c r="I98" i="11"/>
  <c r="I83" i="11"/>
  <c r="I87" i="11"/>
  <c r="I91" i="11"/>
  <c r="I89" i="11"/>
  <c r="I93" i="11"/>
  <c r="I86" i="11"/>
  <c r="I84" i="11"/>
  <c r="I88" i="11"/>
  <c r="I92" i="11"/>
  <c r="I85" i="11"/>
  <c r="I90" i="11"/>
  <c r="I82" i="11"/>
  <c r="I70" i="11"/>
  <c r="I71" i="11"/>
  <c r="I75" i="11"/>
  <c r="I79" i="11"/>
  <c r="I72" i="11"/>
  <c r="I76" i="11"/>
  <c r="I80" i="11"/>
  <c r="I78" i="11"/>
  <c r="I73" i="11"/>
  <c r="I77" i="11"/>
  <c r="I81" i="11"/>
  <c r="I74" i="11"/>
  <c r="G46" i="11"/>
  <c r="CB7" i="12"/>
  <c r="CC6" i="12"/>
  <c r="A32" i="12" l="1"/>
  <c r="AC31" i="12"/>
  <c r="J349" i="11"/>
  <c r="BE309" i="12" s="1"/>
  <c r="J240" i="11"/>
  <c r="J360" i="11"/>
  <c r="BE320" i="12" s="1"/>
  <c r="J305" i="11"/>
  <c r="J301" i="11"/>
  <c r="J333" i="11"/>
  <c r="J400" i="11"/>
  <c r="BE360" i="12" s="1"/>
  <c r="J125" i="11"/>
  <c r="J384" i="11"/>
  <c r="BE344" i="12" s="1"/>
  <c r="J173" i="11"/>
  <c r="J337" i="11"/>
  <c r="BE297" i="12" s="1"/>
  <c r="J225" i="11"/>
  <c r="J357" i="11"/>
  <c r="BE317" i="12" s="1"/>
  <c r="J281" i="11"/>
  <c r="J345" i="11"/>
  <c r="BE305" i="12" s="1"/>
  <c r="J248" i="11"/>
  <c r="J396" i="11"/>
  <c r="BE356" i="12" s="1"/>
  <c r="J153" i="11"/>
  <c r="J197" i="11"/>
  <c r="J312" i="11"/>
  <c r="J165" i="11"/>
  <c r="J161" i="11"/>
  <c r="J316" i="11"/>
  <c r="J97" i="11"/>
  <c r="J244" i="11"/>
  <c r="J257" i="11"/>
  <c r="J261" i="11"/>
  <c r="J216" i="11"/>
  <c r="J404" i="11"/>
  <c r="BE364" i="12" s="1"/>
  <c r="J285" i="11"/>
  <c r="J341" i="11"/>
  <c r="BE301" i="12" s="1"/>
  <c r="J353" i="11"/>
  <c r="BE313" i="12" s="1"/>
  <c r="J381" i="11"/>
  <c r="BE341" i="12" s="1"/>
  <c r="J368" i="11"/>
  <c r="BE328" i="12" s="1"/>
  <c r="J73" i="11"/>
  <c r="J377" i="11"/>
  <c r="BE337" i="12" s="1"/>
  <c r="J392" i="11"/>
  <c r="BE352" i="12" s="1"/>
  <c r="J129" i="11"/>
  <c r="J364" i="11"/>
  <c r="BE324" i="12" s="1"/>
  <c r="J388" i="11"/>
  <c r="BE348" i="12" s="1"/>
  <c r="J373" i="11"/>
  <c r="BE333" i="12" s="1"/>
  <c r="J378" i="11"/>
  <c r="BE338" i="12" s="1"/>
  <c r="J335" i="11"/>
  <c r="BE295" i="12" s="1"/>
  <c r="J347" i="11"/>
  <c r="BE307" i="12" s="1"/>
  <c r="J350" i="11"/>
  <c r="BE310" i="12" s="1"/>
  <c r="J362" i="11"/>
  <c r="BE322" i="12" s="1"/>
  <c r="J372" i="11"/>
  <c r="BE332" i="12" s="1"/>
  <c r="J386" i="11"/>
  <c r="BE346" i="12" s="1"/>
  <c r="J383" i="11"/>
  <c r="BE343" i="12" s="1"/>
  <c r="J395" i="11"/>
  <c r="BE355" i="12" s="1"/>
  <c r="J340" i="11"/>
  <c r="BE300" i="12" s="1"/>
  <c r="J352" i="11"/>
  <c r="BE312" i="12" s="1"/>
  <c r="J365" i="11"/>
  <c r="BE325" i="12" s="1"/>
  <c r="J359" i="11"/>
  <c r="BE319" i="12" s="1"/>
  <c r="J380" i="11"/>
  <c r="BE340" i="12" s="1"/>
  <c r="J389" i="11"/>
  <c r="BE349" i="12" s="1"/>
  <c r="J401" i="11"/>
  <c r="BE361" i="12" s="1"/>
  <c r="J338" i="11"/>
  <c r="BE298" i="12" s="1"/>
  <c r="J342" i="11"/>
  <c r="BE302" i="12" s="1"/>
  <c r="J354" i="11"/>
  <c r="BE314" i="12" s="1"/>
  <c r="J367" i="11"/>
  <c r="BE327" i="12" s="1"/>
  <c r="J370" i="11"/>
  <c r="BE330" i="12" s="1"/>
  <c r="J391" i="11"/>
  <c r="BE351" i="12" s="1"/>
  <c r="J398" i="11"/>
  <c r="BE358" i="12" s="1"/>
  <c r="J403" i="11"/>
  <c r="BE363" i="12" s="1"/>
  <c r="J344" i="11"/>
  <c r="BE304" i="12" s="1"/>
  <c r="J339" i="11"/>
  <c r="BE299" i="12" s="1"/>
  <c r="J356" i="11"/>
  <c r="BE316" i="12" s="1"/>
  <c r="J351" i="11"/>
  <c r="BE311" i="12" s="1"/>
  <c r="J369" i="11"/>
  <c r="BE329" i="12" s="1"/>
  <c r="J363" i="11"/>
  <c r="BE323" i="12" s="1"/>
  <c r="J374" i="11"/>
  <c r="BE334" i="12" s="1"/>
  <c r="J379" i="11"/>
  <c r="BE339" i="12" s="1"/>
  <c r="J393" i="11"/>
  <c r="BE353" i="12" s="1"/>
  <c r="J387" i="11"/>
  <c r="BE347" i="12" s="1"/>
  <c r="J405" i="11"/>
  <c r="BE365" i="12" s="1"/>
  <c r="J399" i="11"/>
  <c r="BE359" i="12" s="1"/>
  <c r="J355" i="11"/>
  <c r="BE315" i="12" s="1"/>
  <c r="J375" i="11"/>
  <c r="BE335" i="12" s="1"/>
  <c r="J343" i="11"/>
  <c r="BE303" i="12" s="1"/>
  <c r="J336" i="11"/>
  <c r="BE296" i="12" s="1"/>
  <c r="J334" i="11"/>
  <c r="BE294" i="12" s="1"/>
  <c r="J348" i="11"/>
  <c r="BE308" i="12" s="1"/>
  <c r="J346" i="11"/>
  <c r="BE306" i="12" s="1"/>
  <c r="J361" i="11"/>
  <c r="BE321" i="12" s="1"/>
  <c r="J366" i="11"/>
  <c r="BE326" i="12" s="1"/>
  <c r="J358" i="11"/>
  <c r="BE318" i="12" s="1"/>
  <c r="J376" i="11"/>
  <c r="BE336" i="12" s="1"/>
  <c r="J371" i="11"/>
  <c r="BE331" i="12" s="1"/>
  <c r="J385" i="11"/>
  <c r="BE345" i="12" s="1"/>
  <c r="J390" i="11"/>
  <c r="BE350" i="12" s="1"/>
  <c r="J382" i="11"/>
  <c r="BE342" i="12" s="1"/>
  <c r="J397" i="11"/>
  <c r="BE357" i="12" s="1"/>
  <c r="J402" i="11"/>
  <c r="BE362" i="12" s="1"/>
  <c r="J394" i="11"/>
  <c r="BE354" i="12" s="1"/>
  <c r="J263" i="11"/>
  <c r="J328" i="11"/>
  <c r="J309" i="11"/>
  <c r="J228" i="11"/>
  <c r="J148" i="11"/>
  <c r="J201" i="11"/>
  <c r="J320" i="11"/>
  <c r="J77" i="11"/>
  <c r="J157" i="11"/>
  <c r="J105" i="11"/>
  <c r="J219" i="11"/>
  <c r="J101" i="11"/>
  <c r="J71" i="11"/>
  <c r="J167" i="11"/>
  <c r="J191" i="11"/>
  <c r="J203" i="11"/>
  <c r="J81" i="11"/>
  <c r="J85" i="11"/>
  <c r="J100" i="11"/>
  <c r="J110" i="11"/>
  <c r="J116" i="11"/>
  <c r="J128" i="11"/>
  <c r="J146" i="11"/>
  <c r="J164" i="11"/>
  <c r="J177" i="11"/>
  <c r="J182" i="11"/>
  <c r="J188" i="11"/>
  <c r="J213" i="11"/>
  <c r="J208" i="11"/>
  <c r="J249" i="11"/>
  <c r="J260" i="11"/>
  <c r="J253" i="11"/>
  <c r="J277" i="11"/>
  <c r="J273" i="11"/>
  <c r="J168" i="11"/>
  <c r="J215" i="11"/>
  <c r="J144" i="11"/>
  <c r="J252" i="11"/>
  <c r="J276" i="11"/>
  <c r="J294" i="11"/>
  <c r="J289" i="11"/>
  <c r="J302" i="11"/>
  <c r="J313" i="11"/>
  <c r="J330" i="11"/>
  <c r="J270" i="11"/>
  <c r="J284" i="11"/>
  <c r="J297" i="11"/>
  <c r="J292" i="11"/>
  <c r="J287" i="11"/>
  <c r="J304" i="11"/>
  <c r="J299" i="11"/>
  <c r="J321" i="11"/>
  <c r="J323" i="11"/>
  <c r="J98" i="11"/>
  <c r="J120" i="11"/>
  <c r="J134" i="11"/>
  <c r="J84" i="11"/>
  <c r="J95" i="11"/>
  <c r="J131" i="11"/>
  <c r="J108" i="11"/>
  <c r="J218" i="11"/>
  <c r="J282" i="11"/>
  <c r="J121" i="11"/>
  <c r="J80" i="11"/>
  <c r="J90" i="11"/>
  <c r="J104" i="11"/>
  <c r="J114" i="11"/>
  <c r="J109" i="11"/>
  <c r="J122" i="11"/>
  <c r="J126" i="11"/>
  <c r="J137" i="11"/>
  <c r="J150" i="11"/>
  <c r="J145" i="11"/>
  <c r="J158" i="11"/>
  <c r="J162" i="11"/>
  <c r="J170" i="11"/>
  <c r="J176" i="11"/>
  <c r="J186" i="11"/>
  <c r="J181" i="11"/>
  <c r="J194" i="11"/>
  <c r="J206" i="11"/>
  <c r="J212" i="11"/>
  <c r="J230" i="11"/>
  <c r="J242" i="11"/>
  <c r="J247" i="11"/>
  <c r="J254" i="11"/>
  <c r="J266" i="11"/>
  <c r="J278" i="11"/>
  <c r="J290" i="11"/>
  <c r="J296" i="11"/>
  <c r="J308" i="11"/>
  <c r="J314" i="11"/>
  <c r="J319" i="11"/>
  <c r="J326" i="11"/>
  <c r="J140" i="11"/>
  <c r="J200" i="11"/>
  <c r="J224" i="11"/>
  <c r="J233" i="11"/>
  <c r="J332" i="11"/>
  <c r="J269" i="11"/>
  <c r="J325" i="11"/>
  <c r="J156" i="11"/>
  <c r="J135" i="11"/>
  <c r="J75" i="11"/>
  <c r="J99" i="11"/>
  <c r="J192" i="11"/>
  <c r="J258" i="11"/>
  <c r="J221" i="11"/>
  <c r="J133" i="11"/>
  <c r="J76" i="11"/>
  <c r="J74" i="11"/>
  <c r="J78" i="11"/>
  <c r="J79" i="11"/>
  <c r="J82" i="11"/>
  <c r="J88" i="11"/>
  <c r="J89" i="11"/>
  <c r="J102" i="11"/>
  <c r="J103" i="11"/>
  <c r="J106" i="11"/>
  <c r="J113" i="11"/>
  <c r="J118" i="11"/>
  <c r="J132" i="11"/>
  <c r="J139" i="11"/>
  <c r="J142" i="11"/>
  <c r="J149" i="11"/>
  <c r="J154" i="11"/>
  <c r="J174" i="11"/>
  <c r="J169" i="11"/>
  <c r="J175" i="11"/>
  <c r="J178" i="11"/>
  <c r="J185" i="11"/>
  <c r="J180" i="11"/>
  <c r="J198" i="11"/>
  <c r="J193" i="11"/>
  <c r="J199" i="11"/>
  <c r="J210" i="11"/>
  <c r="J205" i="11"/>
  <c r="J211" i="11"/>
  <c r="J223" i="11"/>
  <c r="J214" i="11"/>
  <c r="J232" i="11"/>
  <c r="J229" i="11"/>
  <c r="J238" i="11"/>
  <c r="J241" i="11"/>
  <c r="J246" i="11"/>
  <c r="J250" i="11"/>
  <c r="J267" i="11"/>
  <c r="J265" i="11"/>
  <c r="J268" i="11"/>
  <c r="J274" i="11"/>
  <c r="J295" i="11"/>
  <c r="J306" i="11"/>
  <c r="J307" i="11"/>
  <c r="J310" i="11"/>
  <c r="J318" i="11"/>
  <c r="J331" i="11"/>
  <c r="J91" i="11"/>
  <c r="J115" i="11"/>
  <c r="J127" i="11"/>
  <c r="J138" i="11"/>
  <c r="J151" i="11"/>
  <c r="J163" i="11"/>
  <c r="J171" i="11"/>
  <c r="J187" i="11"/>
  <c r="J195" i="11"/>
  <c r="J207" i="11"/>
  <c r="J222" i="11"/>
  <c r="J235" i="11"/>
  <c r="J259" i="11"/>
  <c r="J264" i="11"/>
  <c r="J283" i="11"/>
  <c r="J291" i="11"/>
  <c r="J303" i="11"/>
  <c r="J327" i="11"/>
  <c r="J86" i="11"/>
  <c r="J87" i="11"/>
  <c r="J111" i="11"/>
  <c r="J123" i="11"/>
  <c r="J141" i="11"/>
  <c r="J147" i="11"/>
  <c r="J159" i="11"/>
  <c r="J183" i="11"/>
  <c r="J234" i="11"/>
  <c r="J231" i="11"/>
  <c r="J243" i="11"/>
  <c r="J255" i="11"/>
  <c r="J271" i="11"/>
  <c r="J279" i="11"/>
  <c r="J315" i="11"/>
  <c r="J72" i="11"/>
  <c r="J92" i="11"/>
  <c r="J93" i="11"/>
  <c r="J83" i="11"/>
  <c r="J96" i="11"/>
  <c r="J94" i="11"/>
  <c r="J117" i="11"/>
  <c r="J112" i="11"/>
  <c r="J107" i="11"/>
  <c r="J124" i="11"/>
  <c r="J119" i="11"/>
  <c r="J136" i="11"/>
  <c r="J130" i="11"/>
  <c r="J152" i="11"/>
  <c r="J143" i="11"/>
  <c r="J160" i="11"/>
  <c r="J155" i="11"/>
  <c r="J172" i="11"/>
  <c r="J166" i="11"/>
  <c r="J189" i="11"/>
  <c r="J184" i="11"/>
  <c r="J179" i="11"/>
  <c r="J196" i="11"/>
  <c r="J190" i="11"/>
  <c r="J209" i="11"/>
  <c r="J204" i="11"/>
  <c r="J202" i="11"/>
  <c r="J220" i="11"/>
  <c r="J217" i="11"/>
  <c r="J226" i="11"/>
  <c r="J236" i="11"/>
  <c r="J237" i="11"/>
  <c r="J227" i="11"/>
  <c r="J245" i="11"/>
  <c r="J239" i="11"/>
  <c r="J256" i="11"/>
  <c r="J251" i="11"/>
  <c r="J272" i="11"/>
  <c r="J262" i="11"/>
  <c r="J280" i="11"/>
  <c r="J275" i="11"/>
  <c r="J293" i="11"/>
  <c r="J288" i="11"/>
  <c r="J286" i="11"/>
  <c r="J300" i="11"/>
  <c r="J298" i="11"/>
  <c r="J317" i="11"/>
  <c r="J311" i="11"/>
  <c r="J329" i="11"/>
  <c r="J324" i="11"/>
  <c r="J322" i="11"/>
  <c r="I58" i="11"/>
  <c r="I59" i="11"/>
  <c r="I63" i="11"/>
  <c r="I67" i="11"/>
  <c r="I60" i="11"/>
  <c r="I64" i="11"/>
  <c r="I68" i="11"/>
  <c r="I61" i="11"/>
  <c r="I65" i="11"/>
  <c r="I69" i="11"/>
  <c r="I62" i="11"/>
  <c r="I66" i="11"/>
  <c r="I46" i="11"/>
  <c r="J46" i="11" s="1"/>
  <c r="BE6" i="12" s="1"/>
  <c r="I47" i="11"/>
  <c r="I51" i="11"/>
  <c r="I55" i="11"/>
  <c r="I50" i="11"/>
  <c r="I48" i="11"/>
  <c r="I52" i="11"/>
  <c r="I56" i="11"/>
  <c r="I54" i="11"/>
  <c r="I49" i="11"/>
  <c r="I53" i="11"/>
  <c r="I57" i="11"/>
  <c r="CC7" i="12"/>
  <c r="CB8" i="12"/>
  <c r="A33" i="12" l="1"/>
  <c r="AC32" i="12"/>
  <c r="J52" i="11"/>
  <c r="J53" i="11"/>
  <c r="J49" i="11"/>
  <c r="J48" i="11"/>
  <c r="J57" i="11"/>
  <c r="J56" i="11"/>
  <c r="J66" i="11"/>
  <c r="J61" i="11"/>
  <c r="J69" i="11"/>
  <c r="J64" i="11"/>
  <c r="J59" i="11"/>
  <c r="J62" i="11"/>
  <c r="J68" i="11"/>
  <c r="J65" i="11"/>
  <c r="J60" i="11"/>
  <c r="J55" i="11"/>
  <c r="J67" i="11"/>
  <c r="J51" i="11"/>
  <c r="J63" i="11"/>
  <c r="J70" i="11"/>
  <c r="J54" i="11"/>
  <c r="J50" i="11"/>
  <c r="J58" i="11"/>
  <c r="J47" i="11"/>
  <c r="CB9" i="12"/>
  <c r="CC8" i="12"/>
  <c r="BX3" i="12"/>
  <c r="BS3" i="12"/>
  <c r="AY3" i="2"/>
  <c r="AS3" i="2"/>
  <c r="AR3" i="2"/>
  <c r="B82" i="8"/>
  <c r="N82" i="8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V76" i="8"/>
  <c r="U76" i="8"/>
  <c r="T76" i="8"/>
  <c r="S76" i="8"/>
  <c r="R76" i="8"/>
  <c r="Q76" i="8"/>
  <c r="P76" i="8"/>
  <c r="O76" i="8"/>
  <c r="V75" i="8"/>
  <c r="U75" i="8"/>
  <c r="T75" i="8"/>
  <c r="S75" i="8"/>
  <c r="R75" i="8"/>
  <c r="Q75" i="8"/>
  <c r="P75" i="8"/>
  <c r="O75" i="8"/>
  <c r="V74" i="8"/>
  <c r="U74" i="8"/>
  <c r="T74" i="8"/>
  <c r="S74" i="8"/>
  <c r="R74" i="8"/>
  <c r="Q74" i="8"/>
  <c r="P74" i="8"/>
  <c r="O74" i="8"/>
  <c r="V73" i="8"/>
  <c r="U73" i="8"/>
  <c r="T73" i="8"/>
  <c r="S73" i="8"/>
  <c r="R73" i="8"/>
  <c r="Q73" i="8"/>
  <c r="P73" i="8"/>
  <c r="O73" i="8"/>
  <c r="V72" i="8"/>
  <c r="U72" i="8"/>
  <c r="T72" i="8"/>
  <c r="S72" i="8"/>
  <c r="R72" i="8"/>
  <c r="Q72" i="8"/>
  <c r="P72" i="8"/>
  <c r="O72" i="8"/>
  <c r="L76" i="8"/>
  <c r="L75" i="8"/>
  <c r="L74" i="8"/>
  <c r="L73" i="8"/>
  <c r="K76" i="8"/>
  <c r="K75" i="8"/>
  <c r="K74" i="8"/>
  <c r="K73" i="8"/>
  <c r="J76" i="8"/>
  <c r="J75" i="8"/>
  <c r="J74" i="8"/>
  <c r="J73" i="8"/>
  <c r="L72" i="8"/>
  <c r="K72" i="8"/>
  <c r="J72" i="8"/>
  <c r="H70" i="8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4" i="4"/>
  <c r="C5" i="4"/>
  <c r="C6" i="4"/>
  <c r="C7" i="4"/>
  <c r="C8" i="4"/>
  <c r="C9" i="4"/>
  <c r="C10" i="4"/>
  <c r="C3" i="4"/>
  <c r="A34" i="12" l="1"/>
  <c r="AC33" i="12"/>
  <c r="BE8" i="12"/>
  <c r="BE7" i="12"/>
  <c r="C46" i="7"/>
  <c r="C62" i="7" s="1"/>
  <c r="B83" i="8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J137" i="8" s="1"/>
  <c r="C45" i="7"/>
  <c r="A147" i="12"/>
  <c r="CC9" i="12"/>
  <c r="CB10" i="12"/>
  <c r="C54" i="7"/>
  <c r="C58" i="7"/>
  <c r="C65" i="7"/>
  <c r="C69" i="7"/>
  <c r="C63" i="7"/>
  <c r="C67" i="7"/>
  <c r="F7" i="14"/>
  <c r="P83" i="8"/>
  <c r="R84" i="8"/>
  <c r="U91" i="8"/>
  <c r="Q132" i="8"/>
  <c r="S92" i="8"/>
  <c r="O123" i="8"/>
  <c r="U135" i="8"/>
  <c r="V96" i="8"/>
  <c r="V104" i="8"/>
  <c r="Q123" i="8"/>
  <c r="T85" i="8"/>
  <c r="AX6" i="12"/>
  <c r="J106" i="8"/>
  <c r="J90" i="8"/>
  <c r="L90" i="8"/>
  <c r="R104" i="8"/>
  <c r="V123" i="8"/>
  <c r="R98" i="8"/>
  <c r="R95" i="8"/>
  <c r="V88" i="8"/>
  <c r="V107" i="8"/>
  <c r="R82" i="8"/>
  <c r="R120" i="8"/>
  <c r="R110" i="8"/>
  <c r="V89" i="8"/>
  <c r="R109" i="8"/>
  <c r="V113" i="8"/>
  <c r="V91" i="8"/>
  <c r="V128" i="8"/>
  <c r="V122" i="8"/>
  <c r="R117" i="8"/>
  <c r="V129" i="8"/>
  <c r="R111" i="8"/>
  <c r="R136" i="8"/>
  <c r="V118" i="8"/>
  <c r="L84" i="8"/>
  <c r="J84" i="8"/>
  <c r="J91" i="8"/>
  <c r="P85" i="8"/>
  <c r="K100" i="8"/>
  <c r="T116" i="8"/>
  <c r="T86" i="8"/>
  <c r="T114" i="8"/>
  <c r="T132" i="8"/>
  <c r="L97" i="8"/>
  <c r="P126" i="8"/>
  <c r="T99" i="8"/>
  <c r="V134" i="8"/>
  <c r="R127" i="8"/>
  <c r="V112" i="8"/>
  <c r="V85" i="8"/>
  <c r="V131" i="8"/>
  <c r="R129" i="8"/>
  <c r="Q134" i="8"/>
  <c r="Q82" i="8"/>
  <c r="Q83" i="8"/>
  <c r="Q102" i="8"/>
  <c r="Q136" i="8"/>
  <c r="Q104" i="8"/>
  <c r="Q91" i="8"/>
  <c r="Q116" i="8"/>
  <c r="U134" i="8"/>
  <c r="U118" i="8"/>
  <c r="U92" i="8"/>
  <c r="K107" i="8"/>
  <c r="K88" i="8"/>
  <c r="K89" i="8"/>
  <c r="Q103" i="8"/>
  <c r="Q99" i="8"/>
  <c r="C11" i="4"/>
  <c r="D8" i="4" s="1"/>
  <c r="Q129" i="8"/>
  <c r="Q122" i="8"/>
  <c r="Q101" i="8"/>
  <c r="Q114" i="8"/>
  <c r="P103" i="8"/>
  <c r="P137" i="8"/>
  <c r="P111" i="8"/>
  <c r="P132" i="8"/>
  <c r="P120" i="8"/>
  <c r="P107" i="8"/>
  <c r="T88" i="8"/>
  <c r="T97" i="8"/>
  <c r="T94" i="8"/>
  <c r="T122" i="8"/>
  <c r="O84" i="8"/>
  <c r="J122" i="8"/>
  <c r="L113" i="8"/>
  <c r="K103" i="8"/>
  <c r="J95" i="8"/>
  <c r="T108" i="8"/>
  <c r="P127" i="8"/>
  <c r="P96" i="8"/>
  <c r="T129" i="8"/>
  <c r="P117" i="8"/>
  <c r="P119" i="8"/>
  <c r="J130" i="8"/>
  <c r="J118" i="8"/>
  <c r="J100" i="8"/>
  <c r="J87" i="8"/>
  <c r="T92" i="8"/>
  <c r="Q119" i="8"/>
  <c r="T136" i="8"/>
  <c r="T83" i="8"/>
  <c r="P95" i="8"/>
  <c r="P108" i="8"/>
  <c r="U127" i="8"/>
  <c r="U98" i="8"/>
  <c r="Q90" i="8"/>
  <c r="P102" i="8"/>
  <c r="T117" i="8"/>
  <c r="P105" i="8"/>
  <c r="Q109" i="8"/>
  <c r="T133" i="8"/>
  <c r="P84" i="8"/>
  <c r="P116" i="8"/>
  <c r="T104" i="8"/>
  <c r="J136" i="8"/>
  <c r="K132" i="8"/>
  <c r="K127" i="8"/>
  <c r="J120" i="8"/>
  <c r="K117" i="8"/>
  <c r="J111" i="8"/>
  <c r="K106" i="8"/>
  <c r="J103" i="8"/>
  <c r="J98" i="8"/>
  <c r="J93" i="8"/>
  <c r="J82" i="8"/>
  <c r="O106" i="8"/>
  <c r="T95" i="8"/>
  <c r="T115" i="8"/>
  <c r="T84" i="8"/>
  <c r="T103" i="8"/>
  <c r="P128" i="8"/>
  <c r="T113" i="8"/>
  <c r="T82" i="8"/>
  <c r="P101" i="8"/>
  <c r="S106" i="8"/>
  <c r="T123" i="8"/>
  <c r="T120" i="8"/>
  <c r="O117" i="8"/>
  <c r="S111" i="8"/>
  <c r="J135" i="8"/>
  <c r="J125" i="8"/>
  <c r="L120" i="8"/>
  <c r="J115" i="8"/>
  <c r="J109" i="8"/>
  <c r="J105" i="8"/>
  <c r="J101" i="8"/>
  <c r="J97" i="8"/>
  <c r="J83" i="8"/>
  <c r="P88" i="8"/>
  <c r="T111" i="8"/>
  <c r="P136" i="8"/>
  <c r="T118" i="8"/>
  <c r="T131" i="8"/>
  <c r="T90" i="8"/>
  <c r="P115" i="8"/>
  <c r="T134" i="8"/>
  <c r="T101" i="8"/>
  <c r="P121" i="8"/>
  <c r="P89" i="8"/>
  <c r="S108" i="8"/>
  <c r="T110" i="8"/>
  <c r="T126" i="8"/>
  <c r="P106" i="8"/>
  <c r="L87" i="8"/>
  <c r="L129" i="8"/>
  <c r="L115" i="8"/>
  <c r="L108" i="8"/>
  <c r="L102" i="8"/>
  <c r="L92" i="8"/>
  <c r="V84" i="8"/>
  <c r="R96" i="8"/>
  <c r="R106" i="8"/>
  <c r="V110" i="8"/>
  <c r="V126" i="8"/>
  <c r="V119" i="8"/>
  <c r="V103" i="8"/>
  <c r="V87" i="8"/>
  <c r="R123" i="8"/>
  <c r="R107" i="8"/>
  <c r="R91" i="8"/>
  <c r="R86" i="8"/>
  <c r="V98" i="8"/>
  <c r="R105" i="8"/>
  <c r="V114" i="8"/>
  <c r="R121" i="8"/>
  <c r="V130" i="8"/>
  <c r="V90" i="8"/>
  <c r="V101" i="8"/>
  <c r="R114" i="8"/>
  <c r="V124" i="8"/>
  <c r="R133" i="8"/>
  <c r="V86" i="8"/>
  <c r="V125" i="8"/>
  <c r="R108" i="8"/>
  <c r="R97" i="8"/>
  <c r="V136" i="8"/>
  <c r="R124" i="8"/>
  <c r="L126" i="8"/>
  <c r="L135" i="8"/>
  <c r="L132" i="8"/>
  <c r="L122" i="8"/>
  <c r="L111" i="8"/>
  <c r="L98" i="8"/>
  <c r="L95" i="8"/>
  <c r="L88" i="8"/>
  <c r="R93" i="8"/>
  <c r="V97" i="8"/>
  <c r="R122" i="8"/>
  <c r="R128" i="8"/>
  <c r="V115" i="8"/>
  <c r="V99" i="8"/>
  <c r="V83" i="8"/>
  <c r="R119" i="8"/>
  <c r="R103" i="8"/>
  <c r="R87" i="8"/>
  <c r="R88" i="8"/>
  <c r="R100" i="8"/>
  <c r="R116" i="8"/>
  <c r="R132" i="8"/>
  <c r="V92" i="8"/>
  <c r="V106" i="8"/>
  <c r="R126" i="8"/>
  <c r="V135" i="8"/>
  <c r="V93" i="8"/>
  <c r="R135" i="8"/>
  <c r="V120" i="8"/>
  <c r="V102" i="8"/>
  <c r="R85" i="8"/>
  <c r="V137" i="8"/>
  <c r="K98" i="8"/>
  <c r="L83" i="8"/>
  <c r="L127" i="8"/>
  <c r="L124" i="8"/>
  <c r="L117" i="8"/>
  <c r="L110" i="8"/>
  <c r="L94" i="8"/>
  <c r="L89" i="8"/>
  <c r="R90" i="8"/>
  <c r="V94" i="8"/>
  <c r="V100" i="8"/>
  <c r="R112" i="8"/>
  <c r="V116" i="8"/>
  <c r="R125" i="8"/>
  <c r="R134" i="8"/>
  <c r="V127" i="8"/>
  <c r="V111" i="8"/>
  <c r="V95" i="8"/>
  <c r="R131" i="8"/>
  <c r="R115" i="8"/>
  <c r="R99" i="8"/>
  <c r="R83" i="8"/>
  <c r="R89" i="8"/>
  <c r="R102" i="8"/>
  <c r="R118" i="8"/>
  <c r="R94" i="8"/>
  <c r="V108" i="8"/>
  <c r="V117" i="8"/>
  <c r="R130" i="8"/>
  <c r="R137" i="8"/>
  <c r="R113" i="8"/>
  <c r="V82" i="8"/>
  <c r="V132" i="8"/>
  <c r="V121" i="8"/>
  <c r="R92" i="8"/>
  <c r="O108" i="8"/>
  <c r="O99" i="8"/>
  <c r="S137" i="8"/>
  <c r="S84" i="8"/>
  <c r="K136" i="8"/>
  <c r="J134" i="8"/>
  <c r="K133" i="8"/>
  <c r="J131" i="8"/>
  <c r="L130" i="8"/>
  <c r="L128" i="8"/>
  <c r="J126" i="8"/>
  <c r="L125" i="8"/>
  <c r="L123" i="8"/>
  <c r="L121" i="8"/>
  <c r="J119" i="8"/>
  <c r="L118" i="8"/>
  <c r="J116" i="8"/>
  <c r="J114" i="8"/>
  <c r="J112" i="8"/>
  <c r="K111" i="8"/>
  <c r="L109" i="8"/>
  <c r="L107" i="8"/>
  <c r="L106" i="8"/>
  <c r="K104" i="8"/>
  <c r="L103" i="8"/>
  <c r="L101" i="8"/>
  <c r="L100" i="8"/>
  <c r="J99" i="8"/>
  <c r="J96" i="8"/>
  <c r="K95" i="8"/>
  <c r="L93" i="8"/>
  <c r="K91" i="8"/>
  <c r="J89" i="8"/>
  <c r="J86" i="8"/>
  <c r="J85" i="8"/>
  <c r="J88" i="8"/>
  <c r="L82" i="8"/>
  <c r="O128" i="8"/>
  <c r="O118" i="8"/>
  <c r="O115" i="8"/>
  <c r="P91" i="8"/>
  <c r="P94" i="8"/>
  <c r="P104" i="8"/>
  <c r="P123" i="8"/>
  <c r="T96" i="8"/>
  <c r="T102" i="8"/>
  <c r="T112" i="8"/>
  <c r="T128" i="8"/>
  <c r="P135" i="8"/>
  <c r="P86" i="8"/>
  <c r="P99" i="8"/>
  <c r="T106" i="8"/>
  <c r="P118" i="8"/>
  <c r="P131" i="8"/>
  <c r="T125" i="8"/>
  <c r="T109" i="8"/>
  <c r="T93" i="8"/>
  <c r="P129" i="8"/>
  <c r="P113" i="8"/>
  <c r="P97" i="8"/>
  <c r="P82" i="8"/>
  <c r="S113" i="8"/>
  <c r="S102" i="8"/>
  <c r="P122" i="8"/>
  <c r="P100" i="8"/>
  <c r="P87" i="8"/>
  <c r="T91" i="8"/>
  <c r="K87" i="8"/>
  <c r="U129" i="8"/>
  <c r="O137" i="8"/>
  <c r="S135" i="8"/>
  <c r="L137" i="8"/>
  <c r="L136" i="8"/>
  <c r="L134" i="8"/>
  <c r="J132" i="8"/>
  <c r="L131" i="8"/>
  <c r="J129" i="8"/>
  <c r="J127" i="8"/>
  <c r="K126" i="8"/>
  <c r="J124" i="8"/>
  <c r="J123" i="8"/>
  <c r="J121" i="8"/>
  <c r="L119" i="8"/>
  <c r="J117" i="8"/>
  <c r="L116" i="8"/>
  <c r="L114" i="8"/>
  <c r="L112" i="8"/>
  <c r="J110" i="8"/>
  <c r="J108" i="8"/>
  <c r="J107" i="8"/>
  <c r="L105" i="8"/>
  <c r="L104" i="8"/>
  <c r="J102" i="8"/>
  <c r="K101" i="8"/>
  <c r="L99" i="8"/>
  <c r="L96" i="8"/>
  <c r="J94" i="8"/>
  <c r="J92" i="8"/>
  <c r="L91" i="8"/>
  <c r="L86" i="8"/>
  <c r="L85" i="8"/>
  <c r="O93" i="8"/>
  <c r="O111" i="8"/>
  <c r="T98" i="8"/>
  <c r="P110" i="8"/>
  <c r="T124" i="8"/>
  <c r="T127" i="8"/>
  <c r="T130" i="8"/>
  <c r="P92" i="8"/>
  <c r="P98" i="8"/>
  <c r="P114" i="8"/>
  <c r="P124" i="8"/>
  <c r="P130" i="8"/>
  <c r="T135" i="8"/>
  <c r="T87" i="8"/>
  <c r="T100" i="8"/>
  <c r="P112" i="8"/>
  <c r="T119" i="8"/>
  <c r="P134" i="8"/>
  <c r="T121" i="8"/>
  <c r="T105" i="8"/>
  <c r="T89" i="8"/>
  <c r="P125" i="8"/>
  <c r="P109" i="8"/>
  <c r="P93" i="8"/>
  <c r="S136" i="8"/>
  <c r="S134" i="8"/>
  <c r="S128" i="8"/>
  <c r="T107" i="8"/>
  <c r="T137" i="8"/>
  <c r="P133" i="8"/>
  <c r="P90" i="8"/>
  <c r="K135" i="8"/>
  <c r="K134" i="8"/>
  <c r="K128" i="8"/>
  <c r="K122" i="8"/>
  <c r="K119" i="8"/>
  <c r="K115" i="8"/>
  <c r="K112" i="8"/>
  <c r="K110" i="8"/>
  <c r="K102" i="8"/>
  <c r="K99" i="8"/>
  <c r="K96" i="8"/>
  <c r="K94" i="8"/>
  <c r="K85" i="8"/>
  <c r="K84" i="8"/>
  <c r="K86" i="8"/>
  <c r="K82" i="8"/>
  <c r="O92" i="8"/>
  <c r="O112" i="8"/>
  <c r="O132" i="8"/>
  <c r="O101" i="8"/>
  <c r="O121" i="8"/>
  <c r="O86" i="8"/>
  <c r="O134" i="8"/>
  <c r="O119" i="8"/>
  <c r="O122" i="8"/>
  <c r="O91" i="8"/>
  <c r="Q84" i="8"/>
  <c r="U88" i="8"/>
  <c r="U123" i="8"/>
  <c r="Q133" i="8"/>
  <c r="Q88" i="8"/>
  <c r="Q107" i="8"/>
  <c r="U111" i="8"/>
  <c r="Q117" i="8"/>
  <c r="U132" i="8"/>
  <c r="U136" i="8"/>
  <c r="U114" i="8"/>
  <c r="U90" i="8"/>
  <c r="Q118" i="8"/>
  <c r="Q98" i="8"/>
  <c r="S132" i="8"/>
  <c r="S101" i="8"/>
  <c r="S133" i="8"/>
  <c r="S107" i="8"/>
  <c r="S125" i="8"/>
  <c r="S103" i="8"/>
  <c r="S121" i="8"/>
  <c r="S99" i="8"/>
  <c r="S124" i="8"/>
  <c r="S100" i="8"/>
  <c r="S82" i="8"/>
  <c r="Q115" i="8"/>
  <c r="U109" i="8"/>
  <c r="U99" i="8"/>
  <c r="O96" i="8"/>
  <c r="O85" i="8"/>
  <c r="O102" i="8"/>
  <c r="O116" i="8"/>
  <c r="O105" i="8"/>
  <c r="O125" i="8"/>
  <c r="O87" i="8"/>
  <c r="O127" i="8"/>
  <c r="O114" i="8"/>
  <c r="O107" i="8"/>
  <c r="U104" i="8"/>
  <c r="U120" i="8"/>
  <c r="U133" i="8"/>
  <c r="U95" i="8"/>
  <c r="U124" i="8"/>
  <c r="U130" i="8"/>
  <c r="U106" i="8"/>
  <c r="U86" i="8"/>
  <c r="S127" i="8"/>
  <c r="S98" i="8"/>
  <c r="S126" i="8"/>
  <c r="S97" i="8"/>
  <c r="S122" i="8"/>
  <c r="S90" i="8"/>
  <c r="S118" i="8"/>
  <c r="S89" i="8"/>
  <c r="S116" i="8"/>
  <c r="S96" i="8"/>
  <c r="K137" i="8"/>
  <c r="K130" i="8"/>
  <c r="K129" i="8"/>
  <c r="K125" i="8"/>
  <c r="K124" i="8"/>
  <c r="K121" i="8"/>
  <c r="K120" i="8"/>
  <c r="K116" i="8"/>
  <c r="K114" i="8"/>
  <c r="K113" i="8"/>
  <c r="K109" i="8"/>
  <c r="K108" i="8"/>
  <c r="K105" i="8"/>
  <c r="K97" i="8"/>
  <c r="K93" i="8"/>
  <c r="K90" i="8"/>
  <c r="O100" i="8"/>
  <c r="O124" i="8"/>
  <c r="O89" i="8"/>
  <c r="O109" i="8"/>
  <c r="O133" i="8"/>
  <c r="O110" i="8"/>
  <c r="O95" i="8"/>
  <c r="O90" i="8"/>
  <c r="O83" i="8"/>
  <c r="Q87" i="8"/>
  <c r="Q97" i="8"/>
  <c r="U101" i="8"/>
  <c r="Q113" i="8"/>
  <c r="U137" i="8"/>
  <c r="Q85" i="8"/>
  <c r="U108" i="8"/>
  <c r="Q120" i="8"/>
  <c r="U122" i="8"/>
  <c r="U102" i="8"/>
  <c r="Q130" i="8"/>
  <c r="Q106" i="8"/>
  <c r="Q86" i="8"/>
  <c r="S117" i="8"/>
  <c r="S85" i="8"/>
  <c r="S123" i="8"/>
  <c r="S94" i="8"/>
  <c r="S109" i="8"/>
  <c r="S87" i="8"/>
  <c r="S115" i="8"/>
  <c r="S83" i="8"/>
  <c r="S112" i="8"/>
  <c r="Q121" i="8"/>
  <c r="U128" i="8"/>
  <c r="BR6" i="12"/>
  <c r="CD6" i="12" s="1"/>
  <c r="AM6" i="12"/>
  <c r="BW6" i="12"/>
  <c r="BF6" i="12"/>
  <c r="BF7" i="12" s="1"/>
  <c r="BF8" i="12" s="1"/>
  <c r="BF9" i="12" s="1"/>
  <c r="BF10" i="12" s="1"/>
  <c r="BF11" i="12" s="1"/>
  <c r="BF12" i="12" s="1"/>
  <c r="BF13" i="12" s="1"/>
  <c r="BF14" i="12" s="1"/>
  <c r="BF15" i="12" s="1"/>
  <c r="BF16" i="12" s="1"/>
  <c r="BF17" i="12" s="1"/>
  <c r="BF18" i="12" s="1"/>
  <c r="BF19" i="12" s="1"/>
  <c r="BF20" i="12" s="1"/>
  <c r="BF21" i="12" s="1"/>
  <c r="BF22" i="12" s="1"/>
  <c r="BF23" i="12" s="1"/>
  <c r="BF24" i="12" s="1"/>
  <c r="BF25" i="12" s="1"/>
  <c r="BF26" i="12" s="1"/>
  <c r="BF27" i="12" s="1"/>
  <c r="BF28" i="12" s="1"/>
  <c r="BF29" i="12" s="1"/>
  <c r="BF30" i="12" s="1"/>
  <c r="BF31" i="12" s="1"/>
  <c r="BF32" i="12" s="1"/>
  <c r="BF33" i="12" s="1"/>
  <c r="BF34" i="12" s="1"/>
  <c r="BF35" i="12" s="1"/>
  <c r="BF36" i="12" s="1"/>
  <c r="BF37" i="12" s="1"/>
  <c r="BF38" i="12" s="1"/>
  <c r="BF39" i="12" s="1"/>
  <c r="BF40" i="12" s="1"/>
  <c r="BF41" i="12" s="1"/>
  <c r="BF42" i="12" s="1"/>
  <c r="BF43" i="12" s="1"/>
  <c r="BF44" i="12" s="1"/>
  <c r="BF45" i="12" s="1"/>
  <c r="BF46" i="12" s="1"/>
  <c r="BF47" i="12" s="1"/>
  <c r="BF48" i="12" s="1"/>
  <c r="BF49" i="12" s="1"/>
  <c r="BF50" i="12" s="1"/>
  <c r="BF51" i="12" s="1"/>
  <c r="BF52" i="12" s="1"/>
  <c r="BF53" i="12" s="1"/>
  <c r="BF54" i="12" s="1"/>
  <c r="BF55" i="12" s="1"/>
  <c r="BF56" i="12" s="1"/>
  <c r="BF57" i="12" s="1"/>
  <c r="BF58" i="12" s="1"/>
  <c r="BF59" i="12" s="1"/>
  <c r="BF60" i="12" s="1"/>
  <c r="BF61" i="12" s="1"/>
  <c r="BF62" i="12" s="1"/>
  <c r="BF63" i="12" s="1"/>
  <c r="BF64" i="12" s="1"/>
  <c r="BF65" i="12" s="1"/>
  <c r="BF66" i="12" s="1"/>
  <c r="BF67" i="12" s="1"/>
  <c r="BF68" i="12" s="1"/>
  <c r="BF69" i="12" s="1"/>
  <c r="BF70" i="12" s="1"/>
  <c r="BF71" i="12" s="1"/>
  <c r="BF72" i="12" s="1"/>
  <c r="BF73" i="12" s="1"/>
  <c r="BF74" i="12" s="1"/>
  <c r="BF75" i="12" s="1"/>
  <c r="BF76" i="12" s="1"/>
  <c r="BF77" i="12" s="1"/>
  <c r="BF78" i="12" s="1"/>
  <c r="BF79" i="12" s="1"/>
  <c r="BF80" i="12" s="1"/>
  <c r="BF81" i="12" s="1"/>
  <c r="BF82" i="12" s="1"/>
  <c r="BF83" i="12" s="1"/>
  <c r="BF84" i="12" s="1"/>
  <c r="BF85" i="12" s="1"/>
  <c r="BF86" i="12" s="1"/>
  <c r="BF87" i="12" s="1"/>
  <c r="BF88" i="12" s="1"/>
  <c r="BF89" i="12" s="1"/>
  <c r="BF90" i="12" s="1"/>
  <c r="BF91" i="12" s="1"/>
  <c r="BF92" i="12" s="1"/>
  <c r="BF93" i="12" s="1"/>
  <c r="BF94" i="12" s="1"/>
  <c r="BF95" i="12" s="1"/>
  <c r="BF96" i="12" s="1"/>
  <c r="BF97" i="12" s="1"/>
  <c r="BF98" i="12" s="1"/>
  <c r="BF99" i="12" s="1"/>
  <c r="BF100" i="12" s="1"/>
  <c r="BF101" i="12" s="1"/>
  <c r="BF102" i="12" s="1"/>
  <c r="BF103" i="12" s="1"/>
  <c r="BF104" i="12" s="1"/>
  <c r="BF105" i="12" s="1"/>
  <c r="BF106" i="12" s="1"/>
  <c r="BF107" i="12" s="1"/>
  <c r="BF108" i="12" s="1"/>
  <c r="BF109" i="12" s="1"/>
  <c r="BF110" i="12" s="1"/>
  <c r="BF111" i="12" s="1"/>
  <c r="BF112" i="12" s="1"/>
  <c r="BF113" i="12" s="1"/>
  <c r="BF114" i="12" s="1"/>
  <c r="BF115" i="12" s="1"/>
  <c r="BF116" i="12" s="1"/>
  <c r="BF117" i="12" s="1"/>
  <c r="BF118" i="12" s="1"/>
  <c r="BF119" i="12" s="1"/>
  <c r="BF120" i="12" s="1"/>
  <c r="BF121" i="12" s="1"/>
  <c r="BF122" i="12" s="1"/>
  <c r="BF123" i="12" s="1"/>
  <c r="BF124" i="12" s="1"/>
  <c r="BF125" i="12" s="1"/>
  <c r="BF126" i="12" s="1"/>
  <c r="BF127" i="12" s="1"/>
  <c r="BF128" i="12" s="1"/>
  <c r="BF129" i="12" s="1"/>
  <c r="BF130" i="12" s="1"/>
  <c r="BF131" i="12" s="1"/>
  <c r="BF132" i="12" s="1"/>
  <c r="BF133" i="12" s="1"/>
  <c r="BF134" i="12" s="1"/>
  <c r="BF135" i="12" s="1"/>
  <c r="BF136" i="12" s="1"/>
  <c r="BF137" i="12" s="1"/>
  <c r="BF138" i="12" s="1"/>
  <c r="BF139" i="12" s="1"/>
  <c r="BF140" i="12" s="1"/>
  <c r="BF141" i="12" s="1"/>
  <c r="BF142" i="12" s="1"/>
  <c r="BF143" i="12" s="1"/>
  <c r="BF144" i="12" s="1"/>
  <c r="BF145" i="12" s="1"/>
  <c r="BF146" i="12" s="1"/>
  <c r="BF147" i="12" s="1"/>
  <c r="BF148" i="12" s="1"/>
  <c r="BF149" i="12" s="1"/>
  <c r="BF150" i="12" s="1"/>
  <c r="BF151" i="12" s="1"/>
  <c r="BF152" i="12" s="1"/>
  <c r="BF153" i="12" s="1"/>
  <c r="BF154" i="12" s="1"/>
  <c r="BF155" i="12" s="1"/>
  <c r="BF156" i="12" s="1"/>
  <c r="BF157" i="12" s="1"/>
  <c r="BF158" i="12" s="1"/>
  <c r="BF159" i="12" s="1"/>
  <c r="BF160" i="12" s="1"/>
  <c r="BF161" i="12" s="1"/>
  <c r="BF162" i="12" s="1"/>
  <c r="BF163" i="12" s="1"/>
  <c r="BF164" i="12" s="1"/>
  <c r="BF165" i="12" s="1"/>
  <c r="BF166" i="12" s="1"/>
  <c r="BF167" i="12" s="1"/>
  <c r="BF168" i="12" s="1"/>
  <c r="BF169" i="12" s="1"/>
  <c r="BF170" i="12" s="1"/>
  <c r="BF171" i="12" s="1"/>
  <c r="BF172" i="12" s="1"/>
  <c r="BF173" i="12" s="1"/>
  <c r="BF174" i="12" s="1"/>
  <c r="BF175" i="12" s="1"/>
  <c r="BF176" i="12" s="1"/>
  <c r="BF177" i="12" s="1"/>
  <c r="BF178" i="12" s="1"/>
  <c r="BF179" i="12" s="1"/>
  <c r="BF180" i="12" s="1"/>
  <c r="BF181" i="12" s="1"/>
  <c r="BF182" i="12" s="1"/>
  <c r="BF183" i="12" s="1"/>
  <c r="BF184" i="12" s="1"/>
  <c r="BF185" i="12" s="1"/>
  <c r="BF186" i="12" s="1"/>
  <c r="BF187" i="12" s="1"/>
  <c r="BF188" i="12" s="1"/>
  <c r="BF189" i="12" s="1"/>
  <c r="BF190" i="12" s="1"/>
  <c r="BF191" i="12" s="1"/>
  <c r="BF192" i="12" s="1"/>
  <c r="BF193" i="12" s="1"/>
  <c r="BF194" i="12" s="1"/>
  <c r="BF195" i="12" s="1"/>
  <c r="BF196" i="12" s="1"/>
  <c r="BF197" i="12" s="1"/>
  <c r="BF198" i="12" s="1"/>
  <c r="BF199" i="12" s="1"/>
  <c r="BF200" i="12" s="1"/>
  <c r="BF201" i="12" s="1"/>
  <c r="BF202" i="12" s="1"/>
  <c r="BF203" i="12" s="1"/>
  <c r="BF204" i="12" s="1"/>
  <c r="BF205" i="12" s="1"/>
  <c r="BF206" i="12" s="1"/>
  <c r="BF207" i="12" s="1"/>
  <c r="BF208" i="12" s="1"/>
  <c r="BF209" i="12" s="1"/>
  <c r="BF210" i="12" s="1"/>
  <c r="BF211" i="12" s="1"/>
  <c r="BF212" i="12" s="1"/>
  <c r="BF213" i="12" s="1"/>
  <c r="BF214" i="12" s="1"/>
  <c r="BF215" i="12" s="1"/>
  <c r="BF216" i="12" s="1"/>
  <c r="BF217" i="12" s="1"/>
  <c r="BF218" i="12" s="1"/>
  <c r="BF219" i="12" s="1"/>
  <c r="BF220" i="12" s="1"/>
  <c r="BF221" i="12" s="1"/>
  <c r="BF222" i="12" s="1"/>
  <c r="BF223" i="12" s="1"/>
  <c r="BF224" i="12" s="1"/>
  <c r="BF225" i="12" s="1"/>
  <c r="BF226" i="12" s="1"/>
  <c r="BF227" i="12" s="1"/>
  <c r="BF228" i="12" s="1"/>
  <c r="BF229" i="12" s="1"/>
  <c r="BF230" i="12" s="1"/>
  <c r="BF231" i="12" s="1"/>
  <c r="BF232" i="12" s="1"/>
  <c r="BF233" i="12" s="1"/>
  <c r="BF234" i="12" s="1"/>
  <c r="BF235" i="12" s="1"/>
  <c r="BF236" i="12" s="1"/>
  <c r="BF237" i="12" s="1"/>
  <c r="BF238" i="12" s="1"/>
  <c r="BF239" i="12" s="1"/>
  <c r="BF240" i="12" s="1"/>
  <c r="BF241" i="12" s="1"/>
  <c r="BF242" i="12" s="1"/>
  <c r="BF243" i="12" s="1"/>
  <c r="BF244" i="12" s="1"/>
  <c r="BF245" i="12" s="1"/>
  <c r="BF246" i="12" s="1"/>
  <c r="BF247" i="12" s="1"/>
  <c r="BF248" i="12" s="1"/>
  <c r="BF249" i="12" s="1"/>
  <c r="BF250" i="12" s="1"/>
  <c r="BF251" i="12" s="1"/>
  <c r="BF252" i="12" s="1"/>
  <c r="BF253" i="12" s="1"/>
  <c r="BF254" i="12" s="1"/>
  <c r="BF255" i="12" s="1"/>
  <c r="BF256" i="12" s="1"/>
  <c r="BF257" i="12" s="1"/>
  <c r="BF258" i="12" s="1"/>
  <c r="BF259" i="12" s="1"/>
  <c r="BF260" i="12" s="1"/>
  <c r="BF261" i="12" s="1"/>
  <c r="BF262" i="12" s="1"/>
  <c r="BF263" i="12" s="1"/>
  <c r="BF264" i="12" s="1"/>
  <c r="BF265" i="12" s="1"/>
  <c r="BF266" i="12" s="1"/>
  <c r="BF267" i="12" s="1"/>
  <c r="BF268" i="12" s="1"/>
  <c r="BF269" i="12" s="1"/>
  <c r="BF270" i="12" s="1"/>
  <c r="BF271" i="12" s="1"/>
  <c r="BF272" i="12" s="1"/>
  <c r="BF273" i="12" s="1"/>
  <c r="BF274" i="12" s="1"/>
  <c r="BF275" i="12" s="1"/>
  <c r="BF276" i="12" s="1"/>
  <c r="BF277" i="12" s="1"/>
  <c r="BF278" i="12" s="1"/>
  <c r="BF279" i="12" s="1"/>
  <c r="BF280" i="12" s="1"/>
  <c r="BF281" i="12" s="1"/>
  <c r="BF282" i="12" s="1"/>
  <c r="BF283" i="12" s="1"/>
  <c r="BF284" i="12" s="1"/>
  <c r="BF285" i="12" s="1"/>
  <c r="BF286" i="12" s="1"/>
  <c r="BF287" i="12" s="1"/>
  <c r="BF288" i="12" s="1"/>
  <c r="BF289" i="12" s="1"/>
  <c r="BF290" i="12" s="1"/>
  <c r="BF291" i="12" s="1"/>
  <c r="BF292" i="12" s="1"/>
  <c r="BF293" i="12" s="1"/>
  <c r="BF294" i="12" s="1"/>
  <c r="BF295" i="12" s="1"/>
  <c r="BF296" i="12" s="1"/>
  <c r="BF297" i="12" s="1"/>
  <c r="BF298" i="12" s="1"/>
  <c r="BF299" i="12" s="1"/>
  <c r="BF300" i="12" s="1"/>
  <c r="BF301" i="12" s="1"/>
  <c r="BF302" i="12" s="1"/>
  <c r="BF303" i="12" s="1"/>
  <c r="BF304" i="12" s="1"/>
  <c r="BF305" i="12" s="1"/>
  <c r="BF306" i="12" s="1"/>
  <c r="BF307" i="12" s="1"/>
  <c r="BF308" i="12" s="1"/>
  <c r="BF309" i="12" s="1"/>
  <c r="BF310" i="12" s="1"/>
  <c r="BF311" i="12" s="1"/>
  <c r="BF312" i="12" s="1"/>
  <c r="BF313" i="12" s="1"/>
  <c r="BF314" i="12" s="1"/>
  <c r="BF315" i="12" s="1"/>
  <c r="BF316" i="12" s="1"/>
  <c r="BF317" i="12" s="1"/>
  <c r="BF318" i="12" s="1"/>
  <c r="BF319" i="12" s="1"/>
  <c r="BF320" i="12" s="1"/>
  <c r="BF321" i="12" s="1"/>
  <c r="BF322" i="12" s="1"/>
  <c r="BF323" i="12" s="1"/>
  <c r="BF324" i="12" s="1"/>
  <c r="BF325" i="12" s="1"/>
  <c r="BF326" i="12" s="1"/>
  <c r="BF327" i="12" s="1"/>
  <c r="BF328" i="12" s="1"/>
  <c r="BF329" i="12" s="1"/>
  <c r="BF330" i="12" s="1"/>
  <c r="BF331" i="12" s="1"/>
  <c r="BF332" i="12" s="1"/>
  <c r="BF333" i="12" s="1"/>
  <c r="BF334" i="12" s="1"/>
  <c r="BF335" i="12" s="1"/>
  <c r="BF336" i="12" s="1"/>
  <c r="BF337" i="12" s="1"/>
  <c r="BF338" i="12" s="1"/>
  <c r="BF339" i="12" s="1"/>
  <c r="BF340" i="12" s="1"/>
  <c r="BF341" i="12" s="1"/>
  <c r="BF342" i="12" s="1"/>
  <c r="BF343" i="12" s="1"/>
  <c r="BF344" i="12" s="1"/>
  <c r="BF345" i="12" s="1"/>
  <c r="BF346" i="12" s="1"/>
  <c r="BF347" i="12" s="1"/>
  <c r="BF348" i="12" s="1"/>
  <c r="BF349" i="12" s="1"/>
  <c r="BF350" i="12" s="1"/>
  <c r="BF351" i="12" s="1"/>
  <c r="BF352" i="12" s="1"/>
  <c r="BF353" i="12" s="1"/>
  <c r="BF354" i="12" s="1"/>
  <c r="BF355" i="12" s="1"/>
  <c r="BF356" i="12" s="1"/>
  <c r="BF357" i="12" s="1"/>
  <c r="BF358" i="12" s="1"/>
  <c r="BF359" i="12" s="1"/>
  <c r="BF360" i="12" s="1"/>
  <c r="BF361" i="12" s="1"/>
  <c r="BF362" i="12" s="1"/>
  <c r="BF363" i="12" s="1"/>
  <c r="BF364" i="12" s="1"/>
  <c r="BF365" i="12" s="1"/>
  <c r="BF366" i="12" s="1"/>
  <c r="BF367" i="12" s="1"/>
  <c r="BF368" i="12" s="1"/>
  <c r="BF369" i="12" s="1"/>
  <c r="BF370" i="12" s="1"/>
  <c r="BF371" i="12" s="1"/>
  <c r="BF372" i="12" s="1"/>
  <c r="BF373" i="12" s="1"/>
  <c r="BF374" i="12" s="1"/>
  <c r="BF375" i="12" s="1"/>
  <c r="BF376" i="12" s="1"/>
  <c r="BF377" i="12" s="1"/>
  <c r="BF378" i="12" s="1"/>
  <c r="BF379" i="12" s="1"/>
  <c r="BF380" i="12" s="1"/>
  <c r="BF381" i="12" s="1"/>
  <c r="BF382" i="12" s="1"/>
  <c r="BF383" i="12" s="1"/>
  <c r="BF384" i="12" s="1"/>
  <c r="BF385" i="12" s="1"/>
  <c r="BF386" i="12" s="1"/>
  <c r="BF387" i="12" s="1"/>
  <c r="BF388" i="12" s="1"/>
  <c r="BF389" i="12" s="1"/>
  <c r="BF390" i="12" s="1"/>
  <c r="BF391" i="12" s="1"/>
  <c r="BF392" i="12" s="1"/>
  <c r="BF393" i="12" s="1"/>
  <c r="BF394" i="12" s="1"/>
  <c r="BF395" i="12" s="1"/>
  <c r="BF396" i="12" s="1"/>
  <c r="BF397" i="12" s="1"/>
  <c r="BF398" i="12" s="1"/>
  <c r="BF399" i="12" s="1"/>
  <c r="BF400" i="12" s="1"/>
  <c r="BF401" i="12" s="1"/>
  <c r="BF402" i="12" s="1"/>
  <c r="BF403" i="12" s="1"/>
  <c r="BF404" i="12" s="1"/>
  <c r="BF405" i="12" s="1"/>
  <c r="BF406" i="12" s="1"/>
  <c r="BF407" i="12" s="1"/>
  <c r="BF408" i="12" s="1"/>
  <c r="BF409" i="12" s="1"/>
  <c r="BF410" i="12" s="1"/>
  <c r="BF411" i="12" s="1"/>
  <c r="BF412" i="12" s="1"/>
  <c r="BF413" i="12" s="1"/>
  <c r="BF414" i="12" s="1"/>
  <c r="BF415" i="12" s="1"/>
  <c r="BF416" i="12" s="1"/>
  <c r="BF417" i="12" s="1"/>
  <c r="BF418" i="12" s="1"/>
  <c r="BF419" i="12" s="1"/>
  <c r="BF420" i="12" s="1"/>
  <c r="BF421" i="12" s="1"/>
  <c r="BF422" i="12" s="1"/>
  <c r="BF423" i="12" s="1"/>
  <c r="BF424" i="12" s="1"/>
  <c r="BF425" i="12" s="1"/>
  <c r="BF426" i="12" s="1"/>
  <c r="BF427" i="12" s="1"/>
  <c r="BF428" i="12" s="1"/>
  <c r="BF429" i="12" s="1"/>
  <c r="BF430" i="12" s="1"/>
  <c r="BF431" i="12" s="1"/>
  <c r="BF432" i="12" s="1"/>
  <c r="BF433" i="12" s="1"/>
  <c r="BF434" i="12" s="1"/>
  <c r="BF435" i="12" s="1"/>
  <c r="BF436" i="12" s="1"/>
  <c r="BF437" i="12" s="1"/>
  <c r="BF438" i="12" s="1"/>
  <c r="BF439" i="12" s="1"/>
  <c r="BF440" i="12" s="1"/>
  <c r="BF441" i="12" s="1"/>
  <c r="BF442" i="12" s="1"/>
  <c r="BF443" i="12" s="1"/>
  <c r="BF444" i="12" s="1"/>
  <c r="BF445" i="12" s="1"/>
  <c r="BF446" i="12" s="1"/>
  <c r="BF447" i="12" s="1"/>
  <c r="BF448" i="12" s="1"/>
  <c r="BF449" i="12" s="1"/>
  <c r="BF450" i="12" s="1"/>
  <c r="BF451" i="12" s="1"/>
  <c r="BF452" i="12" s="1"/>
  <c r="BF453" i="12" s="1"/>
  <c r="BF454" i="12" s="1"/>
  <c r="BF455" i="12" s="1"/>
  <c r="BF456" i="12" s="1"/>
  <c r="BF457" i="12" s="1"/>
  <c r="BF458" i="12" s="1"/>
  <c r="BF459" i="12" s="1"/>
  <c r="BF460" i="12" s="1"/>
  <c r="BF461" i="12" s="1"/>
  <c r="BF462" i="12" s="1"/>
  <c r="BF463" i="12" s="1"/>
  <c r="BF464" i="12" s="1"/>
  <c r="BF465" i="12" s="1"/>
  <c r="BF466" i="12" s="1"/>
  <c r="BF467" i="12" s="1"/>
  <c r="BF468" i="12" s="1"/>
  <c r="BF469" i="12" s="1"/>
  <c r="BF470" i="12" s="1"/>
  <c r="BF471" i="12" s="1"/>
  <c r="BF472" i="12" s="1"/>
  <c r="BF473" i="12" s="1"/>
  <c r="BF474" i="12" s="1"/>
  <c r="BF475" i="12" s="1"/>
  <c r="BF476" i="12" s="1"/>
  <c r="BF477" i="12" s="1"/>
  <c r="BF478" i="12" s="1"/>
  <c r="BF479" i="12" s="1"/>
  <c r="BF480" i="12" s="1"/>
  <c r="BF481" i="12" s="1"/>
  <c r="BF482" i="12" s="1"/>
  <c r="BF483" i="12" s="1"/>
  <c r="BF484" i="12" s="1"/>
  <c r="BF485" i="12" s="1"/>
  <c r="BF486" i="12" s="1"/>
  <c r="BF487" i="12" s="1"/>
  <c r="BF488" i="12" s="1"/>
  <c r="BF489" i="12" s="1"/>
  <c r="BF490" i="12" s="1"/>
  <c r="BF491" i="12" s="1"/>
  <c r="BF492" i="12" s="1"/>
  <c r="BF493" i="12" s="1"/>
  <c r="BF494" i="12" s="1"/>
  <c r="BF495" i="12" s="1"/>
  <c r="BF496" i="12" s="1"/>
  <c r="BF497" i="12" s="1"/>
  <c r="BF498" i="12" s="1"/>
  <c r="BF499" i="12" s="1"/>
  <c r="BF500" i="12" s="1"/>
  <c r="BF501" i="12" s="1"/>
  <c r="BF502" i="12" s="1"/>
  <c r="BF503" i="12" s="1"/>
  <c r="BF504" i="12" s="1"/>
  <c r="BF505" i="12" s="1"/>
  <c r="BF506" i="12" s="1"/>
  <c r="BF507" i="12" s="1"/>
  <c r="BF508" i="12" s="1"/>
  <c r="BF509" i="12" s="1"/>
  <c r="BF510" i="12" s="1"/>
  <c r="K83" i="8"/>
  <c r="K92" i="8"/>
  <c r="Q96" i="8"/>
  <c r="Q124" i="8"/>
  <c r="Q108" i="8"/>
  <c r="Q111" i="8"/>
  <c r="Q93" i="8"/>
  <c r="Q112" i="8"/>
  <c r="Q131" i="8"/>
  <c r="Q105" i="8"/>
  <c r="Q95" i="8"/>
  <c r="Q135" i="8"/>
  <c r="Q94" i="8"/>
  <c r="Q110" i="8"/>
  <c r="Q126" i="8"/>
  <c r="Q137" i="8"/>
  <c r="Q100" i="8"/>
  <c r="U113" i="8"/>
  <c r="U87" i="8"/>
  <c r="U97" i="8"/>
  <c r="U83" i="8"/>
  <c r="U131" i="8"/>
  <c r="U116" i="8"/>
  <c r="U100" i="8"/>
  <c r="U82" i="8"/>
  <c r="U119" i="8"/>
  <c r="U112" i="8"/>
  <c r="U125" i="8"/>
  <c r="U94" i="8"/>
  <c r="U110" i="8"/>
  <c r="U126" i="8"/>
  <c r="U121" i="8"/>
  <c r="U105" i="8"/>
  <c r="U89" i="8"/>
  <c r="U117" i="8"/>
  <c r="U107" i="8"/>
  <c r="U85" i="8"/>
  <c r="Q125" i="8"/>
  <c r="Q92" i="8"/>
  <c r="Q89" i="8"/>
  <c r="U96" i="8"/>
  <c r="U103" i="8"/>
  <c r="U93" i="8"/>
  <c r="Q127" i="8"/>
  <c r="U115" i="8"/>
  <c r="Q128" i="8"/>
  <c r="U84" i="8"/>
  <c r="O82" i="8"/>
  <c r="O130" i="8"/>
  <c r="O131" i="8"/>
  <c r="O98" i="8"/>
  <c r="O135" i="8"/>
  <c r="O103" i="8"/>
  <c r="O126" i="8"/>
  <c r="O94" i="8"/>
  <c r="O129" i="8"/>
  <c r="O113" i="8"/>
  <c r="O97" i="8"/>
  <c r="O136" i="8"/>
  <c r="O120" i="8"/>
  <c r="O104" i="8"/>
  <c r="O88" i="8"/>
  <c r="S88" i="8"/>
  <c r="S104" i="8"/>
  <c r="S120" i="8"/>
  <c r="S86" i="8"/>
  <c r="S105" i="8"/>
  <c r="S131" i="8"/>
  <c r="S93" i="8"/>
  <c r="S119" i="8"/>
  <c r="S91" i="8"/>
  <c r="S110" i="8"/>
  <c r="S129" i="8"/>
  <c r="S95" i="8"/>
  <c r="S114" i="8"/>
  <c r="S130" i="8"/>
  <c r="V105" i="8"/>
  <c r="R101" i="8"/>
  <c r="V109" i="8"/>
  <c r="V133" i="8"/>
  <c r="K123" i="8" l="1"/>
  <c r="J104" i="8"/>
  <c r="C59" i="7"/>
  <c r="C61" i="7"/>
  <c r="C50" i="7"/>
  <c r="L133" i="8"/>
  <c r="K131" i="8"/>
  <c r="K118" i="8"/>
  <c r="C51" i="7"/>
  <c r="C55" i="7"/>
  <c r="C66" i="7"/>
  <c r="C52" i="7"/>
  <c r="J113" i="8"/>
  <c r="A148" i="12"/>
  <c r="AC147" i="12"/>
  <c r="A35" i="12"/>
  <c r="AC34" i="12"/>
  <c r="BE9" i="12"/>
  <c r="J133" i="8"/>
  <c r="C53" i="7"/>
  <c r="C64" i="7"/>
  <c r="C60" i="7"/>
  <c r="C56" i="7"/>
  <c r="J128" i="8"/>
  <c r="C57" i="7"/>
  <c r="C68" i="7"/>
  <c r="AM7" i="12"/>
  <c r="AO7" i="12" s="1"/>
  <c r="CC10" i="12"/>
  <c r="CB11" i="12"/>
  <c r="F6" i="14"/>
  <c r="D3" i="4"/>
  <c r="D5" i="4"/>
  <c r="D9" i="4"/>
  <c r="D10" i="4"/>
  <c r="D7" i="4"/>
  <c r="D6" i="4"/>
  <c r="D4" i="4"/>
  <c r="BX6" i="12"/>
  <c r="BY6" i="12" s="1"/>
  <c r="BR7" i="12"/>
  <c r="CD7" i="12" s="1"/>
  <c r="BS6" i="12"/>
  <c r="BT6" i="12" s="1"/>
  <c r="BW7" i="12"/>
  <c r="A36" i="12" l="1"/>
  <c r="AC35" i="12"/>
  <c r="A149" i="12"/>
  <c r="AC148" i="12"/>
  <c r="BE10" i="12"/>
  <c r="CE7" i="12"/>
  <c r="AN7" i="12" s="1"/>
  <c r="CE6" i="12"/>
  <c r="AN6" i="12" s="1"/>
  <c r="BU6" i="12"/>
  <c r="AM8" i="12"/>
  <c r="AO8" i="12" s="1"/>
  <c r="CC11" i="12"/>
  <c r="CB12" i="12"/>
  <c r="I5" i="4"/>
  <c r="I14" i="4"/>
  <c r="I13" i="4"/>
  <c r="I4" i="4"/>
  <c r="AZ6" i="12"/>
  <c r="I9" i="4"/>
  <c r="I7" i="4"/>
  <c r="I8" i="4"/>
  <c r="I10" i="4"/>
  <c r="I3" i="4"/>
  <c r="I6" i="4"/>
  <c r="I12" i="4"/>
  <c r="I11" i="4"/>
  <c r="BR8" i="12"/>
  <c r="CD8" i="12" s="1"/>
  <c r="BS7" i="12"/>
  <c r="BT7" i="12" s="1"/>
  <c r="BW8" i="12"/>
  <c r="BX7" i="12"/>
  <c r="BY7" i="12" s="1"/>
  <c r="A150" i="12" l="1"/>
  <c r="AC149" i="12"/>
  <c r="A37" i="12"/>
  <c r="AC36" i="12"/>
  <c r="BE11" i="12"/>
  <c r="AM9" i="12"/>
  <c r="AO9" i="12" s="1"/>
  <c r="CB13" i="12"/>
  <c r="CC12" i="12"/>
  <c r="AZ7" i="12"/>
  <c r="BZ6" i="12"/>
  <c r="AY6" i="12" s="1"/>
  <c r="BR9" i="12"/>
  <c r="CD9" i="12" s="1"/>
  <c r="BS8" i="12"/>
  <c r="BT8" i="12" s="1"/>
  <c r="BW9" i="12"/>
  <c r="BX8" i="12"/>
  <c r="BY8" i="12" s="1"/>
  <c r="A38" i="12" l="1"/>
  <c r="AC37" i="12"/>
  <c r="A151" i="12"/>
  <c r="AC150" i="12"/>
  <c r="BE12" i="12"/>
  <c r="CE8" i="12"/>
  <c r="AN8" i="12" s="1"/>
  <c r="AM10" i="12"/>
  <c r="AO10" i="12" s="1"/>
  <c r="CC13" i="12"/>
  <c r="CB14" i="12"/>
  <c r="BZ7" i="12"/>
  <c r="AY7" i="12" s="1"/>
  <c r="AZ8" i="12"/>
  <c r="BR10" i="12"/>
  <c r="CD10" i="12" s="1"/>
  <c r="BS9" i="12"/>
  <c r="BT9" i="12" s="1"/>
  <c r="BW10" i="12"/>
  <c r="BX9" i="12"/>
  <c r="BY9" i="12" s="1"/>
  <c r="A152" i="12" l="1"/>
  <c r="AC151" i="12"/>
  <c r="A39" i="12"/>
  <c r="AC38" i="12"/>
  <c r="BE13" i="12"/>
  <c r="CE9" i="12"/>
  <c r="AN9" i="12" s="1"/>
  <c r="AM11" i="12"/>
  <c r="AO11" i="12" s="1"/>
  <c r="CC14" i="12"/>
  <c r="CB15" i="12"/>
  <c r="BZ8" i="12"/>
  <c r="AY8" i="12" s="1"/>
  <c r="AZ9" i="12"/>
  <c r="BR11" i="12"/>
  <c r="CD11" i="12" s="1"/>
  <c r="BS10" i="12"/>
  <c r="BT10" i="12" s="1"/>
  <c r="BW11" i="12"/>
  <c r="BX10" i="12"/>
  <c r="BY10" i="12" s="1"/>
  <c r="A40" i="12" l="1"/>
  <c r="AC39" i="12"/>
  <c r="A153" i="12"/>
  <c r="AC152" i="12"/>
  <c r="BE14" i="12"/>
  <c r="CE10" i="12"/>
  <c r="AN10" i="12" s="1"/>
  <c r="AM12" i="12"/>
  <c r="AO12" i="12" s="1"/>
  <c r="CB16" i="12"/>
  <c r="CC15" i="12"/>
  <c r="BZ9" i="12"/>
  <c r="AY9" i="12" s="1"/>
  <c r="AZ10" i="12"/>
  <c r="BR12" i="12"/>
  <c r="CD12" i="12" s="1"/>
  <c r="BS11" i="12"/>
  <c r="BT11" i="12" s="1"/>
  <c r="BW12" i="12"/>
  <c r="BX11" i="12"/>
  <c r="BY11" i="12" s="1"/>
  <c r="A154" i="12" l="1"/>
  <c r="AC153" i="12"/>
  <c r="A41" i="12"/>
  <c r="AC40" i="12"/>
  <c r="BE15" i="12"/>
  <c r="CE11" i="12"/>
  <c r="AN11" i="12" s="1"/>
  <c r="AM13" i="12"/>
  <c r="AO13" i="12" s="1"/>
  <c r="CC16" i="12"/>
  <c r="CB17" i="12"/>
  <c r="BZ10" i="12"/>
  <c r="AY10" i="12" s="1"/>
  <c r="AZ11" i="12"/>
  <c r="BR13" i="12"/>
  <c r="CD13" i="12" s="1"/>
  <c r="BS12" i="12"/>
  <c r="BT12" i="12" s="1"/>
  <c r="BW13" i="12"/>
  <c r="BX12" i="12"/>
  <c r="BY12" i="12" s="1"/>
  <c r="A42" i="12" l="1"/>
  <c r="AC41" i="12"/>
  <c r="A155" i="12"/>
  <c r="AC154" i="12"/>
  <c r="BE16" i="12"/>
  <c r="CE13" i="12"/>
  <c r="AN13" i="12" s="1"/>
  <c r="CE12" i="12"/>
  <c r="AN12" i="12" s="1"/>
  <c r="AM14" i="12"/>
  <c r="AO14" i="12" s="1"/>
  <c r="CB18" i="12"/>
  <c r="CC17" i="12"/>
  <c r="BZ11" i="12"/>
  <c r="AY11" i="12" s="1"/>
  <c r="AZ12" i="12"/>
  <c r="BR14" i="12"/>
  <c r="CD14" i="12" s="1"/>
  <c r="BS13" i="12"/>
  <c r="BT13" i="12" s="1"/>
  <c r="BW14" i="12"/>
  <c r="BX13" i="12"/>
  <c r="BY13" i="12" s="1"/>
  <c r="A156" i="12" l="1"/>
  <c r="AC156" i="12" s="1"/>
  <c r="AC155" i="12"/>
  <c r="A43" i="12"/>
  <c r="AC42" i="12"/>
  <c r="BE17" i="12"/>
  <c r="AM15" i="12"/>
  <c r="AO15" i="12" s="1"/>
  <c r="CC18" i="12"/>
  <c r="CB19" i="12"/>
  <c r="BZ12" i="12"/>
  <c r="AY12" i="12" s="1"/>
  <c r="AZ13" i="12"/>
  <c r="BR15" i="12"/>
  <c r="CD15" i="12" s="1"/>
  <c r="BS14" i="12"/>
  <c r="BT14" i="12" s="1"/>
  <c r="BW15" i="12"/>
  <c r="BX14" i="12"/>
  <c r="BY14" i="12" s="1"/>
  <c r="A44" i="12" l="1"/>
  <c r="AC43" i="12"/>
  <c r="BE18" i="12"/>
  <c r="CE15" i="12"/>
  <c r="AN15" i="12" s="1"/>
  <c r="CE14" i="12"/>
  <c r="AN14" i="12" s="1"/>
  <c r="AM16" i="12"/>
  <c r="AO16" i="12" s="1"/>
  <c r="CC19" i="12"/>
  <c r="CB20" i="12"/>
  <c r="BZ13" i="12"/>
  <c r="AY13" i="12" s="1"/>
  <c r="AZ14" i="12"/>
  <c r="BR16" i="12"/>
  <c r="CD16" i="12" s="1"/>
  <c r="BS15" i="12"/>
  <c r="BT15" i="12" s="1"/>
  <c r="BW16" i="12"/>
  <c r="BX15" i="12"/>
  <c r="BY15" i="12" s="1"/>
  <c r="A45" i="12" l="1"/>
  <c r="AC44" i="12"/>
  <c r="BE19" i="12"/>
  <c r="AM17" i="12"/>
  <c r="AO17" i="12" s="1"/>
  <c r="CC20" i="12"/>
  <c r="CB21" i="12"/>
  <c r="BZ14" i="12"/>
  <c r="AY14" i="12" s="1"/>
  <c r="AZ15" i="12"/>
  <c r="BR17" i="12"/>
  <c r="CD17" i="12" s="1"/>
  <c r="BS16" i="12"/>
  <c r="BT16" i="12" s="1"/>
  <c r="BW17" i="12"/>
  <c r="BX16" i="12"/>
  <c r="BY16" i="12" s="1"/>
  <c r="A46" i="12" l="1"/>
  <c r="AC45" i="12"/>
  <c r="BE20" i="12"/>
  <c r="CE17" i="12"/>
  <c r="AN17" i="12" s="1"/>
  <c r="CE16" i="12"/>
  <c r="AN16" i="12" s="1"/>
  <c r="AM18" i="12"/>
  <c r="CC21" i="12"/>
  <c r="CB22" i="12"/>
  <c r="BZ15" i="12"/>
  <c r="AY15" i="12" s="1"/>
  <c r="AZ16" i="12"/>
  <c r="BR18" i="12"/>
  <c r="CD18" i="12" s="1"/>
  <c r="BS17" i="12"/>
  <c r="BT17" i="12" s="1"/>
  <c r="BW18" i="12"/>
  <c r="BX17" i="12"/>
  <c r="BY17" i="12" s="1"/>
  <c r="A47" i="12" l="1"/>
  <c r="AC46" i="12"/>
  <c r="BE21" i="12"/>
  <c r="AM19" i="12"/>
  <c r="AO19" i="12" s="1"/>
  <c r="CB23" i="12"/>
  <c r="CC22" i="12"/>
  <c r="BZ16" i="12"/>
  <c r="AY16" i="12" s="1"/>
  <c r="AZ17" i="12"/>
  <c r="BR19" i="12"/>
  <c r="CD19" i="12" s="1"/>
  <c r="BS18" i="12"/>
  <c r="BT18" i="12" s="1"/>
  <c r="BW19" i="12"/>
  <c r="BX18" i="12"/>
  <c r="BY18" i="12" s="1"/>
  <c r="A48" i="12" l="1"/>
  <c r="AC47" i="12"/>
  <c r="BE22" i="12"/>
  <c r="CE19" i="12"/>
  <c r="AN19" i="12" s="1"/>
  <c r="CE18" i="12"/>
  <c r="AN18" i="12" s="1"/>
  <c r="AM20" i="12"/>
  <c r="AO20" i="12" s="1"/>
  <c r="CB24" i="12"/>
  <c r="CC23" i="12"/>
  <c r="BZ17" i="12"/>
  <c r="AY17" i="12" s="1"/>
  <c r="AZ18" i="12"/>
  <c r="BR20" i="12"/>
  <c r="CD20" i="12" s="1"/>
  <c r="BS19" i="12"/>
  <c r="BT19" i="12" s="1"/>
  <c r="BW20" i="12"/>
  <c r="BX19" i="12"/>
  <c r="BY19" i="12" s="1"/>
  <c r="A49" i="12" l="1"/>
  <c r="AC48" i="12"/>
  <c r="BE23" i="12"/>
  <c r="CE20" i="12"/>
  <c r="AN20" i="12" s="1"/>
  <c r="AM21" i="12"/>
  <c r="AO21" i="12" s="1"/>
  <c r="CB25" i="12"/>
  <c r="CC24" i="12"/>
  <c r="BZ18" i="12"/>
  <c r="AY18" i="12" s="1"/>
  <c r="AZ19" i="12"/>
  <c r="BR21" i="12"/>
  <c r="CD21" i="12" s="1"/>
  <c r="BS20" i="12"/>
  <c r="BT20" i="12" s="1"/>
  <c r="BW21" i="12"/>
  <c r="BX20" i="12"/>
  <c r="BY20" i="12" s="1"/>
  <c r="A50" i="12" l="1"/>
  <c r="AC49" i="12"/>
  <c r="BE24" i="12"/>
  <c r="CE21" i="12"/>
  <c r="AN21" i="12" s="1"/>
  <c r="AM22" i="12"/>
  <c r="AO22" i="12" s="1"/>
  <c r="CC25" i="12"/>
  <c r="CB26" i="12"/>
  <c r="AZ20" i="12"/>
  <c r="BZ19" i="12"/>
  <c r="AY19" i="12" s="1"/>
  <c r="BR22" i="12"/>
  <c r="CD22" i="12" s="1"/>
  <c r="BS21" i="12"/>
  <c r="BT21" i="12" s="1"/>
  <c r="BW22" i="12"/>
  <c r="BX21" i="12"/>
  <c r="BY21" i="12" s="1"/>
  <c r="A51" i="12" l="1"/>
  <c r="AC50" i="12"/>
  <c r="BE25" i="12"/>
  <c r="CE22" i="12"/>
  <c r="AN22" i="12" s="1"/>
  <c r="AM23" i="12"/>
  <c r="AO23" i="12" s="1"/>
  <c r="CC26" i="12"/>
  <c r="CB27" i="12"/>
  <c r="BZ21" i="12"/>
  <c r="AY21" i="12" s="1"/>
  <c r="BZ20" i="12"/>
  <c r="AY20" i="12" s="1"/>
  <c r="BR23" i="12"/>
  <c r="CD23" i="12" s="1"/>
  <c r="BS22" i="12"/>
  <c r="BT22" i="12" s="1"/>
  <c r="BW23" i="12"/>
  <c r="BX22" i="12"/>
  <c r="BY22" i="12" s="1"/>
  <c r="A52" i="12" l="1"/>
  <c r="AC51" i="12"/>
  <c r="BE26" i="12"/>
  <c r="AM24" i="12"/>
  <c r="AO24" i="12" s="1"/>
  <c r="CC27" i="12"/>
  <c r="CB28" i="12"/>
  <c r="AZ21" i="12"/>
  <c r="AZ22" i="12"/>
  <c r="BR24" i="12"/>
  <c r="CD24" i="12" s="1"/>
  <c r="BS23" i="12"/>
  <c r="BT23" i="12" s="1"/>
  <c r="BW24" i="12"/>
  <c r="BX23" i="12"/>
  <c r="BY23" i="12" s="1"/>
  <c r="A53" i="12" l="1"/>
  <c r="AC52" i="12"/>
  <c r="BE27" i="12"/>
  <c r="CE23" i="12"/>
  <c r="AN23" i="12" s="1"/>
  <c r="AM25" i="12"/>
  <c r="AO25" i="12" s="1"/>
  <c r="CC28" i="12"/>
  <c r="CB29" i="12"/>
  <c r="BZ22" i="12"/>
  <c r="AY22" i="12" s="1"/>
  <c r="AZ23" i="12"/>
  <c r="BR25" i="12"/>
  <c r="CD25" i="12" s="1"/>
  <c r="BW25" i="12"/>
  <c r="BX24" i="12"/>
  <c r="BY24" i="12" s="1"/>
  <c r="BS24" i="12"/>
  <c r="BT24" i="12" s="1"/>
  <c r="A54" i="12" l="1"/>
  <c r="AC53" i="12"/>
  <c r="BE28" i="12"/>
  <c r="CE25" i="12"/>
  <c r="AN25" i="12" s="1"/>
  <c r="CE24" i="12"/>
  <c r="AN24" i="12" s="1"/>
  <c r="AM26" i="12"/>
  <c r="AO26" i="12" s="1"/>
  <c r="CC29" i="12"/>
  <c r="CB30" i="12"/>
  <c r="BZ23" i="12"/>
  <c r="AY23" i="12" s="1"/>
  <c r="AZ24" i="12"/>
  <c r="BR26" i="12"/>
  <c r="CD26" i="12" s="1"/>
  <c r="BS25" i="12"/>
  <c r="BT25" i="12" s="1"/>
  <c r="BW26" i="12"/>
  <c r="BX25" i="12"/>
  <c r="BY25" i="12" s="1"/>
  <c r="A55" i="12" l="1"/>
  <c r="AC54" i="12"/>
  <c r="BE29" i="12"/>
  <c r="CE26" i="12"/>
  <c r="AN26" i="12" s="1"/>
  <c r="AM27" i="12"/>
  <c r="AO27" i="12" s="1"/>
  <c r="CB31" i="12"/>
  <c r="CC30" i="12"/>
  <c r="BZ24" i="12"/>
  <c r="AY24" i="12" s="1"/>
  <c r="AZ25" i="12"/>
  <c r="BR27" i="12"/>
  <c r="CD27" i="12" s="1"/>
  <c r="BS26" i="12"/>
  <c r="BT26" i="12" s="1"/>
  <c r="BW27" i="12"/>
  <c r="BX26" i="12"/>
  <c r="BY26" i="12" s="1"/>
  <c r="A56" i="12" l="1"/>
  <c r="AC55" i="12"/>
  <c r="BE30" i="12"/>
  <c r="AM28" i="12"/>
  <c r="AO28" i="12" s="1"/>
  <c r="CC31" i="12"/>
  <c r="CB32" i="12"/>
  <c r="BZ25" i="12"/>
  <c r="AY25" i="12" s="1"/>
  <c r="AZ26" i="12"/>
  <c r="BR28" i="12"/>
  <c r="CD28" i="12" s="1"/>
  <c r="BS27" i="12"/>
  <c r="BT27" i="12" s="1"/>
  <c r="BW28" i="12"/>
  <c r="BX27" i="12"/>
  <c r="BY27" i="12" s="1"/>
  <c r="A57" i="12" l="1"/>
  <c r="AC56" i="12"/>
  <c r="BE31" i="12"/>
  <c r="CE27" i="12"/>
  <c r="AN27" i="12" s="1"/>
  <c r="CE28" i="12"/>
  <c r="AN28" i="12" s="1"/>
  <c r="AM29" i="12"/>
  <c r="AO29" i="12" s="1"/>
  <c r="CC32" i="12"/>
  <c r="CB33" i="12"/>
  <c r="AZ27" i="12"/>
  <c r="BZ26" i="12"/>
  <c r="AY26" i="12" s="1"/>
  <c r="BR29" i="12"/>
  <c r="CD29" i="12" s="1"/>
  <c r="BS28" i="12"/>
  <c r="BT28" i="12" s="1"/>
  <c r="BW29" i="12"/>
  <c r="BX28" i="12"/>
  <c r="BY28" i="12" s="1"/>
  <c r="A58" i="12" l="1"/>
  <c r="AC57" i="12"/>
  <c r="BE32" i="12"/>
  <c r="AM30" i="12"/>
  <c r="AO30" i="12" s="1"/>
  <c r="CB34" i="12"/>
  <c r="CC33" i="12"/>
  <c r="BZ27" i="12"/>
  <c r="AY27" i="12" s="1"/>
  <c r="BZ28" i="12"/>
  <c r="AY28" i="12" s="1"/>
  <c r="BR30" i="12"/>
  <c r="CD30" i="12" s="1"/>
  <c r="BS29" i="12"/>
  <c r="BT29" i="12" s="1"/>
  <c r="BW30" i="12"/>
  <c r="BX29" i="12"/>
  <c r="BY29" i="12" s="1"/>
  <c r="A59" i="12" l="1"/>
  <c r="AC58" i="12"/>
  <c r="BE33" i="12"/>
  <c r="CE29" i="12"/>
  <c r="AN29" i="12" s="1"/>
  <c r="AM31" i="12"/>
  <c r="AO31" i="12" s="1"/>
  <c r="CC34" i="12"/>
  <c r="CB35" i="12"/>
  <c r="AZ28" i="12"/>
  <c r="AZ29" i="12"/>
  <c r="BR31" i="12"/>
  <c r="CD31" i="12" s="1"/>
  <c r="BS30" i="12"/>
  <c r="BT30" i="12" s="1"/>
  <c r="BW31" i="12"/>
  <c r="BX30" i="12"/>
  <c r="BY30" i="12" s="1"/>
  <c r="A60" i="12" l="1"/>
  <c r="AC59" i="12"/>
  <c r="BE34" i="12"/>
  <c r="CE31" i="12"/>
  <c r="AN31" i="12" s="1"/>
  <c r="CE30" i="12"/>
  <c r="AN30" i="12" s="1"/>
  <c r="AM32" i="12"/>
  <c r="AO32" i="12" s="1"/>
  <c r="CB36" i="12"/>
  <c r="CC35" i="12"/>
  <c r="BZ29" i="12"/>
  <c r="AY29" i="12" s="1"/>
  <c r="AZ30" i="12"/>
  <c r="BR32" i="12"/>
  <c r="CD32" i="12" s="1"/>
  <c r="BS31" i="12"/>
  <c r="BT31" i="12" s="1"/>
  <c r="BW32" i="12"/>
  <c r="BX31" i="12"/>
  <c r="BY31" i="12" s="1"/>
  <c r="A61" i="12" l="1"/>
  <c r="AC60" i="12"/>
  <c r="BE35" i="12"/>
  <c r="CE32" i="12"/>
  <c r="AN32" i="12" s="1"/>
  <c r="AM33" i="12"/>
  <c r="AO33" i="12" s="1"/>
  <c r="CC36" i="12"/>
  <c r="CB37" i="12"/>
  <c r="BZ30" i="12"/>
  <c r="AY30" i="12" s="1"/>
  <c r="AZ31" i="12"/>
  <c r="BR33" i="12"/>
  <c r="CD33" i="12" s="1"/>
  <c r="BW33" i="12"/>
  <c r="BS32" i="12"/>
  <c r="BT32" i="12" s="1"/>
  <c r="BX32" i="12"/>
  <c r="BY32" i="12" s="1"/>
  <c r="A62" i="12" l="1"/>
  <c r="AC61" i="12"/>
  <c r="BE36" i="12"/>
  <c r="AM34" i="12"/>
  <c r="AO34" i="12" s="1"/>
  <c r="CB38" i="12"/>
  <c r="CC37" i="12"/>
  <c r="BZ31" i="12"/>
  <c r="AY31" i="12" s="1"/>
  <c r="AZ32" i="12"/>
  <c r="BR34" i="12"/>
  <c r="CD34" i="12" s="1"/>
  <c r="BS33" i="12"/>
  <c r="BT33" i="12" s="1"/>
  <c r="BW34" i="12"/>
  <c r="BX33" i="12"/>
  <c r="BY33" i="12" s="1"/>
  <c r="A63" i="12" l="1"/>
  <c r="AC62" i="12"/>
  <c r="BE37" i="12"/>
  <c r="CE33" i="12"/>
  <c r="AN33" i="12" s="1"/>
  <c r="CE34" i="12"/>
  <c r="AN34" i="12" s="1"/>
  <c r="AM35" i="12"/>
  <c r="AO35" i="12" s="1"/>
  <c r="CB39" i="12"/>
  <c r="CC38" i="12"/>
  <c r="BZ32" i="12"/>
  <c r="AY32" i="12" s="1"/>
  <c r="AZ33" i="12"/>
  <c r="BR35" i="12"/>
  <c r="CD35" i="12" s="1"/>
  <c r="BS34" i="12"/>
  <c r="BT34" i="12" s="1"/>
  <c r="BW35" i="12"/>
  <c r="BX34" i="12"/>
  <c r="BY34" i="12" s="1"/>
  <c r="A64" i="12" l="1"/>
  <c r="AC63" i="12"/>
  <c r="BE38" i="12"/>
  <c r="CE35" i="12"/>
  <c r="AN35" i="12" s="1"/>
  <c r="AM36" i="12"/>
  <c r="AO36" i="12" s="1"/>
  <c r="CC39" i="12"/>
  <c r="CB40" i="12"/>
  <c r="BZ33" i="12"/>
  <c r="AY33" i="12" s="1"/>
  <c r="AZ34" i="12"/>
  <c r="BR36" i="12"/>
  <c r="CD36" i="12" s="1"/>
  <c r="BS35" i="12"/>
  <c r="BT35" i="12" s="1"/>
  <c r="BW36" i="12"/>
  <c r="BX35" i="12"/>
  <c r="BY35" i="12" s="1"/>
  <c r="A65" i="12" l="1"/>
  <c r="AC64" i="12"/>
  <c r="BE39" i="12"/>
  <c r="AM37" i="12"/>
  <c r="AO37" i="12" s="1"/>
  <c r="CC40" i="12"/>
  <c r="CB41" i="12"/>
  <c r="BZ34" i="12"/>
  <c r="AY34" i="12" s="1"/>
  <c r="AZ35" i="12"/>
  <c r="BR37" i="12"/>
  <c r="CD37" i="12" s="1"/>
  <c r="BS36" i="12"/>
  <c r="BT36" i="12" s="1"/>
  <c r="BW37" i="12"/>
  <c r="BX36" i="12"/>
  <c r="BY36" i="12" s="1"/>
  <c r="A66" i="12" l="1"/>
  <c r="AC65" i="12"/>
  <c r="BE40" i="12"/>
  <c r="CE37" i="12"/>
  <c r="AN37" i="12" s="1"/>
  <c r="CE36" i="12"/>
  <c r="AN36" i="12" s="1"/>
  <c r="AM38" i="12"/>
  <c r="AO38" i="12" s="1"/>
  <c r="CC41" i="12"/>
  <c r="CB42" i="12"/>
  <c r="BZ35" i="12"/>
  <c r="AY35" i="12" s="1"/>
  <c r="AZ36" i="12"/>
  <c r="BR38" i="12"/>
  <c r="CD38" i="12" s="1"/>
  <c r="BS37" i="12"/>
  <c r="BT37" i="12" s="1"/>
  <c r="BW38" i="12"/>
  <c r="BX37" i="12"/>
  <c r="BY37" i="12" s="1"/>
  <c r="A67" i="12" l="1"/>
  <c r="AC66" i="12"/>
  <c r="BE41" i="12"/>
  <c r="AM39" i="12"/>
  <c r="AO39" i="12" s="1"/>
  <c r="CC42" i="12"/>
  <c r="CB43" i="12"/>
  <c r="BZ37" i="12"/>
  <c r="AY37" i="12" s="1"/>
  <c r="AZ37" i="12"/>
  <c r="BZ36" i="12"/>
  <c r="AY36" i="12" s="1"/>
  <c r="BR39" i="12"/>
  <c r="CD39" i="12" s="1"/>
  <c r="BW39" i="12"/>
  <c r="BX38" i="12"/>
  <c r="BY38" i="12" s="1"/>
  <c r="BS38" i="12"/>
  <c r="BT38" i="12" s="1"/>
  <c r="AS37" i="12"/>
  <c r="BU37" i="12"/>
  <c r="AR37" i="12" s="1"/>
  <c r="A68" i="12" l="1"/>
  <c r="AC67" i="12"/>
  <c r="BE42" i="12"/>
  <c r="CE38" i="12"/>
  <c r="AN38" i="12" s="1"/>
  <c r="CE39" i="12"/>
  <c r="AN39" i="12" s="1"/>
  <c r="AM40" i="12"/>
  <c r="AO40" i="12" s="1"/>
  <c r="CC43" i="12"/>
  <c r="CB44" i="12"/>
  <c r="AZ38" i="12"/>
  <c r="BZ38" i="12"/>
  <c r="AY38" i="12" s="1"/>
  <c r="BR40" i="12"/>
  <c r="CD40" i="12" s="1"/>
  <c r="BW40" i="12"/>
  <c r="BS39" i="12"/>
  <c r="BT39" i="12" s="1"/>
  <c r="BX39" i="12"/>
  <c r="BY39" i="12" s="1"/>
  <c r="AS38" i="12"/>
  <c r="BU38" i="12"/>
  <c r="AR38" i="12" s="1"/>
  <c r="A69" i="12" l="1"/>
  <c r="AC68" i="12"/>
  <c r="BE43" i="12"/>
  <c r="AM41" i="12"/>
  <c r="AO41" i="12" s="1"/>
  <c r="CB45" i="12"/>
  <c r="CC44" i="12"/>
  <c r="AZ39" i="12"/>
  <c r="BZ39" i="12"/>
  <c r="AY39" i="12" s="1"/>
  <c r="BR41" i="12"/>
  <c r="CD41" i="12" s="1"/>
  <c r="BW41" i="12"/>
  <c r="BX40" i="12"/>
  <c r="BY40" i="12" s="1"/>
  <c r="BS40" i="12"/>
  <c r="BT40" i="12" s="1"/>
  <c r="AS39" i="12"/>
  <c r="BU39" i="12"/>
  <c r="AR39" i="12" s="1"/>
  <c r="A70" i="12" l="1"/>
  <c r="AC69" i="12"/>
  <c r="BE44" i="12"/>
  <c r="CE40" i="12"/>
  <c r="AN40" i="12" s="1"/>
  <c r="AM42" i="12"/>
  <c r="AO42" i="12" s="1"/>
  <c r="AZ40" i="12"/>
  <c r="CB46" i="12"/>
  <c r="CC45" i="12"/>
  <c r="BR42" i="12"/>
  <c r="CD42" i="12" s="1"/>
  <c r="BW42" i="12"/>
  <c r="BS41" i="12"/>
  <c r="BT41" i="12" s="1"/>
  <c r="BX41" i="12"/>
  <c r="BY41" i="12" s="1"/>
  <c r="AS40" i="12"/>
  <c r="BU40" i="12"/>
  <c r="AR40" i="12" s="1"/>
  <c r="A71" i="12" l="1"/>
  <c r="AC70" i="12"/>
  <c r="BE45" i="12"/>
  <c r="CE41" i="12"/>
  <c r="AN41" i="12" s="1"/>
  <c r="BZ40" i="12"/>
  <c r="AY40" i="12" s="1"/>
  <c r="AM43" i="12"/>
  <c r="AO43" i="12" s="1"/>
  <c r="CC46" i="12"/>
  <c r="CB47" i="12"/>
  <c r="BZ41" i="12"/>
  <c r="AY41" i="12" s="1"/>
  <c r="AZ41" i="12"/>
  <c r="BR43" i="12"/>
  <c r="CD43" i="12" s="1"/>
  <c r="BW43" i="12"/>
  <c r="BX42" i="12"/>
  <c r="BY42" i="12" s="1"/>
  <c r="BS42" i="12"/>
  <c r="BT42" i="12" s="1"/>
  <c r="AS41" i="12"/>
  <c r="BU41" i="12"/>
  <c r="AR41" i="12" s="1"/>
  <c r="A72" i="12" l="1"/>
  <c r="AC71" i="12"/>
  <c r="BE46" i="12"/>
  <c r="CE42" i="12"/>
  <c r="AN42" i="12" s="1"/>
  <c r="AM44" i="12"/>
  <c r="AO44" i="12" s="1"/>
  <c r="AZ42" i="12"/>
  <c r="CB48" i="12"/>
  <c r="CC47" i="12"/>
  <c r="AS42" i="12"/>
  <c r="BU42" i="12"/>
  <c r="AR42" i="12" s="1"/>
  <c r="BR44" i="12"/>
  <c r="CD44" i="12" s="1"/>
  <c r="BW44" i="12"/>
  <c r="BS43" i="12"/>
  <c r="BT43" i="12" s="1"/>
  <c r="BX43" i="12"/>
  <c r="BY43" i="12" s="1"/>
  <c r="A73" i="12" l="1"/>
  <c r="AC72" i="12"/>
  <c r="BE47" i="12"/>
  <c r="CE43" i="12"/>
  <c r="AN43" i="12" s="1"/>
  <c r="BZ42" i="12"/>
  <c r="AY42" i="12" s="1"/>
  <c r="AM45" i="12"/>
  <c r="AO45" i="12" s="1"/>
  <c r="CC48" i="12"/>
  <c r="CB49" i="12"/>
  <c r="AZ43" i="12"/>
  <c r="BZ43" i="12"/>
  <c r="AY43" i="12" s="1"/>
  <c r="BR45" i="12"/>
  <c r="CD45" i="12" s="1"/>
  <c r="BW45" i="12"/>
  <c r="BX44" i="12"/>
  <c r="BY44" i="12" s="1"/>
  <c r="BS44" i="12"/>
  <c r="BT44" i="12" s="1"/>
  <c r="AS43" i="12"/>
  <c r="BU43" i="12"/>
  <c r="AR43" i="12" s="1"/>
  <c r="A74" i="12" l="1"/>
  <c r="AC73" i="12"/>
  <c r="BE48" i="12"/>
  <c r="CE44" i="12"/>
  <c r="AN44" i="12" s="1"/>
  <c r="AM46" i="12"/>
  <c r="AO46" i="12" s="1"/>
  <c r="CB50" i="12"/>
  <c r="CC49" i="12"/>
  <c r="AZ44" i="12"/>
  <c r="BZ44" i="12"/>
  <c r="AY44" i="12" s="1"/>
  <c r="AS44" i="12"/>
  <c r="BU44" i="12"/>
  <c r="AR44" i="12" s="1"/>
  <c r="BR46" i="12"/>
  <c r="CD46" i="12" s="1"/>
  <c r="BW46" i="12"/>
  <c r="BS45" i="12"/>
  <c r="BT45" i="12" s="1"/>
  <c r="BX45" i="12"/>
  <c r="BY45" i="12" s="1"/>
  <c r="A75" i="12" l="1"/>
  <c r="AC74" i="12"/>
  <c r="BE49" i="12"/>
  <c r="CE45" i="12"/>
  <c r="AN45" i="12" s="1"/>
  <c r="AM47" i="12"/>
  <c r="AO47" i="12" s="1"/>
  <c r="AZ45" i="12"/>
  <c r="CC50" i="12"/>
  <c r="CB51" i="12"/>
  <c r="AS45" i="12"/>
  <c r="BU45" i="12"/>
  <c r="AR45" i="12" s="1"/>
  <c r="BR47" i="12"/>
  <c r="CD47" i="12" s="1"/>
  <c r="BW47" i="12"/>
  <c r="BX46" i="12"/>
  <c r="BY46" i="12" s="1"/>
  <c r="BS46" i="12"/>
  <c r="BT46" i="12" s="1"/>
  <c r="A76" i="12" l="1"/>
  <c r="AC75" i="12"/>
  <c r="BE50" i="12"/>
  <c r="CE46" i="12"/>
  <c r="AN46" i="12" s="1"/>
  <c r="BZ45" i="12"/>
  <c r="AY45" i="12" s="1"/>
  <c r="AM48" i="12"/>
  <c r="AO48" i="12" s="1"/>
  <c r="AZ46" i="12"/>
  <c r="CB52" i="12"/>
  <c r="CC51" i="12"/>
  <c r="BW48" i="12"/>
  <c r="BR48" i="12"/>
  <c r="CD48" i="12" s="1"/>
  <c r="BS47" i="12"/>
  <c r="BT47" i="12" s="1"/>
  <c r="BX47" i="12"/>
  <c r="BY47" i="12" s="1"/>
  <c r="AS46" i="12"/>
  <c r="BU46" i="12"/>
  <c r="AR46" i="12" s="1"/>
  <c r="A77" i="12" l="1"/>
  <c r="AC76" i="12"/>
  <c r="BE51" i="12"/>
  <c r="CE47" i="12"/>
  <c r="AN47" i="12" s="1"/>
  <c r="AM49" i="12"/>
  <c r="AO49" i="12" s="1"/>
  <c r="BZ46" i="12"/>
  <c r="AY46" i="12" s="1"/>
  <c r="CC52" i="12"/>
  <c r="CB53" i="12"/>
  <c r="BZ47" i="12"/>
  <c r="AY47" i="12" s="1"/>
  <c r="AZ47" i="12"/>
  <c r="BR49" i="12"/>
  <c r="CD49" i="12" s="1"/>
  <c r="BW49" i="12"/>
  <c r="BX48" i="12"/>
  <c r="BY48" i="12" s="1"/>
  <c r="BS48" i="12"/>
  <c r="BT48" i="12" s="1"/>
  <c r="AS47" i="12"/>
  <c r="BU47" i="12"/>
  <c r="AR47" i="12" s="1"/>
  <c r="A78" i="12" l="1"/>
  <c r="AC77" i="12"/>
  <c r="BE52" i="12"/>
  <c r="CE48" i="12"/>
  <c r="AN48" i="12" s="1"/>
  <c r="AM50" i="12"/>
  <c r="AO50" i="12" s="1"/>
  <c r="CB54" i="12"/>
  <c r="CC53" i="12"/>
  <c r="AZ48" i="12"/>
  <c r="BZ48" i="12"/>
  <c r="AY48" i="12" s="1"/>
  <c r="AS48" i="12"/>
  <c r="BU48" i="12"/>
  <c r="AR48" i="12" s="1"/>
  <c r="BR50" i="12"/>
  <c r="CD50" i="12" s="1"/>
  <c r="BW50" i="12"/>
  <c r="BS49" i="12"/>
  <c r="BT49" i="12" s="1"/>
  <c r="BX49" i="12"/>
  <c r="BY49" i="12" s="1"/>
  <c r="A79" i="12" l="1"/>
  <c r="AC78" i="12"/>
  <c r="BE53" i="12"/>
  <c r="CE49" i="12"/>
  <c r="AN49" i="12" s="1"/>
  <c r="AM51" i="12"/>
  <c r="AO51" i="12" s="1"/>
  <c r="CC54" i="12"/>
  <c r="CB55" i="12"/>
  <c r="AZ49" i="12"/>
  <c r="BZ49" i="12"/>
  <c r="AY49" i="12" s="1"/>
  <c r="BR51" i="12"/>
  <c r="CD51" i="12" s="1"/>
  <c r="BW51" i="12"/>
  <c r="BX50" i="12"/>
  <c r="BY50" i="12" s="1"/>
  <c r="BS50" i="12"/>
  <c r="BT50" i="12" s="1"/>
  <c r="AS49" i="12"/>
  <c r="BU49" i="12"/>
  <c r="AR49" i="12" s="1"/>
  <c r="A80" i="12" l="1"/>
  <c r="AC79" i="12"/>
  <c r="BE54" i="12"/>
  <c r="CE50" i="12"/>
  <c r="AN50" i="12" s="1"/>
  <c r="AM52" i="12"/>
  <c r="AO52" i="12" s="1"/>
  <c r="CB56" i="12"/>
  <c r="CC55" i="12"/>
  <c r="BZ50" i="12"/>
  <c r="AY50" i="12" s="1"/>
  <c r="AZ50" i="12"/>
  <c r="BR52" i="12"/>
  <c r="CD52" i="12" s="1"/>
  <c r="BW52" i="12"/>
  <c r="BS51" i="12"/>
  <c r="BT51" i="12" s="1"/>
  <c r="BX51" i="12"/>
  <c r="BY51" i="12" s="1"/>
  <c r="AS50" i="12"/>
  <c r="BU50" i="12"/>
  <c r="AR50" i="12" s="1"/>
  <c r="A81" i="12" l="1"/>
  <c r="AC80" i="12"/>
  <c r="BE55" i="12"/>
  <c r="CE51" i="12"/>
  <c r="AN51" i="12" s="1"/>
  <c r="AM53" i="12"/>
  <c r="AO53" i="12" s="1"/>
  <c r="CB57" i="12"/>
  <c r="CC56" i="12"/>
  <c r="AZ51" i="12"/>
  <c r="BZ51" i="12"/>
  <c r="AY51" i="12" s="1"/>
  <c r="BR53" i="12"/>
  <c r="CD53" i="12" s="1"/>
  <c r="BW53" i="12"/>
  <c r="BX52" i="12"/>
  <c r="BY52" i="12" s="1"/>
  <c r="BS52" i="12"/>
  <c r="BT52" i="12" s="1"/>
  <c r="AS51" i="12"/>
  <c r="BU51" i="12"/>
  <c r="AR51" i="12" s="1"/>
  <c r="A82" i="12" l="1"/>
  <c r="AC81" i="12"/>
  <c r="BE56" i="12"/>
  <c r="CE52" i="12"/>
  <c r="AN52" i="12" s="1"/>
  <c r="AM54" i="12"/>
  <c r="AO54" i="12" s="1"/>
  <c r="CB58" i="12"/>
  <c r="CC57" i="12"/>
  <c r="AZ52" i="12"/>
  <c r="BZ52" i="12"/>
  <c r="AY52" i="12" s="1"/>
  <c r="BR54" i="12"/>
  <c r="CD54" i="12" s="1"/>
  <c r="BW54" i="12"/>
  <c r="BS53" i="12"/>
  <c r="BT53" i="12" s="1"/>
  <c r="BX53" i="12"/>
  <c r="BY53" i="12" s="1"/>
  <c r="AS52" i="12"/>
  <c r="BU52" i="12"/>
  <c r="AR52" i="12" s="1"/>
  <c r="A83" i="12" l="1"/>
  <c r="AC82" i="12"/>
  <c r="BE57" i="12"/>
  <c r="CE53" i="12"/>
  <c r="AN53" i="12" s="1"/>
  <c r="AM55" i="12"/>
  <c r="AO55" i="12" s="1"/>
  <c r="AZ53" i="12"/>
  <c r="CC58" i="12"/>
  <c r="CB59" i="12"/>
  <c r="AS53" i="12"/>
  <c r="BU53" i="12"/>
  <c r="AR53" i="12" s="1"/>
  <c r="BR55" i="12"/>
  <c r="CD55" i="12" s="1"/>
  <c r="BW55" i="12"/>
  <c r="BX54" i="12"/>
  <c r="BY54" i="12" s="1"/>
  <c r="BS54" i="12"/>
  <c r="BT54" i="12" s="1"/>
  <c r="A84" i="12" l="1"/>
  <c r="AC83" i="12"/>
  <c r="BE58" i="12"/>
  <c r="CE54" i="12"/>
  <c r="AN54" i="12" s="1"/>
  <c r="BZ53" i="12"/>
  <c r="AY53" i="12" s="1"/>
  <c r="AM56" i="12"/>
  <c r="AO56" i="12" s="1"/>
  <c r="CC59" i="12"/>
  <c r="CB60" i="12"/>
  <c r="AZ54" i="12"/>
  <c r="BZ54" i="12"/>
  <c r="AY54" i="12" s="1"/>
  <c r="BR56" i="12"/>
  <c r="CD56" i="12" s="1"/>
  <c r="BW56" i="12"/>
  <c r="BS55" i="12"/>
  <c r="BT55" i="12" s="1"/>
  <c r="BX55" i="12"/>
  <c r="BY55" i="12" s="1"/>
  <c r="AS54" i="12"/>
  <c r="BU54" i="12"/>
  <c r="AR54" i="12" s="1"/>
  <c r="A85" i="12" l="1"/>
  <c r="AC84" i="12"/>
  <c r="BE59" i="12"/>
  <c r="CE55" i="12"/>
  <c r="AN55" i="12" s="1"/>
  <c r="AM57" i="12"/>
  <c r="AO57" i="12" s="1"/>
  <c r="AZ55" i="12"/>
  <c r="CC60" i="12"/>
  <c r="CB61" i="12"/>
  <c r="AS55" i="12"/>
  <c r="BU55" i="12"/>
  <c r="AR55" i="12" s="1"/>
  <c r="BR57" i="12"/>
  <c r="CD57" i="12" s="1"/>
  <c r="BW57" i="12"/>
  <c r="BX56" i="12"/>
  <c r="BY56" i="12" s="1"/>
  <c r="BS56" i="12"/>
  <c r="BT56" i="12" s="1"/>
  <c r="A86" i="12" l="1"/>
  <c r="AC85" i="12"/>
  <c r="BE60" i="12"/>
  <c r="CE56" i="12"/>
  <c r="AN56" i="12" s="1"/>
  <c r="BZ55" i="12"/>
  <c r="AY55" i="12" s="1"/>
  <c r="AM58" i="12"/>
  <c r="AO58" i="12" s="1"/>
  <c r="CB62" i="12"/>
  <c r="CC61" i="12"/>
  <c r="BZ56" i="12"/>
  <c r="AY56" i="12" s="1"/>
  <c r="AZ56" i="12"/>
  <c r="BR58" i="12"/>
  <c r="CD58" i="12" s="1"/>
  <c r="BW58" i="12"/>
  <c r="BS57" i="12"/>
  <c r="BT57" i="12" s="1"/>
  <c r="BX57" i="12"/>
  <c r="BY57" i="12" s="1"/>
  <c r="AS56" i="12"/>
  <c r="BU56" i="12"/>
  <c r="AR56" i="12" s="1"/>
  <c r="A87" i="12" l="1"/>
  <c r="AC86" i="12"/>
  <c r="BE61" i="12"/>
  <c r="CE57" i="12"/>
  <c r="AN57" i="12" s="1"/>
  <c r="AM59" i="12"/>
  <c r="AO59" i="12" s="1"/>
  <c r="AZ57" i="12"/>
  <c r="CC62" i="12"/>
  <c r="CB63" i="12"/>
  <c r="BR59" i="12"/>
  <c r="CD59" i="12" s="1"/>
  <c r="BW59" i="12"/>
  <c r="BX58" i="12"/>
  <c r="BY58" i="12" s="1"/>
  <c r="BS58" i="12"/>
  <c r="BT58" i="12" s="1"/>
  <c r="AS57" i="12"/>
  <c r="BU57" i="12"/>
  <c r="AR57" i="12" s="1"/>
  <c r="A88" i="12" l="1"/>
  <c r="AC87" i="12"/>
  <c r="BE62" i="12"/>
  <c r="CE58" i="12"/>
  <c r="AN58" i="12" s="1"/>
  <c r="BZ57" i="12"/>
  <c r="AY57" i="12" s="1"/>
  <c r="AM60" i="12"/>
  <c r="AO60" i="12" s="1"/>
  <c r="BZ58" i="12"/>
  <c r="AY58" i="12" s="1"/>
  <c r="CB64" i="12"/>
  <c r="CC63" i="12"/>
  <c r="AS58" i="12"/>
  <c r="BU58" i="12"/>
  <c r="AR58" i="12" s="1"/>
  <c r="BR60" i="12"/>
  <c r="CD60" i="12" s="1"/>
  <c r="BW60" i="12"/>
  <c r="BS59" i="12"/>
  <c r="BT59" i="12" s="1"/>
  <c r="BX59" i="12"/>
  <c r="BY59" i="12" s="1"/>
  <c r="A89" i="12" l="1"/>
  <c r="AC88" i="12"/>
  <c r="BE63" i="12"/>
  <c r="CE59" i="12"/>
  <c r="AN59" i="12" s="1"/>
  <c r="AZ58" i="12"/>
  <c r="AM61" i="12"/>
  <c r="AO61" i="12" s="1"/>
  <c r="CB65" i="12"/>
  <c r="CC64" i="12"/>
  <c r="BZ59" i="12"/>
  <c r="AY59" i="12" s="1"/>
  <c r="AZ59" i="12"/>
  <c r="BR61" i="12"/>
  <c r="CD61" i="12" s="1"/>
  <c r="BW61" i="12"/>
  <c r="BX60" i="12"/>
  <c r="BY60" i="12" s="1"/>
  <c r="BS60" i="12"/>
  <c r="BT60" i="12" s="1"/>
  <c r="AS59" i="12"/>
  <c r="BU59" i="12"/>
  <c r="AR59" i="12" s="1"/>
  <c r="A90" i="12" l="1"/>
  <c r="AC89" i="12"/>
  <c r="BE64" i="12"/>
  <c r="CE60" i="12"/>
  <c r="AN60" i="12" s="1"/>
  <c r="AM62" i="12"/>
  <c r="AO62" i="12" s="1"/>
  <c r="CB66" i="12"/>
  <c r="CC65" i="12"/>
  <c r="AZ60" i="12"/>
  <c r="BZ60" i="12"/>
  <c r="AY60" i="12" s="1"/>
  <c r="AS60" i="12"/>
  <c r="BU60" i="12"/>
  <c r="AR60" i="12" s="1"/>
  <c r="BR62" i="12"/>
  <c r="CD62" i="12" s="1"/>
  <c r="BW62" i="12"/>
  <c r="BS61" i="12"/>
  <c r="BT61" i="12" s="1"/>
  <c r="BX61" i="12"/>
  <c r="BY61" i="12" s="1"/>
  <c r="A91" i="12" l="1"/>
  <c r="AC90" i="12"/>
  <c r="BE65" i="12"/>
  <c r="CE61" i="12"/>
  <c r="AN61" i="12" s="1"/>
  <c r="AM63" i="12"/>
  <c r="AO63" i="12" s="1"/>
  <c r="AZ61" i="12"/>
  <c r="CC66" i="12"/>
  <c r="CB67" i="12"/>
  <c r="AS61" i="12"/>
  <c r="BU61" i="12"/>
  <c r="AR61" i="12" s="1"/>
  <c r="BR63" i="12"/>
  <c r="CD63" i="12" s="1"/>
  <c r="BW63" i="12"/>
  <c r="BX62" i="12"/>
  <c r="BY62" i="12" s="1"/>
  <c r="BS62" i="12"/>
  <c r="BT62" i="12" s="1"/>
  <c r="A92" i="12" l="1"/>
  <c r="AC91" i="12"/>
  <c r="BE66" i="12"/>
  <c r="CE62" i="12"/>
  <c r="AN62" i="12" s="1"/>
  <c r="BZ61" i="12"/>
  <c r="AY61" i="12" s="1"/>
  <c r="AM64" i="12"/>
  <c r="AO64" i="12" s="1"/>
  <c r="AZ62" i="12"/>
  <c r="CB68" i="12"/>
  <c r="CC67" i="12"/>
  <c r="BR64" i="12"/>
  <c r="CD64" i="12" s="1"/>
  <c r="BW64" i="12"/>
  <c r="BS63" i="12"/>
  <c r="BT63" i="12" s="1"/>
  <c r="BX63" i="12"/>
  <c r="BY63" i="12" s="1"/>
  <c r="AS62" i="12"/>
  <c r="BU62" i="12"/>
  <c r="AR62" i="12" s="1"/>
  <c r="A93" i="12" l="1"/>
  <c r="AC92" i="12"/>
  <c r="BE67" i="12"/>
  <c r="CE63" i="12"/>
  <c r="AN63" i="12" s="1"/>
  <c r="BZ62" i="12"/>
  <c r="AY62" i="12" s="1"/>
  <c r="AM65" i="12"/>
  <c r="AO65" i="12" s="1"/>
  <c r="AZ63" i="12"/>
  <c r="CC68" i="12"/>
  <c r="CB69" i="12"/>
  <c r="BR65" i="12"/>
  <c r="CD65" i="12" s="1"/>
  <c r="BW65" i="12"/>
  <c r="BX64" i="12"/>
  <c r="BY64" i="12" s="1"/>
  <c r="BS64" i="12"/>
  <c r="BT64" i="12" s="1"/>
  <c r="AS63" i="12"/>
  <c r="BU63" i="12"/>
  <c r="AR63" i="12" s="1"/>
  <c r="A94" i="12" l="1"/>
  <c r="AC93" i="12"/>
  <c r="BE68" i="12"/>
  <c r="CE64" i="12"/>
  <c r="AN64" i="12" s="1"/>
  <c r="BZ63" i="12"/>
  <c r="AY63" i="12" s="1"/>
  <c r="AM66" i="12"/>
  <c r="AO66" i="12" s="1"/>
  <c r="CB70" i="12"/>
  <c r="CC69" i="12"/>
  <c r="AZ64" i="12"/>
  <c r="BZ64" i="12"/>
  <c r="AY64" i="12" s="1"/>
  <c r="BR66" i="12"/>
  <c r="CD66" i="12" s="1"/>
  <c r="BW66" i="12"/>
  <c r="BS65" i="12"/>
  <c r="BT65" i="12" s="1"/>
  <c r="BX65" i="12"/>
  <c r="BY65" i="12" s="1"/>
  <c r="AS64" i="12"/>
  <c r="BU64" i="12"/>
  <c r="AR64" i="12" s="1"/>
  <c r="A95" i="12" l="1"/>
  <c r="AC94" i="12"/>
  <c r="BE69" i="12"/>
  <c r="CE65" i="12"/>
  <c r="AN65" i="12" s="1"/>
  <c r="AM67" i="12"/>
  <c r="AO67" i="12" s="1"/>
  <c r="AZ65" i="12"/>
  <c r="CC70" i="12"/>
  <c r="CB71" i="12"/>
  <c r="BR67" i="12"/>
  <c r="CD67" i="12" s="1"/>
  <c r="BW67" i="12"/>
  <c r="BX66" i="12"/>
  <c r="BY66" i="12" s="1"/>
  <c r="BS66" i="12"/>
  <c r="BT66" i="12" s="1"/>
  <c r="AS65" i="12"/>
  <c r="BU65" i="12"/>
  <c r="AR65" i="12" s="1"/>
  <c r="A96" i="12" l="1"/>
  <c r="AC95" i="12"/>
  <c r="BE70" i="12"/>
  <c r="CE66" i="12"/>
  <c r="AN66" i="12" s="1"/>
  <c r="BZ65" i="12"/>
  <c r="AY65" i="12" s="1"/>
  <c r="AM68" i="12"/>
  <c r="AO68" i="12" s="1"/>
  <c r="CB72" i="12"/>
  <c r="CC71" i="12"/>
  <c r="BZ66" i="12"/>
  <c r="AY66" i="12" s="1"/>
  <c r="AZ66" i="12"/>
  <c r="BR68" i="12"/>
  <c r="CD68" i="12" s="1"/>
  <c r="BW68" i="12"/>
  <c r="BS67" i="12"/>
  <c r="BT67" i="12" s="1"/>
  <c r="BX67" i="12"/>
  <c r="BY67" i="12" s="1"/>
  <c r="AS66" i="12"/>
  <c r="BU66" i="12"/>
  <c r="AR66" i="12" s="1"/>
  <c r="A97" i="12" l="1"/>
  <c r="AC96" i="12"/>
  <c r="BE71" i="12"/>
  <c r="CE67" i="12"/>
  <c r="AN67" i="12" s="1"/>
  <c r="AM69" i="12"/>
  <c r="AO69" i="12" s="1"/>
  <c r="AZ67" i="12"/>
  <c r="CB73" i="12"/>
  <c r="CC72" i="12"/>
  <c r="BR69" i="12"/>
  <c r="CD69" i="12" s="1"/>
  <c r="BW69" i="12"/>
  <c r="BX68" i="12"/>
  <c r="BY68" i="12" s="1"/>
  <c r="BS68" i="12"/>
  <c r="BT68" i="12" s="1"/>
  <c r="AS67" i="12"/>
  <c r="BU67" i="12"/>
  <c r="AR67" i="12" s="1"/>
  <c r="A98" i="12" l="1"/>
  <c r="AC97" i="12"/>
  <c r="BE72" i="12"/>
  <c r="CE68" i="12"/>
  <c r="AN68" i="12" s="1"/>
  <c r="AM70" i="12"/>
  <c r="AO70" i="12" s="1"/>
  <c r="BZ67" i="12"/>
  <c r="AY67" i="12" s="1"/>
  <c r="AZ68" i="12"/>
  <c r="CB74" i="12"/>
  <c r="CC73" i="12"/>
  <c r="BR70" i="12"/>
  <c r="CD70" i="12" s="1"/>
  <c r="BW70" i="12"/>
  <c r="BS69" i="12"/>
  <c r="BT69" i="12" s="1"/>
  <c r="BX69" i="12"/>
  <c r="BY69" i="12" s="1"/>
  <c r="AS68" i="12"/>
  <c r="BU68" i="12"/>
  <c r="AR68" i="12" s="1"/>
  <c r="A99" i="12" l="1"/>
  <c r="AC98" i="12"/>
  <c r="BE73" i="12"/>
  <c r="CE69" i="12"/>
  <c r="AN69" i="12" s="1"/>
  <c r="BZ68" i="12"/>
  <c r="AY68" i="12" s="1"/>
  <c r="AM71" i="12"/>
  <c r="AO71" i="12" s="1"/>
  <c r="AZ69" i="12"/>
  <c r="CC74" i="12"/>
  <c r="CB75" i="12"/>
  <c r="AS69" i="12"/>
  <c r="BU69" i="12"/>
  <c r="AR69" i="12" s="1"/>
  <c r="BR71" i="12"/>
  <c r="CD71" i="12" s="1"/>
  <c r="BW71" i="12"/>
  <c r="BX70" i="12"/>
  <c r="BY70" i="12" s="1"/>
  <c r="BS70" i="12"/>
  <c r="BT70" i="12" s="1"/>
  <c r="A100" i="12" l="1"/>
  <c r="AC99" i="12"/>
  <c r="BE74" i="12"/>
  <c r="CE70" i="12"/>
  <c r="AN70" i="12" s="1"/>
  <c r="BZ69" i="12"/>
  <c r="AY69" i="12" s="1"/>
  <c r="AM72" i="12"/>
  <c r="AO72" i="12" s="1"/>
  <c r="CC75" i="12"/>
  <c r="CB76" i="12"/>
  <c r="AZ70" i="12"/>
  <c r="BZ70" i="12"/>
  <c r="AY70" i="12" s="1"/>
  <c r="BR72" i="12"/>
  <c r="CD72" i="12" s="1"/>
  <c r="BW72" i="12"/>
  <c r="BS71" i="12"/>
  <c r="BT71" i="12" s="1"/>
  <c r="BX71" i="12"/>
  <c r="BY71" i="12" s="1"/>
  <c r="AS70" i="12"/>
  <c r="BU70" i="12"/>
  <c r="AR70" i="12" s="1"/>
  <c r="A101" i="12" l="1"/>
  <c r="AC100" i="12"/>
  <c r="BE75" i="12"/>
  <c r="CE71" i="12"/>
  <c r="AN71" i="12" s="1"/>
  <c r="AM73" i="12"/>
  <c r="AO73" i="12" s="1"/>
  <c r="AZ71" i="12"/>
  <c r="CC76" i="12"/>
  <c r="CB77" i="12"/>
  <c r="AS71" i="12"/>
  <c r="BU71" i="12"/>
  <c r="AR71" i="12" s="1"/>
  <c r="BR73" i="12"/>
  <c r="CD73" i="12" s="1"/>
  <c r="BW73" i="12"/>
  <c r="BX72" i="12"/>
  <c r="BY72" i="12" s="1"/>
  <c r="BS72" i="12"/>
  <c r="BT72" i="12" s="1"/>
  <c r="A102" i="12" l="1"/>
  <c r="AC101" i="12"/>
  <c r="BE76" i="12"/>
  <c r="CE72" i="12"/>
  <c r="AN72" i="12" s="1"/>
  <c r="BZ71" i="12"/>
  <c r="AY71" i="12" s="1"/>
  <c r="AM74" i="12"/>
  <c r="AO74" i="12" s="1"/>
  <c r="CB78" i="12"/>
  <c r="CC77" i="12"/>
  <c r="AZ72" i="12"/>
  <c r="BZ72" i="12"/>
  <c r="AY72" i="12" s="1"/>
  <c r="BR74" i="12"/>
  <c r="CD74" i="12" s="1"/>
  <c r="BW74" i="12"/>
  <c r="BS73" i="12"/>
  <c r="BT73" i="12" s="1"/>
  <c r="BX73" i="12"/>
  <c r="BY73" i="12" s="1"/>
  <c r="AS72" i="12"/>
  <c r="BU72" i="12"/>
  <c r="AR72" i="12" s="1"/>
  <c r="A103" i="12" l="1"/>
  <c r="AC102" i="12"/>
  <c r="BE77" i="12"/>
  <c r="CE73" i="12"/>
  <c r="AN73" i="12" s="1"/>
  <c r="AM75" i="12"/>
  <c r="AO75" i="12" s="1"/>
  <c r="AZ73" i="12"/>
  <c r="CC78" i="12"/>
  <c r="CB79" i="12"/>
  <c r="BR75" i="12"/>
  <c r="CD75" i="12" s="1"/>
  <c r="BW75" i="12"/>
  <c r="BX74" i="12"/>
  <c r="BY74" i="12" s="1"/>
  <c r="BS74" i="12"/>
  <c r="BT74" i="12" s="1"/>
  <c r="AS73" i="12"/>
  <c r="BU73" i="12"/>
  <c r="AR73" i="12" s="1"/>
  <c r="A104" i="12" l="1"/>
  <c r="AC103" i="12"/>
  <c r="BE78" i="12"/>
  <c r="CE74" i="12"/>
  <c r="AN74" i="12" s="1"/>
  <c r="BZ73" i="12"/>
  <c r="AY73" i="12" s="1"/>
  <c r="AM76" i="12"/>
  <c r="AO76" i="12" s="1"/>
  <c r="BZ74" i="12"/>
  <c r="AY74" i="12" s="1"/>
  <c r="CB80" i="12"/>
  <c r="CC79" i="12"/>
  <c r="AZ74" i="12"/>
  <c r="AS74" i="12"/>
  <c r="BU74" i="12"/>
  <c r="AR74" i="12" s="1"/>
  <c r="BR76" i="12"/>
  <c r="CD76" i="12" s="1"/>
  <c r="BW76" i="12"/>
  <c r="BS75" i="12"/>
  <c r="BT75" i="12" s="1"/>
  <c r="BX75" i="12"/>
  <c r="BY75" i="12" s="1"/>
  <c r="A105" i="12" l="1"/>
  <c r="AC104" i="12"/>
  <c r="BE79" i="12"/>
  <c r="CE75" i="12"/>
  <c r="AN75" i="12" s="1"/>
  <c r="AM77" i="12"/>
  <c r="AO77" i="12" s="1"/>
  <c r="CC80" i="12"/>
  <c r="CB81" i="12"/>
  <c r="BZ75" i="12"/>
  <c r="AY75" i="12" s="1"/>
  <c r="AZ75" i="12"/>
  <c r="BR77" i="12"/>
  <c r="CD77" i="12" s="1"/>
  <c r="BX76" i="12"/>
  <c r="BY76" i="12" s="1"/>
  <c r="BS76" i="12"/>
  <c r="BT76" i="12" s="1"/>
  <c r="BW77" i="12"/>
  <c r="AS75" i="12"/>
  <c r="BU75" i="12"/>
  <c r="AR75" i="12" s="1"/>
  <c r="A106" i="12" l="1"/>
  <c r="AC105" i="12"/>
  <c r="BE80" i="12"/>
  <c r="CE76" i="12"/>
  <c r="AN76" i="12" s="1"/>
  <c r="AM78" i="12"/>
  <c r="AO78" i="12" s="1"/>
  <c r="CB82" i="12"/>
  <c r="CC81" i="12"/>
  <c r="AZ76" i="12"/>
  <c r="BZ76" i="12"/>
  <c r="AY76" i="12" s="1"/>
  <c r="BR78" i="12"/>
  <c r="CD78" i="12" s="1"/>
  <c r="BW78" i="12"/>
  <c r="BS77" i="12"/>
  <c r="BT77" i="12" s="1"/>
  <c r="BX77" i="12"/>
  <c r="BY77" i="12" s="1"/>
  <c r="AS76" i="12"/>
  <c r="BU76" i="12"/>
  <c r="AR76" i="12" s="1"/>
  <c r="A107" i="12" l="1"/>
  <c r="AC106" i="12"/>
  <c r="BE81" i="12"/>
  <c r="CE77" i="12"/>
  <c r="AN77" i="12" s="1"/>
  <c r="AM79" i="12"/>
  <c r="AO79" i="12" s="1"/>
  <c r="AZ77" i="12"/>
  <c r="CC82" i="12"/>
  <c r="CB83" i="12"/>
  <c r="AS77" i="12"/>
  <c r="BU77" i="12"/>
  <c r="AR77" i="12" s="1"/>
  <c r="BR79" i="12"/>
  <c r="CD79" i="12" s="1"/>
  <c r="BW79" i="12"/>
  <c r="BX78" i="12"/>
  <c r="BY78" i="12" s="1"/>
  <c r="BS78" i="12"/>
  <c r="BT78" i="12" s="1"/>
  <c r="A108" i="12" l="1"/>
  <c r="AC107" i="12"/>
  <c r="BE82" i="12"/>
  <c r="CE78" i="12"/>
  <c r="AN78" i="12" s="1"/>
  <c r="BZ77" i="12"/>
  <c r="AY77" i="12" s="1"/>
  <c r="AM80" i="12"/>
  <c r="AO80" i="12" s="1"/>
  <c r="CC83" i="12"/>
  <c r="CB84" i="12"/>
  <c r="AZ78" i="12"/>
  <c r="BZ78" i="12"/>
  <c r="AY78" i="12" s="1"/>
  <c r="BR80" i="12"/>
  <c r="CD80" i="12" s="1"/>
  <c r="BW80" i="12"/>
  <c r="BS79" i="12"/>
  <c r="BT79" i="12" s="1"/>
  <c r="BX79" i="12"/>
  <c r="BY79" i="12" s="1"/>
  <c r="AS78" i="12"/>
  <c r="BU78" i="12"/>
  <c r="AR78" i="12" s="1"/>
  <c r="A109" i="12" l="1"/>
  <c r="AC108" i="12"/>
  <c r="BE83" i="12"/>
  <c r="CE79" i="12"/>
  <c r="AN79" i="12" s="1"/>
  <c r="AM81" i="12"/>
  <c r="AO81" i="12" s="1"/>
  <c r="AZ79" i="12"/>
  <c r="CC84" i="12"/>
  <c r="CB85" i="12"/>
  <c r="BR81" i="12"/>
  <c r="CD81" i="12" s="1"/>
  <c r="BW81" i="12"/>
  <c r="BX80" i="12"/>
  <c r="BY80" i="12" s="1"/>
  <c r="BS80" i="12"/>
  <c r="BT80" i="12" s="1"/>
  <c r="AS79" i="12"/>
  <c r="BU79" i="12"/>
  <c r="AR79" i="12" s="1"/>
  <c r="A110" i="12" l="1"/>
  <c r="AC109" i="12"/>
  <c r="BE84" i="12"/>
  <c r="CE80" i="12"/>
  <c r="AN80" i="12" s="1"/>
  <c r="AM82" i="12"/>
  <c r="AO82" i="12" s="1"/>
  <c r="BZ79" i="12"/>
  <c r="AY79" i="12" s="1"/>
  <c r="CB86" i="12"/>
  <c r="CC85" i="12"/>
  <c r="BZ80" i="12"/>
  <c r="AY80" i="12" s="1"/>
  <c r="AZ80" i="12"/>
  <c r="BR82" i="12"/>
  <c r="CD82" i="12" s="1"/>
  <c r="BW82" i="12"/>
  <c r="BS81" i="12"/>
  <c r="BT81" i="12" s="1"/>
  <c r="BX81" i="12"/>
  <c r="BY81" i="12" s="1"/>
  <c r="AS80" i="12"/>
  <c r="BU80" i="12"/>
  <c r="AR80" i="12" s="1"/>
  <c r="A111" i="12" l="1"/>
  <c r="AC110" i="12"/>
  <c r="BE85" i="12"/>
  <c r="CE81" i="12"/>
  <c r="AN81" i="12" s="1"/>
  <c r="AM83" i="12"/>
  <c r="AO83" i="12" s="1"/>
  <c r="AZ81" i="12"/>
  <c r="CC86" i="12"/>
  <c r="CB87" i="12"/>
  <c r="BR83" i="12"/>
  <c r="CD83" i="12" s="1"/>
  <c r="BW83" i="12"/>
  <c r="BX82" i="12"/>
  <c r="BY82" i="12" s="1"/>
  <c r="BS82" i="12"/>
  <c r="BT82" i="12" s="1"/>
  <c r="AS81" i="12"/>
  <c r="BU81" i="12"/>
  <c r="AR81" i="12" s="1"/>
  <c r="A112" i="12" l="1"/>
  <c r="AC111" i="12"/>
  <c r="BE86" i="12"/>
  <c r="CE82" i="12"/>
  <c r="AN82" i="12" s="1"/>
  <c r="BZ81" i="12"/>
  <c r="AY81" i="12" s="1"/>
  <c r="AM84" i="12"/>
  <c r="AO84" i="12" s="1"/>
  <c r="CC87" i="12"/>
  <c r="CB88" i="12"/>
  <c r="BZ82" i="12"/>
  <c r="AY82" i="12" s="1"/>
  <c r="AZ82" i="12"/>
  <c r="BR84" i="12"/>
  <c r="CD84" i="12" s="1"/>
  <c r="BW84" i="12"/>
  <c r="BS83" i="12"/>
  <c r="BT83" i="12" s="1"/>
  <c r="BX83" i="12"/>
  <c r="BY83" i="12" s="1"/>
  <c r="AS82" i="12"/>
  <c r="BU82" i="12"/>
  <c r="AR82" i="12" s="1"/>
  <c r="A113" i="12" l="1"/>
  <c r="AC112" i="12"/>
  <c r="BE87" i="12"/>
  <c r="CE83" i="12"/>
  <c r="AN83" i="12" s="1"/>
  <c r="AM85" i="12"/>
  <c r="AO85" i="12" s="1"/>
  <c r="AZ83" i="12"/>
  <c r="CB89" i="12"/>
  <c r="CC88" i="12"/>
  <c r="BZ83" i="12"/>
  <c r="AY83" i="12" s="1"/>
  <c r="AS83" i="12"/>
  <c r="BU83" i="12"/>
  <c r="AR83" i="12" s="1"/>
  <c r="BR85" i="12"/>
  <c r="CD85" i="12" s="1"/>
  <c r="BW85" i="12"/>
  <c r="BX84" i="12"/>
  <c r="BY84" i="12" s="1"/>
  <c r="BS84" i="12"/>
  <c r="BT84" i="12" s="1"/>
  <c r="A114" i="12" l="1"/>
  <c r="AC113" i="12"/>
  <c r="BE88" i="12"/>
  <c r="CE84" i="12"/>
  <c r="AN84" i="12" s="1"/>
  <c r="AM86" i="12"/>
  <c r="AO86" i="12" s="1"/>
  <c r="CB90" i="12"/>
  <c r="CC89" i="12"/>
  <c r="BZ84" i="12"/>
  <c r="AY84" i="12" s="1"/>
  <c r="AZ84" i="12"/>
  <c r="BR86" i="12"/>
  <c r="CD86" i="12" s="1"/>
  <c r="BW86" i="12"/>
  <c r="BS85" i="12"/>
  <c r="BT85" i="12" s="1"/>
  <c r="BX85" i="12"/>
  <c r="BY85" i="12" s="1"/>
  <c r="AS84" i="12"/>
  <c r="BU84" i="12"/>
  <c r="AR84" i="12" s="1"/>
  <c r="A115" i="12" l="1"/>
  <c r="AC114" i="12"/>
  <c r="BE89" i="12"/>
  <c r="CE85" i="12"/>
  <c r="AN85" i="12" s="1"/>
  <c r="AM87" i="12"/>
  <c r="AO87" i="12" s="1"/>
  <c r="AZ85" i="12"/>
  <c r="CC90" i="12"/>
  <c r="CB91" i="12"/>
  <c r="AS85" i="12"/>
  <c r="BU85" i="12"/>
  <c r="AR85" i="12" s="1"/>
  <c r="BW87" i="12"/>
  <c r="BR87" i="12"/>
  <c r="CD87" i="12" s="1"/>
  <c r="BX86" i="12"/>
  <c r="BY86" i="12" s="1"/>
  <c r="BS86" i="12"/>
  <c r="BT86" i="12" s="1"/>
  <c r="A116" i="12" l="1"/>
  <c r="AC115" i="12"/>
  <c r="BE90" i="12"/>
  <c r="CE86" i="12"/>
  <c r="AN86" i="12" s="1"/>
  <c r="BZ85" i="12"/>
  <c r="AY85" i="12" s="1"/>
  <c r="AM88" i="12"/>
  <c r="AO88" i="12" s="1"/>
  <c r="BZ86" i="12"/>
  <c r="AY86" i="12" s="1"/>
  <c r="CB92" i="12"/>
  <c r="CC91" i="12"/>
  <c r="AS86" i="12"/>
  <c r="BU86" i="12"/>
  <c r="AR86" i="12" s="1"/>
  <c r="BR88" i="12"/>
  <c r="CD88" i="12" s="1"/>
  <c r="BW88" i="12"/>
  <c r="BS87" i="12"/>
  <c r="BT87" i="12" s="1"/>
  <c r="BX87" i="12"/>
  <c r="BY87" i="12" s="1"/>
  <c r="A117" i="12" l="1"/>
  <c r="AC116" i="12"/>
  <c r="BE91" i="12"/>
  <c r="CE87" i="12"/>
  <c r="AN87" i="12" s="1"/>
  <c r="AZ86" i="12"/>
  <c r="AM89" i="12"/>
  <c r="AO89" i="12" s="1"/>
  <c r="CC92" i="12"/>
  <c r="CB93" i="12"/>
  <c r="BZ87" i="12"/>
  <c r="AY87" i="12" s="1"/>
  <c r="AZ87" i="12"/>
  <c r="BR89" i="12"/>
  <c r="BW89" i="12"/>
  <c r="BX88" i="12"/>
  <c r="BY88" i="12" s="1"/>
  <c r="BS88" i="12"/>
  <c r="BT88" i="12" s="1"/>
  <c r="AS87" i="12"/>
  <c r="BU87" i="12"/>
  <c r="AR87" i="12" s="1"/>
  <c r="A118" i="12" l="1"/>
  <c r="AC117" i="12"/>
  <c r="BE92" i="12"/>
  <c r="CD89" i="12"/>
  <c r="CE88" i="12"/>
  <c r="AN88" i="12" s="1"/>
  <c r="AM90" i="12"/>
  <c r="AO90" i="12" s="1"/>
  <c r="AZ88" i="12"/>
  <c r="CB94" i="12"/>
  <c r="CC93" i="12"/>
  <c r="BR90" i="12"/>
  <c r="BW90" i="12"/>
  <c r="BS89" i="12"/>
  <c r="BT89" i="12" s="1"/>
  <c r="BX89" i="12"/>
  <c r="BY89" i="12" s="1"/>
  <c r="AS88" i="12"/>
  <c r="BU88" i="12"/>
  <c r="AR88" i="12" s="1"/>
  <c r="A119" i="12" l="1"/>
  <c r="AC118" i="12"/>
  <c r="BE93" i="12"/>
  <c r="CD90" i="12"/>
  <c r="CE89" i="12"/>
  <c r="AN89" i="12" s="1"/>
  <c r="BZ88" i="12"/>
  <c r="AY88" i="12" s="1"/>
  <c r="AM91" i="12"/>
  <c r="AO91" i="12" s="1"/>
  <c r="CC94" i="12"/>
  <c r="CB95" i="12"/>
  <c r="BZ89" i="12"/>
  <c r="AY89" i="12" s="1"/>
  <c r="AZ89" i="12"/>
  <c r="AS89" i="12"/>
  <c r="BU89" i="12"/>
  <c r="AR89" i="12" s="1"/>
  <c r="BR91" i="12"/>
  <c r="BW91" i="12"/>
  <c r="BX90" i="12"/>
  <c r="BY90" i="12" s="1"/>
  <c r="BS90" i="12"/>
  <c r="BT90" i="12" s="1"/>
  <c r="A120" i="12" l="1"/>
  <c r="AC119" i="12"/>
  <c r="BE94" i="12"/>
  <c r="CD91" i="12"/>
  <c r="CE90" i="12"/>
  <c r="AN90" i="12" s="1"/>
  <c r="AM92" i="12"/>
  <c r="AO92" i="12" s="1"/>
  <c r="BZ90" i="12"/>
  <c r="AY90" i="12" s="1"/>
  <c r="CC95" i="12"/>
  <c r="CB96" i="12"/>
  <c r="BR92" i="12"/>
  <c r="BW92" i="12"/>
  <c r="BS91" i="12"/>
  <c r="BT91" i="12" s="1"/>
  <c r="BX91" i="12"/>
  <c r="BY91" i="12" s="1"/>
  <c r="AS90" i="12"/>
  <c r="BU90" i="12"/>
  <c r="AR90" i="12" s="1"/>
  <c r="A121" i="12" l="1"/>
  <c r="AC120" i="12"/>
  <c r="BE95" i="12"/>
  <c r="CD92" i="12"/>
  <c r="CE91" i="12"/>
  <c r="AN91" i="12" s="1"/>
  <c r="AZ90" i="12"/>
  <c r="AM93" i="12"/>
  <c r="AO93" i="12" s="1"/>
  <c r="AZ91" i="12"/>
  <c r="CC96" i="12"/>
  <c r="CB97" i="12"/>
  <c r="BR93" i="12"/>
  <c r="BW93" i="12"/>
  <c r="BX92" i="12"/>
  <c r="BY92" i="12" s="1"/>
  <c r="BS92" i="12"/>
  <c r="BT92" i="12" s="1"/>
  <c r="AS91" i="12"/>
  <c r="BU91" i="12"/>
  <c r="AR91" i="12" s="1"/>
  <c r="A122" i="12" l="1"/>
  <c r="AC121" i="12"/>
  <c r="BE96" i="12"/>
  <c r="CD93" i="12"/>
  <c r="CE92" i="12"/>
  <c r="AN92" i="12" s="1"/>
  <c r="BZ91" i="12"/>
  <c r="AY91" i="12" s="1"/>
  <c r="AM94" i="12"/>
  <c r="AO94" i="12" s="1"/>
  <c r="CB98" i="12"/>
  <c r="CC97" i="12"/>
  <c r="AZ92" i="12"/>
  <c r="BZ92" i="12"/>
  <c r="AY92" i="12" s="1"/>
  <c r="AS92" i="12"/>
  <c r="BU92" i="12"/>
  <c r="AR92" i="12" s="1"/>
  <c r="BR94" i="12"/>
  <c r="BW94" i="12"/>
  <c r="BS93" i="12"/>
  <c r="BT93" i="12" s="1"/>
  <c r="BX93" i="12"/>
  <c r="BY93" i="12" s="1"/>
  <c r="A123" i="12" l="1"/>
  <c r="AC122" i="12"/>
  <c r="BE97" i="12"/>
  <c r="CD94" i="12"/>
  <c r="CE93" i="12"/>
  <c r="AN93" i="12" s="1"/>
  <c r="AM95" i="12"/>
  <c r="AO95" i="12" s="1"/>
  <c r="AZ93" i="12"/>
  <c r="CC98" i="12"/>
  <c r="CB99" i="12"/>
  <c r="BR95" i="12"/>
  <c r="BW95" i="12"/>
  <c r="BX94" i="12"/>
  <c r="BY94" i="12" s="1"/>
  <c r="BS94" i="12"/>
  <c r="BT94" i="12" s="1"/>
  <c r="AS93" i="12"/>
  <c r="BU93" i="12"/>
  <c r="AR93" i="12" s="1"/>
  <c r="A124" i="12" l="1"/>
  <c r="AC123" i="12"/>
  <c r="BE98" i="12"/>
  <c r="CD95" i="12"/>
  <c r="CE94" i="12"/>
  <c r="AN94" i="12" s="1"/>
  <c r="BZ93" i="12"/>
  <c r="AY93" i="12" s="1"/>
  <c r="AM96" i="12"/>
  <c r="AO96" i="12" s="1"/>
  <c r="CC99" i="12"/>
  <c r="CB100" i="12"/>
  <c r="AZ94" i="12"/>
  <c r="BZ94" i="12"/>
  <c r="AY94" i="12" s="1"/>
  <c r="AS94" i="12"/>
  <c r="BU94" i="12"/>
  <c r="AR94" i="12" s="1"/>
  <c r="BR96" i="12"/>
  <c r="BW96" i="12"/>
  <c r="BS95" i="12"/>
  <c r="BT95" i="12" s="1"/>
  <c r="BX95" i="12"/>
  <c r="BY95" i="12" s="1"/>
  <c r="A125" i="12" l="1"/>
  <c r="AC124" i="12"/>
  <c r="BE99" i="12"/>
  <c r="CD96" i="12"/>
  <c r="CE95" i="12"/>
  <c r="AN95" i="12" s="1"/>
  <c r="AM97" i="12"/>
  <c r="AO97" i="12" s="1"/>
  <c r="CC100" i="12"/>
  <c r="CB101" i="12"/>
  <c r="BZ95" i="12"/>
  <c r="AY95" i="12" s="1"/>
  <c r="AZ95" i="12"/>
  <c r="AS95" i="12"/>
  <c r="BU95" i="12"/>
  <c r="AR95" i="12" s="1"/>
  <c r="BR97" i="12"/>
  <c r="BW97" i="12"/>
  <c r="BX96" i="12"/>
  <c r="BY96" i="12" s="1"/>
  <c r="BS96" i="12"/>
  <c r="BT96" i="12" s="1"/>
  <c r="A126" i="12" l="1"/>
  <c r="AC125" i="12"/>
  <c r="BE100" i="12"/>
  <c r="CD97" i="12"/>
  <c r="CE96" i="12"/>
  <c r="AN96" i="12" s="1"/>
  <c r="AM98" i="12"/>
  <c r="AO98" i="12" s="1"/>
  <c r="CB102" i="12"/>
  <c r="CC101" i="12"/>
  <c r="AZ96" i="12"/>
  <c r="BZ96" i="12"/>
  <c r="AY96" i="12" s="1"/>
  <c r="BR98" i="12"/>
  <c r="BW98" i="12"/>
  <c r="BS97" i="12"/>
  <c r="BT97" i="12" s="1"/>
  <c r="BX97" i="12"/>
  <c r="BY97" i="12" s="1"/>
  <c r="AS96" i="12"/>
  <c r="BU96" i="12"/>
  <c r="AR96" i="12" s="1"/>
  <c r="A127" i="12" l="1"/>
  <c r="AC126" i="12"/>
  <c r="BE101" i="12"/>
  <c r="CD98" i="12"/>
  <c r="CE97" i="12"/>
  <c r="AN97" i="12" s="1"/>
  <c r="AM99" i="12"/>
  <c r="AO99" i="12" s="1"/>
  <c r="CC102" i="12"/>
  <c r="CB103" i="12"/>
  <c r="BZ97" i="12"/>
  <c r="AY97" i="12" s="1"/>
  <c r="AZ97" i="12"/>
  <c r="AS97" i="12"/>
  <c r="BU97" i="12"/>
  <c r="AR97" i="12" s="1"/>
  <c r="BR99" i="12"/>
  <c r="BW99" i="12"/>
  <c r="BX98" i="12"/>
  <c r="BY98" i="12" s="1"/>
  <c r="BS98" i="12"/>
  <c r="BT98" i="12" s="1"/>
  <c r="A128" i="12" l="1"/>
  <c r="AC127" i="12"/>
  <c r="BE102" i="12"/>
  <c r="CD99" i="12"/>
  <c r="CE98" i="12"/>
  <c r="AN98" i="12" s="1"/>
  <c r="AM100" i="12"/>
  <c r="AO100" i="12" s="1"/>
  <c r="CC103" i="12"/>
  <c r="CB104" i="12"/>
  <c r="BZ98" i="12"/>
  <c r="AY98" i="12" s="1"/>
  <c r="AZ98" i="12"/>
  <c r="BR100" i="12"/>
  <c r="BW100" i="12"/>
  <c r="BS99" i="12"/>
  <c r="BT99" i="12" s="1"/>
  <c r="BX99" i="12"/>
  <c r="BY99" i="12" s="1"/>
  <c r="AS98" i="12"/>
  <c r="BU98" i="12"/>
  <c r="AR98" i="12" s="1"/>
  <c r="A129" i="12" l="1"/>
  <c r="AC128" i="12"/>
  <c r="BE103" i="12"/>
  <c r="CD100" i="12"/>
  <c r="CE99" i="12"/>
  <c r="AN99" i="12" s="1"/>
  <c r="AM101" i="12"/>
  <c r="AO101" i="12" s="1"/>
  <c r="AZ99" i="12"/>
  <c r="CC104" i="12"/>
  <c r="CB105" i="12"/>
  <c r="BZ99" i="12"/>
  <c r="AY99" i="12" s="1"/>
  <c r="AS99" i="12"/>
  <c r="BU99" i="12"/>
  <c r="AR99" i="12" s="1"/>
  <c r="BR101" i="12"/>
  <c r="BW101" i="12"/>
  <c r="BX100" i="12"/>
  <c r="BY100" i="12" s="1"/>
  <c r="BS100" i="12"/>
  <c r="BT100" i="12" s="1"/>
  <c r="A130" i="12" l="1"/>
  <c r="AC129" i="12"/>
  <c r="BE104" i="12"/>
  <c r="CD101" i="12"/>
  <c r="CE100" i="12"/>
  <c r="AN100" i="12" s="1"/>
  <c r="AM102" i="12"/>
  <c r="AO102" i="12" s="1"/>
  <c r="CB106" i="12"/>
  <c r="CC105" i="12"/>
  <c r="AZ100" i="12"/>
  <c r="BZ100" i="12"/>
  <c r="AY100" i="12" s="1"/>
  <c r="BR102" i="12"/>
  <c r="BW102" i="12"/>
  <c r="BS101" i="12"/>
  <c r="BT101" i="12" s="1"/>
  <c r="BX101" i="12"/>
  <c r="BY101" i="12" s="1"/>
  <c r="AS100" i="12"/>
  <c r="BU100" i="12"/>
  <c r="AR100" i="12" s="1"/>
  <c r="A131" i="12" l="1"/>
  <c r="AC130" i="12"/>
  <c r="BE105" i="12"/>
  <c r="CD102" i="12"/>
  <c r="CE101" i="12"/>
  <c r="AN101" i="12" s="1"/>
  <c r="AM103" i="12"/>
  <c r="AO103" i="12" s="1"/>
  <c r="AZ101" i="12"/>
  <c r="CC106" i="12"/>
  <c r="CB107" i="12"/>
  <c r="AS101" i="12"/>
  <c r="BU101" i="12"/>
  <c r="AR101" i="12" s="1"/>
  <c r="BR103" i="12"/>
  <c r="BW103" i="12"/>
  <c r="BX102" i="12"/>
  <c r="BY102" i="12" s="1"/>
  <c r="BS102" i="12"/>
  <c r="BT102" i="12" s="1"/>
  <c r="A132" i="12" l="1"/>
  <c r="AC131" i="12"/>
  <c r="BE106" i="12"/>
  <c r="CD103" i="12"/>
  <c r="CE102" i="12"/>
  <c r="AN102" i="12" s="1"/>
  <c r="BZ101" i="12"/>
  <c r="AY101" i="12" s="1"/>
  <c r="AM104" i="12"/>
  <c r="AO104" i="12" s="1"/>
  <c r="CC107" i="12"/>
  <c r="CB108" i="12"/>
  <c r="AZ102" i="12"/>
  <c r="BZ102" i="12"/>
  <c r="AY102" i="12" s="1"/>
  <c r="BR104" i="12"/>
  <c r="BW104" i="12"/>
  <c r="BS103" i="12"/>
  <c r="BT103" i="12" s="1"/>
  <c r="BX103" i="12"/>
  <c r="BY103" i="12" s="1"/>
  <c r="AS102" i="12"/>
  <c r="BU102" i="12"/>
  <c r="AR102" i="12" s="1"/>
  <c r="A133" i="12" l="1"/>
  <c r="AC132" i="12"/>
  <c r="BE107" i="12"/>
  <c r="CD104" i="12"/>
  <c r="CE103" i="12"/>
  <c r="AN103" i="12" s="1"/>
  <c r="AM105" i="12"/>
  <c r="AO105" i="12" s="1"/>
  <c r="CC108" i="12"/>
  <c r="CB109" i="12"/>
  <c r="AZ103" i="12"/>
  <c r="BZ103" i="12"/>
  <c r="AY103" i="12" s="1"/>
  <c r="BR105" i="12"/>
  <c r="BW105" i="12"/>
  <c r="BX104" i="12"/>
  <c r="BY104" i="12" s="1"/>
  <c r="BS104" i="12"/>
  <c r="BT104" i="12" s="1"/>
  <c r="AS103" i="12"/>
  <c r="BU103" i="12"/>
  <c r="AR103" i="12" s="1"/>
  <c r="A134" i="12" l="1"/>
  <c r="AC133" i="12"/>
  <c r="BE108" i="12"/>
  <c r="CD105" i="12"/>
  <c r="CE104" i="12"/>
  <c r="AN104" i="12" s="1"/>
  <c r="AM106" i="12"/>
  <c r="AO106" i="12" s="1"/>
  <c r="CB110" i="12"/>
  <c r="CC109" i="12"/>
  <c r="AZ104" i="12"/>
  <c r="BZ104" i="12"/>
  <c r="AY104" i="12" s="1"/>
  <c r="BR106" i="12"/>
  <c r="BW106" i="12"/>
  <c r="BS105" i="12"/>
  <c r="BT105" i="12" s="1"/>
  <c r="BX105" i="12"/>
  <c r="BY105" i="12" s="1"/>
  <c r="AS104" i="12"/>
  <c r="BU104" i="12"/>
  <c r="AR104" i="12" s="1"/>
  <c r="A135" i="12" l="1"/>
  <c r="AC134" i="12"/>
  <c r="BE109" i="12"/>
  <c r="CD106" i="12"/>
  <c r="CE105" i="12"/>
  <c r="AN105" i="12" s="1"/>
  <c r="AM107" i="12"/>
  <c r="AO107" i="12" s="1"/>
  <c r="BZ105" i="12"/>
  <c r="AY105" i="12" s="1"/>
  <c r="CC110" i="12"/>
  <c r="CB111" i="12"/>
  <c r="AS105" i="12"/>
  <c r="BU105" i="12"/>
  <c r="AR105" i="12" s="1"/>
  <c r="BR107" i="12"/>
  <c r="BW107" i="12"/>
  <c r="BX106" i="12"/>
  <c r="BY106" i="12" s="1"/>
  <c r="BS106" i="12"/>
  <c r="BT106" i="12" s="1"/>
  <c r="A136" i="12" l="1"/>
  <c r="AC135" i="12"/>
  <c r="BE110" i="12"/>
  <c r="CD107" i="12"/>
  <c r="CE106" i="12"/>
  <c r="AN106" i="12" s="1"/>
  <c r="AZ105" i="12"/>
  <c r="AM108" i="12"/>
  <c r="AO108" i="12" s="1"/>
  <c r="CC111" i="12"/>
  <c r="CB112" i="12"/>
  <c r="AZ106" i="12"/>
  <c r="BZ106" i="12"/>
  <c r="AY106" i="12" s="1"/>
  <c r="BR108" i="12"/>
  <c r="BW108" i="12"/>
  <c r="BS107" i="12"/>
  <c r="BT107" i="12" s="1"/>
  <c r="BX107" i="12"/>
  <c r="BY107" i="12" s="1"/>
  <c r="AS106" i="12"/>
  <c r="BU106" i="12"/>
  <c r="AR106" i="12" s="1"/>
  <c r="A137" i="12" l="1"/>
  <c r="AC136" i="12"/>
  <c r="BE111" i="12"/>
  <c r="CD108" i="12"/>
  <c r="CE107" i="12"/>
  <c r="AN107" i="12" s="1"/>
  <c r="AM109" i="12"/>
  <c r="AO109" i="12" s="1"/>
  <c r="CC112" i="12"/>
  <c r="CB113" i="12"/>
  <c r="AZ107" i="12"/>
  <c r="BZ107" i="12"/>
  <c r="AY107" i="12" s="1"/>
  <c r="AS107" i="12"/>
  <c r="BU107" i="12"/>
  <c r="AR107" i="12" s="1"/>
  <c r="BR109" i="12"/>
  <c r="BW109" i="12"/>
  <c r="BX108" i="12"/>
  <c r="BY108" i="12" s="1"/>
  <c r="BS108" i="12"/>
  <c r="BT108" i="12" s="1"/>
  <c r="A138" i="12" l="1"/>
  <c r="AC137" i="12"/>
  <c r="BE112" i="12"/>
  <c r="CD109" i="12"/>
  <c r="CE108" i="12"/>
  <c r="AN108" i="12" s="1"/>
  <c r="AM110" i="12"/>
  <c r="AO110" i="12" s="1"/>
  <c r="AZ108" i="12"/>
  <c r="CB114" i="12"/>
  <c r="CC113" i="12"/>
  <c r="BR110" i="12"/>
  <c r="BW110" i="12"/>
  <c r="BS109" i="12"/>
  <c r="BT109" i="12" s="1"/>
  <c r="BX109" i="12"/>
  <c r="BY109" i="12" s="1"/>
  <c r="AS108" i="12"/>
  <c r="BU108" i="12"/>
  <c r="AR108" i="12" s="1"/>
  <c r="A139" i="12" l="1"/>
  <c r="AC138" i="12"/>
  <c r="BE113" i="12"/>
  <c r="CD110" i="12"/>
  <c r="CE109" i="12"/>
  <c r="AN109" i="12" s="1"/>
  <c r="BZ108" i="12"/>
  <c r="AY108" i="12" s="1"/>
  <c r="AM111" i="12"/>
  <c r="AO111" i="12" s="1"/>
  <c r="CC114" i="12"/>
  <c r="CB115" i="12"/>
  <c r="BZ109" i="12"/>
  <c r="AY109" i="12" s="1"/>
  <c r="AZ109" i="12"/>
  <c r="BR111" i="12"/>
  <c r="BW111" i="12"/>
  <c r="BX110" i="12"/>
  <c r="BY110" i="12" s="1"/>
  <c r="BS110" i="12"/>
  <c r="BT110" i="12" s="1"/>
  <c r="AS109" i="12"/>
  <c r="BU109" i="12"/>
  <c r="AR109" i="12" s="1"/>
  <c r="A140" i="12" l="1"/>
  <c r="AC139" i="12"/>
  <c r="BE114" i="12"/>
  <c r="CD111" i="12"/>
  <c r="CE110" i="12"/>
  <c r="AN110" i="12" s="1"/>
  <c r="AM112" i="12"/>
  <c r="AO112" i="12" s="1"/>
  <c r="AZ110" i="12"/>
  <c r="CC115" i="12"/>
  <c r="CB116" i="12"/>
  <c r="BZ110" i="12"/>
  <c r="AY110" i="12" s="1"/>
  <c r="BR112" i="12"/>
  <c r="BW112" i="12"/>
  <c r="BS111" i="12"/>
  <c r="BT111" i="12" s="1"/>
  <c r="BX111" i="12"/>
  <c r="BY111" i="12" s="1"/>
  <c r="AS110" i="12"/>
  <c r="BU110" i="12"/>
  <c r="AR110" i="12" s="1"/>
  <c r="A141" i="12" l="1"/>
  <c r="AC140" i="12"/>
  <c r="BE115" i="12"/>
  <c r="CD112" i="12"/>
  <c r="CE111" i="12"/>
  <c r="AN111" i="12" s="1"/>
  <c r="AM113" i="12"/>
  <c r="AO113" i="12" s="1"/>
  <c r="CC116" i="12"/>
  <c r="CB117" i="12"/>
  <c r="AZ111" i="12"/>
  <c r="BZ111" i="12"/>
  <c r="AY111" i="12" s="1"/>
  <c r="AS111" i="12"/>
  <c r="BU111" i="12"/>
  <c r="AR111" i="12" s="1"/>
  <c r="BR113" i="12"/>
  <c r="BW113" i="12"/>
  <c r="BX112" i="12"/>
  <c r="BY112" i="12" s="1"/>
  <c r="BS112" i="12"/>
  <c r="BT112" i="12" s="1"/>
  <c r="A142" i="12" l="1"/>
  <c r="AC141" i="12"/>
  <c r="BE116" i="12"/>
  <c r="CD113" i="12"/>
  <c r="CE112" i="12"/>
  <c r="AN112" i="12" s="1"/>
  <c r="AM114" i="12"/>
  <c r="AO114" i="12" s="1"/>
  <c r="CB118" i="12"/>
  <c r="CC117" i="12"/>
  <c r="AZ112" i="12"/>
  <c r="BZ112" i="12"/>
  <c r="AY112" i="12" s="1"/>
  <c r="AS112" i="12"/>
  <c r="BU112" i="12"/>
  <c r="AR112" i="12" s="1"/>
  <c r="BR114" i="12"/>
  <c r="BW114" i="12"/>
  <c r="BS113" i="12"/>
  <c r="BT113" i="12" s="1"/>
  <c r="BX113" i="12"/>
  <c r="BY113" i="12" s="1"/>
  <c r="A143" i="12" l="1"/>
  <c r="AC142" i="12"/>
  <c r="BE117" i="12"/>
  <c r="CD114" i="12"/>
  <c r="CE113" i="12"/>
  <c r="AN113" i="12" s="1"/>
  <c r="AM115" i="12"/>
  <c r="AO115" i="12" s="1"/>
  <c r="CC118" i="12"/>
  <c r="CB119" i="12"/>
  <c r="AZ113" i="12"/>
  <c r="BZ113" i="12"/>
  <c r="AY113" i="12" s="1"/>
  <c r="AS113" i="12"/>
  <c r="BU113" i="12"/>
  <c r="AR113" i="12" s="1"/>
  <c r="BR115" i="12"/>
  <c r="BW115" i="12"/>
  <c r="BX114" i="12"/>
  <c r="BY114" i="12" s="1"/>
  <c r="BS114" i="12"/>
  <c r="BT114" i="12" s="1"/>
  <c r="A144" i="12" l="1"/>
  <c r="AC143" i="12"/>
  <c r="BE118" i="12"/>
  <c r="CD115" i="12"/>
  <c r="CE114" i="12"/>
  <c r="AN114" i="12" s="1"/>
  <c r="AM116" i="12"/>
  <c r="AO116" i="12" s="1"/>
  <c r="BZ114" i="12"/>
  <c r="AY114" i="12" s="1"/>
  <c r="CC119" i="12"/>
  <c r="CB120" i="12"/>
  <c r="BR116" i="12"/>
  <c r="BW116" i="12"/>
  <c r="BS115" i="12"/>
  <c r="BT115" i="12" s="1"/>
  <c r="BX115" i="12"/>
  <c r="BY115" i="12" s="1"/>
  <c r="AS114" i="12"/>
  <c r="BU114" i="12"/>
  <c r="AR114" i="12" s="1"/>
  <c r="A145" i="12" l="1"/>
  <c r="AC144" i="12"/>
  <c r="BE119" i="12"/>
  <c r="CD116" i="12"/>
  <c r="CE115" i="12"/>
  <c r="AN115" i="12" s="1"/>
  <c r="AZ114" i="12"/>
  <c r="AM117" i="12"/>
  <c r="AO117" i="12" s="1"/>
  <c r="BZ115" i="12"/>
  <c r="AY115" i="12" s="1"/>
  <c r="CC120" i="12"/>
  <c r="CB121" i="12"/>
  <c r="BR117" i="12"/>
  <c r="BW117" i="12"/>
  <c r="BX116" i="12"/>
  <c r="BY116" i="12" s="1"/>
  <c r="BS116" i="12"/>
  <c r="BT116" i="12" s="1"/>
  <c r="AS115" i="12"/>
  <c r="BU115" i="12"/>
  <c r="AR115" i="12" s="1"/>
  <c r="A146" i="12" l="1"/>
  <c r="AC146" i="12" s="1"/>
  <c r="AC145" i="12"/>
  <c r="BE120" i="12"/>
  <c r="CD117" i="12"/>
  <c r="CE116" i="12"/>
  <c r="AN116" i="12" s="1"/>
  <c r="AZ115" i="12"/>
  <c r="AM118" i="12"/>
  <c r="AO118" i="12" s="1"/>
  <c r="BZ116" i="12"/>
  <c r="AY116" i="12" s="1"/>
  <c r="CB122" i="12"/>
  <c r="CC121" i="12"/>
  <c r="AZ116" i="12"/>
  <c r="BR118" i="12"/>
  <c r="BW118" i="12"/>
  <c r="BS117" i="12"/>
  <c r="BT117" i="12" s="1"/>
  <c r="BX117" i="12"/>
  <c r="BY117" i="12" s="1"/>
  <c r="AS116" i="12"/>
  <c r="BU116" i="12"/>
  <c r="AR116" i="12" s="1"/>
  <c r="BE121" i="12" l="1"/>
  <c r="CD118" i="12"/>
  <c r="CE117" i="12"/>
  <c r="AN117" i="12" s="1"/>
  <c r="AM119" i="12"/>
  <c r="AO119" i="12" s="1"/>
  <c r="CC122" i="12"/>
  <c r="CB123" i="12"/>
  <c r="AZ117" i="12"/>
  <c r="BZ117" i="12"/>
  <c r="AY117" i="12" s="1"/>
  <c r="BR119" i="12"/>
  <c r="BW119" i="12"/>
  <c r="BX118" i="12"/>
  <c r="BY118" i="12" s="1"/>
  <c r="BS118" i="12"/>
  <c r="BT118" i="12" s="1"/>
  <c r="AS117" i="12"/>
  <c r="BU117" i="12"/>
  <c r="AR117" i="12" s="1"/>
  <c r="BE122" i="12" l="1"/>
  <c r="CD119" i="12"/>
  <c r="CE118" i="12"/>
  <c r="AN118" i="12" s="1"/>
  <c r="AM120" i="12"/>
  <c r="AO120" i="12" s="1"/>
  <c r="CB124" i="12"/>
  <c r="CC123" i="12"/>
  <c r="AZ118" i="12"/>
  <c r="BZ118" i="12"/>
  <c r="AY118" i="12" s="1"/>
  <c r="AS118" i="12"/>
  <c r="BU118" i="12"/>
  <c r="AR118" i="12" s="1"/>
  <c r="BR120" i="12"/>
  <c r="BW120" i="12"/>
  <c r="BS119" i="12"/>
  <c r="BT119" i="12" s="1"/>
  <c r="BX119" i="12"/>
  <c r="BY119" i="12" s="1"/>
  <c r="BE123" i="12" l="1"/>
  <c r="CD120" i="12"/>
  <c r="CE119" i="12"/>
  <c r="AN119" i="12" s="1"/>
  <c r="AM121" i="12"/>
  <c r="AO121" i="12" s="1"/>
  <c r="BZ119" i="12"/>
  <c r="AY119" i="12" s="1"/>
  <c r="CB125" i="12"/>
  <c r="CC124" i="12"/>
  <c r="AS119" i="12"/>
  <c r="BU119" i="12"/>
  <c r="AR119" i="12" s="1"/>
  <c r="BR121" i="12"/>
  <c r="BW121" i="12"/>
  <c r="BX120" i="12"/>
  <c r="BY120" i="12" s="1"/>
  <c r="BS120" i="12"/>
  <c r="BT120" i="12" s="1"/>
  <c r="BE124" i="12" l="1"/>
  <c r="CD121" i="12"/>
  <c r="CE120" i="12"/>
  <c r="AN120" i="12" s="1"/>
  <c r="AZ119" i="12"/>
  <c r="AM122" i="12"/>
  <c r="AO122" i="12" s="1"/>
  <c r="BZ120" i="12"/>
  <c r="AY120" i="12" s="1"/>
  <c r="CB126" i="12"/>
  <c r="CC125" i="12"/>
  <c r="BR122" i="12"/>
  <c r="BW122" i="12"/>
  <c r="BS121" i="12"/>
  <c r="BT121" i="12" s="1"/>
  <c r="BX121" i="12"/>
  <c r="BY121" i="12" s="1"/>
  <c r="AS120" i="12"/>
  <c r="BU120" i="12"/>
  <c r="AR120" i="12" s="1"/>
  <c r="BE125" i="12" l="1"/>
  <c r="CD122" i="12"/>
  <c r="CE121" i="12"/>
  <c r="AN121" i="12" s="1"/>
  <c r="AM123" i="12"/>
  <c r="AO123" i="12" s="1"/>
  <c r="AZ120" i="12"/>
  <c r="AZ121" i="12"/>
  <c r="CC126" i="12"/>
  <c r="CB127" i="12"/>
  <c r="AS121" i="12"/>
  <c r="BU121" i="12"/>
  <c r="AR121" i="12" s="1"/>
  <c r="BR123" i="12"/>
  <c r="BW123" i="12"/>
  <c r="BX122" i="12"/>
  <c r="BY122" i="12" s="1"/>
  <c r="BS122" i="12"/>
  <c r="BT122" i="12" s="1"/>
  <c r="BE126" i="12" l="1"/>
  <c r="CD123" i="12"/>
  <c r="CE122" i="12"/>
  <c r="AN122" i="12" s="1"/>
  <c r="BZ121" i="12"/>
  <c r="AY121" i="12" s="1"/>
  <c r="AM124" i="12"/>
  <c r="AO124" i="12" s="1"/>
  <c r="BZ122" i="12"/>
  <c r="AY122" i="12" s="1"/>
  <c r="CB128" i="12"/>
  <c r="CC127" i="12"/>
  <c r="AZ122" i="12"/>
  <c r="BR124" i="12"/>
  <c r="BW124" i="12"/>
  <c r="BS123" i="12"/>
  <c r="BT123" i="12" s="1"/>
  <c r="BX123" i="12"/>
  <c r="BY123" i="12" s="1"/>
  <c r="AS122" i="12"/>
  <c r="BU122" i="12"/>
  <c r="AR122" i="12" s="1"/>
  <c r="BE127" i="12" l="1"/>
  <c r="CD124" i="12"/>
  <c r="CE123" i="12"/>
  <c r="AN123" i="12" s="1"/>
  <c r="AM125" i="12"/>
  <c r="AO125" i="12" s="1"/>
  <c r="BZ123" i="12"/>
  <c r="AY123" i="12" s="1"/>
  <c r="CC128" i="12"/>
  <c r="CB129" i="12"/>
  <c r="AS123" i="12"/>
  <c r="BU123" i="12"/>
  <c r="AR123" i="12" s="1"/>
  <c r="BR125" i="12"/>
  <c r="BW125" i="12"/>
  <c r="BX124" i="12"/>
  <c r="BY124" i="12" s="1"/>
  <c r="BS124" i="12"/>
  <c r="BT124" i="12" s="1"/>
  <c r="BE128" i="12" l="1"/>
  <c r="CD125" i="12"/>
  <c r="CE124" i="12"/>
  <c r="AN124" i="12" s="1"/>
  <c r="AZ123" i="12"/>
  <c r="AM126" i="12"/>
  <c r="AO126" i="12" s="1"/>
  <c r="CB130" i="12"/>
  <c r="CC129" i="12"/>
  <c r="BZ124" i="12"/>
  <c r="AY124" i="12" s="1"/>
  <c r="AZ124" i="12"/>
  <c r="AS124" i="12"/>
  <c r="BU124" i="12"/>
  <c r="AR124" i="12" s="1"/>
  <c r="BW126" i="12"/>
  <c r="BR126" i="12"/>
  <c r="BS125" i="12"/>
  <c r="BT125" i="12" s="1"/>
  <c r="BX125" i="12"/>
  <c r="BY125" i="12" s="1"/>
  <c r="BE129" i="12" l="1"/>
  <c r="CD126" i="12"/>
  <c r="CE125" i="12"/>
  <c r="AN125" i="12" s="1"/>
  <c r="AM127" i="12"/>
  <c r="AO127" i="12" s="1"/>
  <c r="AZ125" i="12"/>
  <c r="CC130" i="12"/>
  <c r="CB131" i="12"/>
  <c r="BR127" i="12"/>
  <c r="BW127" i="12"/>
  <c r="BX126" i="12"/>
  <c r="BY126" i="12" s="1"/>
  <c r="BS126" i="12"/>
  <c r="BT126" i="12" s="1"/>
  <c r="AS125" i="12"/>
  <c r="BU125" i="12"/>
  <c r="AR125" i="12" s="1"/>
  <c r="BE130" i="12" l="1"/>
  <c r="CD127" i="12"/>
  <c r="CE126" i="12"/>
  <c r="AN126" i="12" s="1"/>
  <c r="BZ125" i="12"/>
  <c r="AY125" i="12" s="1"/>
  <c r="AM128" i="12"/>
  <c r="AO128" i="12" s="1"/>
  <c r="CB132" i="12"/>
  <c r="CC131" i="12"/>
  <c r="BZ126" i="12"/>
  <c r="AY126" i="12" s="1"/>
  <c r="AZ126" i="12"/>
  <c r="AS126" i="12"/>
  <c r="BU126" i="12"/>
  <c r="AR126" i="12" s="1"/>
  <c r="BR128" i="12"/>
  <c r="BW128" i="12"/>
  <c r="BS127" i="12"/>
  <c r="BT127" i="12" s="1"/>
  <c r="BX127" i="12"/>
  <c r="BY127" i="12" s="1"/>
  <c r="BE131" i="12" l="1"/>
  <c r="CD128" i="12"/>
  <c r="CE127" i="12"/>
  <c r="AN127" i="12" s="1"/>
  <c r="AM129" i="12"/>
  <c r="AO129" i="12" s="1"/>
  <c r="CB133" i="12"/>
  <c r="CC132" i="12"/>
  <c r="AZ127" i="12"/>
  <c r="BZ127" i="12"/>
  <c r="AY127" i="12" s="1"/>
  <c r="AS127" i="12"/>
  <c r="BU127" i="12"/>
  <c r="AR127" i="12" s="1"/>
  <c r="BR129" i="12"/>
  <c r="BW129" i="12"/>
  <c r="BX128" i="12"/>
  <c r="BY128" i="12" s="1"/>
  <c r="BS128" i="12"/>
  <c r="BT128" i="12" s="1"/>
  <c r="BE132" i="12" l="1"/>
  <c r="CD129" i="12"/>
  <c r="CE128" i="12"/>
  <c r="AN128" i="12" s="1"/>
  <c r="AM130" i="12"/>
  <c r="AO130" i="12" s="1"/>
  <c r="CB134" i="12"/>
  <c r="CC133" i="12"/>
  <c r="AZ128" i="12"/>
  <c r="BZ128" i="12"/>
  <c r="AY128" i="12" s="1"/>
  <c r="AS128" i="12"/>
  <c r="BU128" i="12"/>
  <c r="AR128" i="12" s="1"/>
  <c r="BR130" i="12"/>
  <c r="BW130" i="12"/>
  <c r="BS129" i="12"/>
  <c r="BT129" i="12" s="1"/>
  <c r="BX129" i="12"/>
  <c r="BY129" i="12" s="1"/>
  <c r="BE133" i="12" l="1"/>
  <c r="CD130" i="12"/>
  <c r="CE129" i="12"/>
  <c r="AN129" i="12" s="1"/>
  <c r="AM131" i="12"/>
  <c r="AO131" i="12" s="1"/>
  <c r="AZ129" i="12"/>
  <c r="CB135" i="12"/>
  <c r="CC134" i="12"/>
  <c r="AS129" i="12"/>
  <c r="BU129" i="12"/>
  <c r="AR129" i="12" s="1"/>
  <c r="BR131" i="12"/>
  <c r="BW131" i="12"/>
  <c r="BX130" i="12"/>
  <c r="BY130" i="12" s="1"/>
  <c r="BS130" i="12"/>
  <c r="BT130" i="12" s="1"/>
  <c r="BE134" i="12" l="1"/>
  <c r="CD131" i="12"/>
  <c r="CE130" i="12"/>
  <c r="AN130" i="12" s="1"/>
  <c r="BZ129" i="12"/>
  <c r="AY129" i="12" s="1"/>
  <c r="AM132" i="12"/>
  <c r="AO132" i="12" s="1"/>
  <c r="BZ130" i="12"/>
  <c r="AY130" i="12" s="1"/>
  <c r="CB136" i="12"/>
  <c r="CC135" i="12"/>
  <c r="BR132" i="12"/>
  <c r="BW132" i="12"/>
  <c r="BS131" i="12"/>
  <c r="BT131" i="12" s="1"/>
  <c r="BX131" i="12"/>
  <c r="BY131" i="12" s="1"/>
  <c r="AS130" i="12"/>
  <c r="BU130" i="12"/>
  <c r="AR130" i="12" s="1"/>
  <c r="BE135" i="12" l="1"/>
  <c r="CD132" i="12"/>
  <c r="CE131" i="12"/>
  <c r="AN131" i="12" s="1"/>
  <c r="AZ130" i="12"/>
  <c r="AM133" i="12"/>
  <c r="AO133" i="12" s="1"/>
  <c r="BZ131" i="12"/>
  <c r="AY131" i="12" s="1"/>
  <c r="CB137" i="12"/>
  <c r="CC136" i="12"/>
  <c r="AS131" i="12"/>
  <c r="BU131" i="12"/>
  <c r="AR131" i="12" s="1"/>
  <c r="BR133" i="12"/>
  <c r="BW133" i="12"/>
  <c r="BX132" i="12"/>
  <c r="BY132" i="12" s="1"/>
  <c r="BS132" i="12"/>
  <c r="BT132" i="12" s="1"/>
  <c r="BE136" i="12" l="1"/>
  <c r="CD133" i="12"/>
  <c r="CE132" i="12"/>
  <c r="AN132" i="12" s="1"/>
  <c r="AZ131" i="12"/>
  <c r="AM134" i="12"/>
  <c r="AO134" i="12" s="1"/>
  <c r="CB138" i="12"/>
  <c r="CC137" i="12"/>
  <c r="BZ132" i="12"/>
  <c r="AY132" i="12" s="1"/>
  <c r="AZ132" i="12"/>
  <c r="AS132" i="12"/>
  <c r="BU132" i="12"/>
  <c r="AR132" i="12" s="1"/>
  <c r="BR134" i="12"/>
  <c r="BW134" i="12"/>
  <c r="BS133" i="12"/>
  <c r="BT133" i="12" s="1"/>
  <c r="BX133" i="12"/>
  <c r="BY133" i="12" s="1"/>
  <c r="BE137" i="12" l="1"/>
  <c r="CD134" i="12"/>
  <c r="CE133" i="12"/>
  <c r="AN133" i="12" s="1"/>
  <c r="AM135" i="12"/>
  <c r="AO135" i="12" s="1"/>
  <c r="AZ133" i="12"/>
  <c r="CB139" i="12"/>
  <c r="CC138" i="12"/>
  <c r="BR135" i="12"/>
  <c r="BW135" i="12"/>
  <c r="BX134" i="12"/>
  <c r="BY134" i="12" s="1"/>
  <c r="BS134" i="12"/>
  <c r="BT134" i="12" s="1"/>
  <c r="AS133" i="12"/>
  <c r="BU133" i="12"/>
  <c r="AR133" i="12" s="1"/>
  <c r="BE138" i="12" l="1"/>
  <c r="CD135" i="12"/>
  <c r="CE134" i="12"/>
  <c r="AN134" i="12" s="1"/>
  <c r="BZ133" i="12"/>
  <c r="AY133" i="12" s="1"/>
  <c r="AM136" i="12"/>
  <c r="AO136" i="12" s="1"/>
  <c r="BZ134" i="12"/>
  <c r="AY134" i="12" s="1"/>
  <c r="CB140" i="12"/>
  <c r="CC139" i="12"/>
  <c r="BR136" i="12"/>
  <c r="BW136" i="12"/>
  <c r="BS135" i="12"/>
  <c r="BT135" i="12" s="1"/>
  <c r="BX135" i="12"/>
  <c r="BY135" i="12" s="1"/>
  <c r="AS134" i="12"/>
  <c r="BU134" i="12"/>
  <c r="AR134" i="12" s="1"/>
  <c r="BE139" i="12" l="1"/>
  <c r="CD136" i="12"/>
  <c r="CE135" i="12"/>
  <c r="AN135" i="12" s="1"/>
  <c r="AZ134" i="12"/>
  <c r="AM137" i="12"/>
  <c r="AO137" i="12" s="1"/>
  <c r="CB141" i="12"/>
  <c r="CC140" i="12"/>
  <c r="AZ135" i="12"/>
  <c r="BZ135" i="12"/>
  <c r="AY135" i="12" s="1"/>
  <c r="AS135" i="12"/>
  <c r="BU135" i="12"/>
  <c r="AR135" i="12" s="1"/>
  <c r="BR137" i="12"/>
  <c r="BW137" i="12"/>
  <c r="BX136" i="12"/>
  <c r="BY136" i="12" s="1"/>
  <c r="BS136" i="12"/>
  <c r="BT136" i="12" s="1"/>
  <c r="BE140" i="12" l="1"/>
  <c r="CD137" i="12"/>
  <c r="CE136" i="12"/>
  <c r="AN136" i="12" s="1"/>
  <c r="AM138" i="12"/>
  <c r="AO138" i="12" s="1"/>
  <c r="AZ136" i="12"/>
  <c r="CB142" i="12"/>
  <c r="CC141" i="12"/>
  <c r="BR138" i="12"/>
  <c r="BW138" i="12"/>
  <c r="BS137" i="12"/>
  <c r="BT137" i="12" s="1"/>
  <c r="BX137" i="12"/>
  <c r="BY137" i="12" s="1"/>
  <c r="AS136" i="12"/>
  <c r="BU136" i="12"/>
  <c r="AR136" i="12" s="1"/>
  <c r="BE141" i="12" l="1"/>
  <c r="CD138" i="12"/>
  <c r="CE137" i="12"/>
  <c r="AN137" i="12" s="1"/>
  <c r="BZ136" i="12"/>
  <c r="AY136" i="12" s="1"/>
  <c r="AM139" i="12"/>
  <c r="AO139" i="12" s="1"/>
  <c r="BZ137" i="12"/>
  <c r="AY137" i="12" s="1"/>
  <c r="CB143" i="12"/>
  <c r="CC142" i="12"/>
  <c r="BR139" i="12"/>
  <c r="BW139" i="12"/>
  <c r="BX138" i="12"/>
  <c r="BY138" i="12" s="1"/>
  <c r="BS138" i="12"/>
  <c r="BT138" i="12" s="1"/>
  <c r="AS137" i="12"/>
  <c r="BU137" i="12"/>
  <c r="AR137" i="12" s="1"/>
  <c r="BE142" i="12" l="1"/>
  <c r="CD139" i="12"/>
  <c r="CE138" i="12"/>
  <c r="AN138" i="12" s="1"/>
  <c r="AM140" i="12"/>
  <c r="AO140" i="12" s="1"/>
  <c r="AZ137" i="12"/>
  <c r="CB144" i="12"/>
  <c r="CC143" i="12"/>
  <c r="BZ138" i="12"/>
  <c r="AY138" i="12" s="1"/>
  <c r="AZ138" i="12"/>
  <c r="AS138" i="12"/>
  <c r="BU138" i="12"/>
  <c r="AR138" i="12" s="1"/>
  <c r="BR140" i="12"/>
  <c r="BW140" i="12"/>
  <c r="BS139" i="12"/>
  <c r="BT139" i="12" s="1"/>
  <c r="BX139" i="12"/>
  <c r="BY139" i="12" s="1"/>
  <c r="BE143" i="12" l="1"/>
  <c r="CD140" i="12"/>
  <c r="CE139" i="12"/>
  <c r="AN139" i="12" s="1"/>
  <c r="AM141" i="12"/>
  <c r="AO141" i="12" s="1"/>
  <c r="AZ139" i="12"/>
  <c r="CB145" i="12"/>
  <c r="CC144" i="12"/>
  <c r="BW141" i="12"/>
  <c r="BR141" i="12"/>
  <c r="BX140" i="12"/>
  <c r="BY140" i="12" s="1"/>
  <c r="BS140" i="12"/>
  <c r="BT140" i="12" s="1"/>
  <c r="AS139" i="12"/>
  <c r="BU139" i="12"/>
  <c r="AR139" i="12" s="1"/>
  <c r="BE144" i="12" l="1"/>
  <c r="CD141" i="12"/>
  <c r="CE140" i="12"/>
  <c r="AN140" i="12" s="1"/>
  <c r="BZ139" i="12"/>
  <c r="AY139" i="12" s="1"/>
  <c r="AM142" i="12"/>
  <c r="AO142" i="12" s="1"/>
  <c r="CB146" i="12"/>
  <c r="CC145" i="12"/>
  <c r="AZ140" i="12"/>
  <c r="BZ140" i="12"/>
  <c r="AY140" i="12" s="1"/>
  <c r="BR142" i="12"/>
  <c r="BW142" i="12"/>
  <c r="BS141" i="12"/>
  <c r="BT141" i="12" s="1"/>
  <c r="BX141" i="12"/>
  <c r="BY141" i="12" s="1"/>
  <c r="AS140" i="12"/>
  <c r="BU140" i="12"/>
  <c r="AR140" i="12" s="1"/>
  <c r="BE145" i="12" l="1"/>
  <c r="CD142" i="12"/>
  <c r="CE141" i="12"/>
  <c r="AN141" i="12" s="1"/>
  <c r="AM143" i="12"/>
  <c r="AO143" i="12" s="1"/>
  <c r="CB147" i="12"/>
  <c r="CC146" i="12"/>
  <c r="AZ141" i="12"/>
  <c r="BZ141" i="12"/>
  <c r="AY141" i="12" s="1"/>
  <c r="BR143" i="12"/>
  <c r="BW143" i="12"/>
  <c r="BX142" i="12"/>
  <c r="BY142" i="12" s="1"/>
  <c r="BS142" i="12"/>
  <c r="BT142" i="12" s="1"/>
  <c r="AS141" i="12"/>
  <c r="BU141" i="12"/>
  <c r="AR141" i="12" s="1"/>
  <c r="BE146" i="12" l="1"/>
  <c r="CD143" i="12"/>
  <c r="CE142" i="12"/>
  <c r="AN142" i="12" s="1"/>
  <c r="AM144" i="12"/>
  <c r="AO144" i="12" s="1"/>
  <c r="AZ142" i="12"/>
  <c r="CB148" i="12"/>
  <c r="CC147" i="12"/>
  <c r="BR144" i="12"/>
  <c r="BW144" i="12"/>
  <c r="BS143" i="12"/>
  <c r="BT143" i="12" s="1"/>
  <c r="BX143" i="12"/>
  <c r="BY143" i="12" s="1"/>
  <c r="AS142" i="12"/>
  <c r="BU142" i="12"/>
  <c r="AR142" i="12" s="1"/>
  <c r="BE147" i="12" l="1"/>
  <c r="CD144" i="12"/>
  <c r="CE143" i="12"/>
  <c r="AN143" i="12" s="1"/>
  <c r="BZ142" i="12"/>
  <c r="AY142" i="12" s="1"/>
  <c r="AM145" i="12"/>
  <c r="AO145" i="12" s="1"/>
  <c r="CB149" i="12"/>
  <c r="CC148" i="12"/>
  <c r="AZ143" i="12"/>
  <c r="BZ143" i="12"/>
  <c r="AY143" i="12" s="1"/>
  <c r="AS143" i="12"/>
  <c r="BU143" i="12"/>
  <c r="AR143" i="12" s="1"/>
  <c r="BR145" i="12"/>
  <c r="BW145" i="12"/>
  <c r="BX144" i="12"/>
  <c r="BY144" i="12" s="1"/>
  <c r="BS144" i="12"/>
  <c r="BT144" i="12" s="1"/>
  <c r="BE148" i="12" l="1"/>
  <c r="CD145" i="12"/>
  <c r="CE144" i="12"/>
  <c r="AN144" i="12" s="1"/>
  <c r="AM146" i="12"/>
  <c r="AO146" i="12" s="1"/>
  <c r="CB150" i="12"/>
  <c r="CC149" i="12"/>
  <c r="AZ144" i="12"/>
  <c r="BZ144" i="12"/>
  <c r="AY144" i="12" s="1"/>
  <c r="BR146" i="12"/>
  <c r="BW146" i="12"/>
  <c r="BS145" i="12"/>
  <c r="BT145" i="12" s="1"/>
  <c r="BX145" i="12"/>
  <c r="BY145" i="12" s="1"/>
  <c r="AS144" i="12"/>
  <c r="BU144" i="12"/>
  <c r="AR144" i="12" s="1"/>
  <c r="BE149" i="12" l="1"/>
  <c r="CD146" i="12"/>
  <c r="CE145" i="12"/>
  <c r="AN145" i="12" s="1"/>
  <c r="AM147" i="12"/>
  <c r="AO147" i="12" s="1"/>
  <c r="CB151" i="12"/>
  <c r="CC150" i="12"/>
  <c r="BZ145" i="12"/>
  <c r="AY145" i="12" s="1"/>
  <c r="AZ145" i="12"/>
  <c r="BR147" i="12"/>
  <c r="BW147" i="12"/>
  <c r="BX146" i="12"/>
  <c r="BY146" i="12" s="1"/>
  <c r="BS146" i="12"/>
  <c r="BT146" i="12" s="1"/>
  <c r="AS145" i="12"/>
  <c r="BU145" i="12"/>
  <c r="AR145" i="12" s="1"/>
  <c r="BE150" i="12" l="1"/>
  <c r="CD147" i="12"/>
  <c r="CE146" i="12"/>
  <c r="AN146" i="12" s="1"/>
  <c r="AZ146" i="12"/>
  <c r="AM148" i="12"/>
  <c r="AO148" i="12" s="1"/>
  <c r="CB152" i="12"/>
  <c r="CC151" i="12"/>
  <c r="AS146" i="12"/>
  <c r="BU146" i="12"/>
  <c r="AR146" i="12" s="1"/>
  <c r="BR148" i="12"/>
  <c r="BW148" i="12"/>
  <c r="BS147" i="12"/>
  <c r="BT147" i="12" s="1"/>
  <c r="BX147" i="12"/>
  <c r="BY147" i="12" s="1"/>
  <c r="BE151" i="12" l="1"/>
  <c r="CD148" i="12"/>
  <c r="BZ146" i="12"/>
  <c r="AY146" i="12" s="1"/>
  <c r="CE147" i="12"/>
  <c r="AN147" i="12" s="1"/>
  <c r="BZ147" i="12"/>
  <c r="AY147" i="12" s="1"/>
  <c r="AM149" i="12"/>
  <c r="AO149" i="12" s="1"/>
  <c r="CB153" i="12"/>
  <c r="CC152" i="12"/>
  <c r="AZ147" i="12"/>
  <c r="AS147" i="12"/>
  <c r="BU147" i="12"/>
  <c r="AR147" i="12" s="1"/>
  <c r="BR149" i="12"/>
  <c r="BW149" i="12"/>
  <c r="BX148" i="12"/>
  <c r="BY148" i="12" s="1"/>
  <c r="BS148" i="12"/>
  <c r="BT148" i="12" s="1"/>
  <c r="BE152" i="12" l="1"/>
  <c r="CD149" i="12"/>
  <c r="CE148" i="12"/>
  <c r="AN148" i="12" s="1"/>
  <c r="AM150" i="12"/>
  <c r="AO150" i="12" s="1"/>
  <c r="CB154" i="12"/>
  <c r="CC153" i="12"/>
  <c r="AZ148" i="12"/>
  <c r="BZ148" i="12"/>
  <c r="AY148" i="12" s="1"/>
  <c r="BR150" i="12"/>
  <c r="BW150" i="12"/>
  <c r="BS149" i="12"/>
  <c r="BT149" i="12" s="1"/>
  <c r="BX149" i="12"/>
  <c r="BY149" i="12" s="1"/>
  <c r="AS148" i="12"/>
  <c r="BU148" i="12"/>
  <c r="AR148" i="12" s="1"/>
  <c r="BE153" i="12" l="1"/>
  <c r="CD150" i="12"/>
  <c r="AZ149" i="12"/>
  <c r="CE149" i="12"/>
  <c r="AN149" i="12" s="1"/>
  <c r="AM151" i="12"/>
  <c r="AO151" i="12" s="1"/>
  <c r="CB155" i="12"/>
  <c r="CC154" i="12"/>
  <c r="BZ149" i="12"/>
  <c r="AY149" i="12" s="1"/>
  <c r="AS149" i="12"/>
  <c r="BU149" i="12"/>
  <c r="AR149" i="12" s="1"/>
  <c r="BR151" i="12"/>
  <c r="BW151" i="12"/>
  <c r="BX150" i="12"/>
  <c r="BY150" i="12" s="1"/>
  <c r="BS150" i="12"/>
  <c r="BT150" i="12" s="1"/>
  <c r="BE154" i="12" l="1"/>
  <c r="CD151" i="12"/>
  <c r="CE150" i="12"/>
  <c r="AN150" i="12" s="1"/>
  <c r="AM152" i="12"/>
  <c r="AO152" i="12" s="1"/>
  <c r="CB156" i="12"/>
  <c r="CC155" i="12"/>
  <c r="AZ150" i="12"/>
  <c r="BZ150" i="12"/>
  <c r="AY150" i="12" s="1"/>
  <c r="AS150" i="12"/>
  <c r="BU150" i="12"/>
  <c r="AR150" i="12" s="1"/>
  <c r="BR152" i="12"/>
  <c r="BW152" i="12"/>
  <c r="BS151" i="12"/>
  <c r="BT151" i="12" s="1"/>
  <c r="BX151" i="12"/>
  <c r="BY151" i="12" s="1"/>
  <c r="BE155" i="12" l="1"/>
  <c r="CD152" i="12"/>
  <c r="AZ151" i="12"/>
  <c r="CE151" i="12"/>
  <c r="AN151" i="12" s="1"/>
  <c r="AM153" i="12"/>
  <c r="AO153" i="12" s="1"/>
  <c r="CB157" i="12"/>
  <c r="CC156" i="12"/>
  <c r="BZ151" i="12"/>
  <c r="AY151" i="12" s="1"/>
  <c r="AS151" i="12"/>
  <c r="BU151" i="12"/>
  <c r="AR151" i="12" s="1"/>
  <c r="BR153" i="12"/>
  <c r="BW153" i="12"/>
  <c r="BX152" i="12"/>
  <c r="BY152" i="12" s="1"/>
  <c r="BS152" i="12"/>
  <c r="BT152" i="12" s="1"/>
  <c r="BE156" i="12" l="1"/>
  <c r="CD153" i="12"/>
  <c r="CE152" i="12"/>
  <c r="AN152" i="12" s="1"/>
  <c r="AM154" i="12"/>
  <c r="AO154" i="12" s="1"/>
  <c r="CC157" i="12"/>
  <c r="CB158" i="12"/>
  <c r="BZ152" i="12"/>
  <c r="AY152" i="12" s="1"/>
  <c r="AZ152" i="12"/>
  <c r="BR154" i="12"/>
  <c r="BW154" i="12"/>
  <c r="BS153" i="12"/>
  <c r="BT153" i="12" s="1"/>
  <c r="BX153" i="12"/>
  <c r="BY153" i="12" s="1"/>
  <c r="AS152" i="12"/>
  <c r="BU152" i="12"/>
  <c r="AR152" i="12" s="1"/>
  <c r="BE157" i="12" l="1"/>
  <c r="CD154" i="12"/>
  <c r="AZ153" i="12"/>
  <c r="CE153" i="12"/>
  <c r="AN153" i="12" s="1"/>
  <c r="AM155" i="12"/>
  <c r="AO155" i="12" s="1"/>
  <c r="CB159" i="12"/>
  <c r="CC158" i="12"/>
  <c r="AS153" i="12"/>
  <c r="BU153" i="12"/>
  <c r="AR153" i="12" s="1"/>
  <c r="BR155" i="12"/>
  <c r="BW155" i="12"/>
  <c r="BX154" i="12"/>
  <c r="BY154" i="12" s="1"/>
  <c r="BS154" i="12"/>
  <c r="BT154" i="12" s="1"/>
  <c r="BE158" i="12" l="1"/>
  <c r="CD155" i="12"/>
  <c r="BZ153" i="12"/>
  <c r="AY153" i="12" s="1"/>
  <c r="CE154" i="12"/>
  <c r="AN154" i="12" s="1"/>
  <c r="AM156" i="12"/>
  <c r="AO156" i="12" s="1"/>
  <c r="CB160" i="12"/>
  <c r="CC159" i="12"/>
  <c r="AZ154" i="12"/>
  <c r="BZ154" i="12"/>
  <c r="AY154" i="12" s="1"/>
  <c r="AS154" i="12"/>
  <c r="BU154" i="12"/>
  <c r="AR154" i="12" s="1"/>
  <c r="BR156" i="12"/>
  <c r="BW156" i="12"/>
  <c r="BS155" i="12"/>
  <c r="BT155" i="12" s="1"/>
  <c r="BX155" i="12"/>
  <c r="BY155" i="12" s="1"/>
  <c r="BE159" i="12" l="1"/>
  <c r="CD156" i="12"/>
  <c r="CE155" i="12"/>
  <c r="AN155" i="12" s="1"/>
  <c r="AM157" i="12"/>
  <c r="AO157" i="12" s="1"/>
  <c r="CB161" i="12"/>
  <c r="CC160" i="12"/>
  <c r="AZ155" i="12"/>
  <c r="BZ155" i="12"/>
  <c r="AY155" i="12" s="1"/>
  <c r="BR157" i="12"/>
  <c r="BW157" i="12"/>
  <c r="BX156" i="12"/>
  <c r="BY156" i="12" s="1"/>
  <c r="BS156" i="12"/>
  <c r="BT156" i="12" s="1"/>
  <c r="AS155" i="12"/>
  <c r="BU155" i="12"/>
  <c r="AR155" i="12" s="1"/>
  <c r="BE160" i="12" l="1"/>
  <c r="CD157" i="12"/>
  <c r="CE156" i="12"/>
  <c r="AN156" i="12" s="1"/>
  <c r="AM158" i="12"/>
  <c r="AO158" i="12" s="1"/>
  <c r="CB162" i="12"/>
  <c r="CC161" i="12"/>
  <c r="AZ156" i="12"/>
  <c r="BZ156" i="12"/>
  <c r="AY156" i="12" s="1"/>
  <c r="BR158" i="12"/>
  <c r="BW158" i="12"/>
  <c r="BS157" i="12"/>
  <c r="BT157" i="12" s="1"/>
  <c r="BX157" i="12"/>
  <c r="BY157" i="12" s="1"/>
  <c r="AS156" i="12"/>
  <c r="BU156" i="12"/>
  <c r="AR156" i="12" s="1"/>
  <c r="BE161" i="12" l="1"/>
  <c r="CD158" i="12"/>
  <c r="CE157" i="12"/>
  <c r="AN157" i="12" s="1"/>
  <c r="AM159" i="12"/>
  <c r="AO159" i="12" s="1"/>
  <c r="CB163" i="12"/>
  <c r="CC162" i="12"/>
  <c r="AZ157" i="12"/>
  <c r="BZ157" i="12"/>
  <c r="AY157" i="12" s="1"/>
  <c r="AS157" i="12"/>
  <c r="BU157" i="12"/>
  <c r="AR157" i="12" s="1"/>
  <c r="BR159" i="12"/>
  <c r="BW159" i="12"/>
  <c r="BS158" i="12"/>
  <c r="BT158" i="12" s="1"/>
  <c r="BX158" i="12"/>
  <c r="BY158" i="12" s="1"/>
  <c r="BE162" i="12" l="1"/>
  <c r="CD159" i="12"/>
  <c r="BZ158" i="12"/>
  <c r="AY158" i="12" s="1"/>
  <c r="CE158" i="12"/>
  <c r="AN158" i="12" s="1"/>
  <c r="AM160" i="12"/>
  <c r="AO160" i="12" s="1"/>
  <c r="CB164" i="12"/>
  <c r="CC163" i="12"/>
  <c r="AZ158" i="12"/>
  <c r="BR160" i="12"/>
  <c r="BW160" i="12"/>
  <c r="BX159" i="12"/>
  <c r="BY159" i="12" s="1"/>
  <c r="BS159" i="12"/>
  <c r="BT159" i="12" s="1"/>
  <c r="AS158" i="12"/>
  <c r="BU158" i="12"/>
  <c r="AR158" i="12" s="1"/>
  <c r="BE163" i="12" l="1"/>
  <c r="CD160" i="12"/>
  <c r="CE159" i="12"/>
  <c r="AN159" i="12" s="1"/>
  <c r="AZ159" i="12"/>
  <c r="AM161" i="12"/>
  <c r="AO161" i="12" s="1"/>
  <c r="CB165" i="12"/>
  <c r="CC164" i="12"/>
  <c r="BR161" i="12"/>
  <c r="BW161" i="12"/>
  <c r="BS160" i="12"/>
  <c r="BT160" i="12" s="1"/>
  <c r="BX160" i="12"/>
  <c r="BY160" i="12" s="1"/>
  <c r="AS159" i="12"/>
  <c r="BU159" i="12"/>
  <c r="AR159" i="12" s="1"/>
  <c r="BE164" i="12" l="1"/>
  <c r="CD161" i="12"/>
  <c r="BZ159" i="12"/>
  <c r="AY159" i="12" s="1"/>
  <c r="CE160" i="12"/>
  <c r="AN160" i="12" s="1"/>
  <c r="AM162" i="12"/>
  <c r="AO162" i="12" s="1"/>
  <c r="CB166" i="12"/>
  <c r="CC165" i="12"/>
  <c r="AZ160" i="12"/>
  <c r="BZ160" i="12"/>
  <c r="AY160" i="12" s="1"/>
  <c r="BR162" i="12"/>
  <c r="BW162" i="12"/>
  <c r="BX161" i="12"/>
  <c r="BY161" i="12" s="1"/>
  <c r="BS161" i="12"/>
  <c r="BT161" i="12" s="1"/>
  <c r="AS160" i="12"/>
  <c r="BU160" i="12"/>
  <c r="AR160" i="12" s="1"/>
  <c r="BE165" i="12" l="1"/>
  <c r="CD162" i="12"/>
  <c r="CE161" i="12"/>
  <c r="AN161" i="12" s="1"/>
  <c r="AM163" i="12"/>
  <c r="AO163" i="12" s="1"/>
  <c r="CB167" i="12"/>
  <c r="CC166" i="12"/>
  <c r="BZ161" i="12"/>
  <c r="AY161" i="12" s="1"/>
  <c r="AZ161" i="12"/>
  <c r="BR163" i="12"/>
  <c r="BW163" i="12"/>
  <c r="BS162" i="12"/>
  <c r="BT162" i="12" s="1"/>
  <c r="BX162" i="12"/>
  <c r="BY162" i="12" s="1"/>
  <c r="AS161" i="12"/>
  <c r="BU161" i="12"/>
  <c r="AR161" i="12" s="1"/>
  <c r="BE166" i="12" l="1"/>
  <c r="CD163" i="12"/>
  <c r="AZ162" i="12"/>
  <c r="CE162" i="12"/>
  <c r="AN162" i="12" s="1"/>
  <c r="AM164" i="12"/>
  <c r="AO164" i="12" s="1"/>
  <c r="CC167" i="12"/>
  <c r="CB168" i="12"/>
  <c r="AS162" i="12"/>
  <c r="BU162" i="12"/>
  <c r="AR162" i="12" s="1"/>
  <c r="BR164" i="12"/>
  <c r="BW164" i="12"/>
  <c r="BS163" i="12"/>
  <c r="BT163" i="12" s="1"/>
  <c r="BX163" i="12"/>
  <c r="BY163" i="12" s="1"/>
  <c r="BE167" i="12" l="1"/>
  <c r="CD164" i="12"/>
  <c r="BZ162" i="12"/>
  <c r="AY162" i="12" s="1"/>
  <c r="CE163" i="12"/>
  <c r="AN163" i="12" s="1"/>
  <c r="AZ163" i="12"/>
  <c r="AM165" i="12"/>
  <c r="AO165" i="12" s="1"/>
  <c r="CB169" i="12"/>
  <c r="CC168" i="12"/>
  <c r="BZ163" i="12"/>
  <c r="AY163" i="12" s="1"/>
  <c r="BR165" i="12"/>
  <c r="BW165" i="12"/>
  <c r="BS164" i="12"/>
  <c r="BT164" i="12" s="1"/>
  <c r="BX164" i="12"/>
  <c r="BY164" i="12" s="1"/>
  <c r="AS163" i="12"/>
  <c r="BU163" i="12"/>
  <c r="AR163" i="12" s="1"/>
  <c r="BE168" i="12" l="1"/>
  <c r="CD165" i="12"/>
  <c r="CE164" i="12"/>
  <c r="AN164" i="12" s="1"/>
  <c r="AM166" i="12"/>
  <c r="AO166" i="12" s="1"/>
  <c r="CB170" i="12"/>
  <c r="CC169" i="12"/>
  <c r="BZ164" i="12"/>
  <c r="AY164" i="12" s="1"/>
  <c r="AZ164" i="12"/>
  <c r="BR166" i="12"/>
  <c r="BW166" i="12"/>
  <c r="BX165" i="12"/>
  <c r="BY165" i="12" s="1"/>
  <c r="BS165" i="12"/>
  <c r="BT165" i="12" s="1"/>
  <c r="AS164" i="12"/>
  <c r="BU164" i="12"/>
  <c r="AR164" i="12" s="1"/>
  <c r="BE169" i="12" l="1"/>
  <c r="CD166" i="12"/>
  <c r="CE165" i="12"/>
  <c r="AN165" i="12" s="1"/>
  <c r="AZ165" i="12"/>
  <c r="AM167" i="12"/>
  <c r="AO167" i="12" s="1"/>
  <c r="CB171" i="12"/>
  <c r="CC170" i="12"/>
  <c r="BZ165" i="12"/>
  <c r="AY165" i="12" s="1"/>
  <c r="AS165" i="12"/>
  <c r="BU165" i="12"/>
  <c r="AR165" i="12" s="1"/>
  <c r="BR167" i="12"/>
  <c r="BW167" i="12"/>
  <c r="BS166" i="12"/>
  <c r="BT166" i="12" s="1"/>
  <c r="BX166" i="12"/>
  <c r="BY166" i="12" s="1"/>
  <c r="BE170" i="12" l="1"/>
  <c r="CD167" i="12"/>
  <c r="CE166" i="12"/>
  <c r="AN166" i="12" s="1"/>
  <c r="AM168" i="12"/>
  <c r="AO168" i="12" s="1"/>
  <c r="CB172" i="12"/>
  <c r="CC171" i="12"/>
  <c r="BZ166" i="12"/>
  <c r="AY166" i="12" s="1"/>
  <c r="AZ166" i="12"/>
  <c r="BR168" i="12"/>
  <c r="BW168" i="12"/>
  <c r="BS167" i="12"/>
  <c r="BT167" i="12" s="1"/>
  <c r="BX167" i="12"/>
  <c r="BY167" i="12" s="1"/>
  <c r="AS166" i="12"/>
  <c r="BU166" i="12"/>
  <c r="AR166" i="12" s="1"/>
  <c r="BE171" i="12" l="1"/>
  <c r="CD168" i="12"/>
  <c r="CE167" i="12"/>
  <c r="AN167" i="12" s="1"/>
  <c r="AM169" i="12"/>
  <c r="AO169" i="12" s="1"/>
  <c r="CB173" i="12"/>
  <c r="CC172" i="12"/>
  <c r="AZ167" i="12"/>
  <c r="BZ167" i="12"/>
  <c r="AY167" i="12" s="1"/>
  <c r="BR169" i="12"/>
  <c r="BW169" i="12"/>
  <c r="BS168" i="12"/>
  <c r="BT168" i="12" s="1"/>
  <c r="BX168" i="12"/>
  <c r="BY168" i="12" s="1"/>
  <c r="AS167" i="12"/>
  <c r="BU167" i="12"/>
  <c r="AR167" i="12" s="1"/>
  <c r="BE172" i="12" l="1"/>
  <c r="CD169" i="12"/>
  <c r="AZ168" i="12"/>
  <c r="CE168" i="12"/>
  <c r="AN168" i="12" s="1"/>
  <c r="AM170" i="12"/>
  <c r="AO170" i="12" s="1"/>
  <c r="CB174" i="12"/>
  <c r="CC173" i="12"/>
  <c r="BR170" i="12"/>
  <c r="BW170" i="12"/>
  <c r="BX169" i="12"/>
  <c r="BY169" i="12" s="1"/>
  <c r="BS169" i="12"/>
  <c r="BT169" i="12" s="1"/>
  <c r="AS168" i="12"/>
  <c r="BU168" i="12"/>
  <c r="AR168" i="12" s="1"/>
  <c r="BE173" i="12" l="1"/>
  <c r="CD170" i="12"/>
  <c r="CE169" i="12"/>
  <c r="AN169" i="12" s="1"/>
  <c r="BZ168" i="12"/>
  <c r="AY168" i="12" s="1"/>
  <c r="AM171" i="12"/>
  <c r="AO171" i="12" s="1"/>
  <c r="CB175" i="12"/>
  <c r="CC174" i="12"/>
  <c r="BZ169" i="12"/>
  <c r="AY169" i="12" s="1"/>
  <c r="AZ169" i="12"/>
  <c r="BR171" i="12"/>
  <c r="BW171" i="12"/>
  <c r="BX170" i="12"/>
  <c r="BY170" i="12" s="1"/>
  <c r="BS170" i="12"/>
  <c r="BT170" i="12" s="1"/>
  <c r="AS169" i="12"/>
  <c r="BU169" i="12"/>
  <c r="AR169" i="12" s="1"/>
  <c r="BE174" i="12" l="1"/>
  <c r="CD171" i="12"/>
  <c r="CE170" i="12"/>
  <c r="AN170" i="12" s="1"/>
  <c r="AM172" i="12"/>
  <c r="AO172" i="12" s="1"/>
  <c r="CC175" i="12"/>
  <c r="CB176" i="12"/>
  <c r="AZ170" i="12"/>
  <c r="BZ170" i="12"/>
  <c r="AY170" i="12" s="1"/>
  <c r="AS170" i="12"/>
  <c r="BU170" i="12"/>
  <c r="AR170" i="12" s="1"/>
  <c r="BR172" i="12"/>
  <c r="BW172" i="12"/>
  <c r="BS171" i="12"/>
  <c r="BT171" i="12" s="1"/>
  <c r="BX171" i="12"/>
  <c r="BY171" i="12" s="1"/>
  <c r="BE175" i="12" l="1"/>
  <c r="CD172" i="12"/>
  <c r="CE171" i="12"/>
  <c r="AN171" i="12" s="1"/>
  <c r="AZ171" i="12"/>
  <c r="AM173" i="12"/>
  <c r="AO173" i="12" s="1"/>
  <c r="CB177" i="12"/>
  <c r="CC176" i="12"/>
  <c r="AS171" i="12"/>
  <c r="BU171" i="12"/>
  <c r="AR171" i="12" s="1"/>
  <c r="BW173" i="12"/>
  <c r="BR173" i="12"/>
  <c r="BS172" i="12"/>
  <c r="BT172" i="12" s="1"/>
  <c r="BX172" i="12"/>
  <c r="BY172" i="12" s="1"/>
  <c r="BE176" i="12" l="1"/>
  <c r="CD173" i="12"/>
  <c r="BZ171" i="12"/>
  <c r="AY171" i="12" s="1"/>
  <c r="CE172" i="12"/>
  <c r="AN172" i="12" s="1"/>
  <c r="AM174" i="12"/>
  <c r="AO174" i="12" s="1"/>
  <c r="CB178" i="12"/>
  <c r="CC177" i="12"/>
  <c r="AZ172" i="12"/>
  <c r="BZ172" i="12"/>
  <c r="AY172" i="12" s="1"/>
  <c r="BR174" i="12"/>
  <c r="BW174" i="12"/>
  <c r="BX173" i="12"/>
  <c r="BY173" i="12" s="1"/>
  <c r="BS173" i="12"/>
  <c r="BT173" i="12" s="1"/>
  <c r="AS172" i="12"/>
  <c r="BU172" i="12"/>
  <c r="AR172" i="12" s="1"/>
  <c r="BE177" i="12" l="1"/>
  <c r="CD174" i="12"/>
  <c r="AZ173" i="12"/>
  <c r="CE173" i="12"/>
  <c r="AN173" i="12" s="1"/>
  <c r="AM175" i="12"/>
  <c r="AO175" i="12" s="1"/>
  <c r="CB179" i="12"/>
  <c r="CC178" i="12"/>
  <c r="AS173" i="12"/>
  <c r="BU173" i="12"/>
  <c r="AR173" i="12" s="1"/>
  <c r="BR175" i="12"/>
  <c r="BW175" i="12"/>
  <c r="BS174" i="12"/>
  <c r="BT174" i="12" s="1"/>
  <c r="BX174" i="12"/>
  <c r="BY174" i="12" s="1"/>
  <c r="BE178" i="12" l="1"/>
  <c r="CD175" i="12"/>
  <c r="BZ173" i="12"/>
  <c r="AY173" i="12" s="1"/>
  <c r="AZ174" i="12"/>
  <c r="CE174" i="12"/>
  <c r="AN174" i="12" s="1"/>
  <c r="AM176" i="12"/>
  <c r="AO176" i="12" s="1"/>
  <c r="CB180" i="12"/>
  <c r="CC179" i="12"/>
  <c r="AS174" i="12"/>
  <c r="BU174" i="12"/>
  <c r="AR174" i="12" s="1"/>
  <c r="BR176" i="12"/>
  <c r="BW176" i="12"/>
  <c r="BS175" i="12"/>
  <c r="BT175" i="12" s="1"/>
  <c r="BX175" i="12"/>
  <c r="BY175" i="12" s="1"/>
  <c r="BE179" i="12" l="1"/>
  <c r="CD176" i="12"/>
  <c r="BZ174" i="12"/>
  <c r="AY174" i="12" s="1"/>
  <c r="CE175" i="12"/>
  <c r="AN175" i="12" s="1"/>
  <c r="AM177" i="12"/>
  <c r="AO177" i="12" s="1"/>
  <c r="CB181" i="12"/>
  <c r="CC180" i="12"/>
  <c r="BZ175" i="12"/>
  <c r="AY175" i="12" s="1"/>
  <c r="AZ175" i="12"/>
  <c r="AS175" i="12"/>
  <c r="BU175" i="12"/>
  <c r="AR175" i="12" s="1"/>
  <c r="BR177" i="12"/>
  <c r="BW177" i="12"/>
  <c r="BS176" i="12"/>
  <c r="BT176" i="12" s="1"/>
  <c r="BX176" i="12"/>
  <c r="BY176" i="12" s="1"/>
  <c r="BE180" i="12" l="1"/>
  <c r="CD177" i="12"/>
  <c r="CE176" i="12"/>
  <c r="AN176" i="12" s="1"/>
  <c r="BZ176" i="12"/>
  <c r="AY176" i="12" s="1"/>
  <c r="AM178" i="12"/>
  <c r="AO178" i="12" s="1"/>
  <c r="CC181" i="12"/>
  <c r="CB182" i="12"/>
  <c r="BR178" i="12"/>
  <c r="BW178" i="12"/>
  <c r="BS177" i="12"/>
  <c r="BT177" i="12" s="1"/>
  <c r="BX177" i="12"/>
  <c r="BY177" i="12" s="1"/>
  <c r="AS176" i="12"/>
  <c r="BU176" i="12"/>
  <c r="AR176" i="12" s="1"/>
  <c r="BE181" i="12" l="1"/>
  <c r="CD178" i="12"/>
  <c r="AZ176" i="12"/>
  <c r="CE177" i="12"/>
  <c r="AN177" i="12" s="1"/>
  <c r="AM179" i="12"/>
  <c r="AO179" i="12" s="1"/>
  <c r="CB183" i="12"/>
  <c r="CC182" i="12"/>
  <c r="AZ177" i="12"/>
  <c r="BZ177" i="12"/>
  <c r="AY177" i="12" s="1"/>
  <c r="AS177" i="12"/>
  <c r="BU177" i="12"/>
  <c r="AR177" i="12" s="1"/>
  <c r="BR179" i="12"/>
  <c r="BW179" i="12"/>
  <c r="BX178" i="12"/>
  <c r="BY178" i="12" s="1"/>
  <c r="BS178" i="12"/>
  <c r="BT178" i="12" s="1"/>
  <c r="BE182" i="12" l="1"/>
  <c r="CD179" i="12"/>
  <c r="CE178" i="12"/>
  <c r="AN178" i="12" s="1"/>
  <c r="AM180" i="12"/>
  <c r="AO180" i="12" s="1"/>
  <c r="CB184" i="12"/>
  <c r="CC183" i="12"/>
  <c r="AZ178" i="12"/>
  <c r="BZ178" i="12"/>
  <c r="AY178" i="12" s="1"/>
  <c r="AS178" i="12"/>
  <c r="BU178" i="12"/>
  <c r="AR178" i="12" s="1"/>
  <c r="BR180" i="12"/>
  <c r="BW180" i="12"/>
  <c r="BS179" i="12"/>
  <c r="BT179" i="12" s="1"/>
  <c r="BX179" i="12"/>
  <c r="BY179" i="12" s="1"/>
  <c r="BE183" i="12" l="1"/>
  <c r="CD180" i="12"/>
  <c r="CE179" i="12"/>
  <c r="AN179" i="12" s="1"/>
  <c r="BZ179" i="12"/>
  <c r="AY179" i="12" s="1"/>
  <c r="AM181" i="12"/>
  <c r="AO181" i="12" s="1"/>
  <c r="CB185" i="12"/>
  <c r="CC184" i="12"/>
  <c r="AS179" i="12"/>
  <c r="BU179" i="12"/>
  <c r="AR179" i="12" s="1"/>
  <c r="BR181" i="12"/>
  <c r="BW181" i="12"/>
  <c r="BS180" i="12"/>
  <c r="BT180" i="12" s="1"/>
  <c r="BX180" i="12"/>
  <c r="BY180" i="12" s="1"/>
  <c r="BE184" i="12" l="1"/>
  <c r="CD181" i="12"/>
  <c r="CE180" i="12"/>
  <c r="AN180" i="12" s="1"/>
  <c r="AZ180" i="12"/>
  <c r="AZ179" i="12"/>
  <c r="AM182" i="12"/>
  <c r="AO182" i="12" s="1"/>
  <c r="CC185" i="12"/>
  <c r="CB186" i="12"/>
  <c r="AS180" i="12"/>
  <c r="BU180" i="12"/>
  <c r="AR180" i="12" s="1"/>
  <c r="BR182" i="12"/>
  <c r="BW182" i="12"/>
  <c r="BX181" i="12"/>
  <c r="BY181" i="12" s="1"/>
  <c r="BS181" i="12"/>
  <c r="BT181" i="12" s="1"/>
  <c r="BE185" i="12" l="1"/>
  <c r="CD182" i="12"/>
  <c r="BZ181" i="12"/>
  <c r="AY181" i="12" s="1"/>
  <c r="BZ180" i="12"/>
  <c r="AY180" i="12" s="1"/>
  <c r="CE181" i="12"/>
  <c r="AN181" i="12" s="1"/>
  <c r="AM183" i="12"/>
  <c r="AO183" i="12" s="1"/>
  <c r="CB187" i="12"/>
  <c r="CC186" i="12"/>
  <c r="AZ181" i="12"/>
  <c r="AS181" i="12"/>
  <c r="BU181" i="12"/>
  <c r="AR181" i="12" s="1"/>
  <c r="BR183" i="12"/>
  <c r="BW183" i="12"/>
  <c r="BX182" i="12"/>
  <c r="BY182" i="12" s="1"/>
  <c r="BS182" i="12"/>
  <c r="BT182" i="12" s="1"/>
  <c r="BE186" i="12" l="1"/>
  <c r="CD183" i="12"/>
  <c r="CE182" i="12"/>
  <c r="AN182" i="12" s="1"/>
  <c r="AM184" i="12"/>
  <c r="AO184" i="12" s="1"/>
  <c r="CC187" i="12"/>
  <c r="CB188" i="12"/>
  <c r="BZ182" i="12"/>
  <c r="AY182" i="12" s="1"/>
  <c r="AZ182" i="12"/>
  <c r="BR184" i="12"/>
  <c r="BW184" i="12"/>
  <c r="BX183" i="12"/>
  <c r="BY183" i="12" s="1"/>
  <c r="BS183" i="12"/>
  <c r="BT183" i="12" s="1"/>
  <c r="AS182" i="12"/>
  <c r="BU182" i="12"/>
  <c r="AR182" i="12" s="1"/>
  <c r="BE187" i="12" l="1"/>
  <c r="CD184" i="12"/>
  <c r="CE183" i="12"/>
  <c r="AN183" i="12" s="1"/>
  <c r="AM185" i="12"/>
  <c r="AO185" i="12" s="1"/>
  <c r="CB189" i="12"/>
  <c r="CC188" i="12"/>
  <c r="AZ183" i="12"/>
  <c r="BZ183" i="12"/>
  <c r="AY183" i="12" s="1"/>
  <c r="BR185" i="12"/>
  <c r="BW185" i="12"/>
  <c r="BS184" i="12"/>
  <c r="BT184" i="12" s="1"/>
  <c r="BX184" i="12"/>
  <c r="BY184" i="12" s="1"/>
  <c r="AS183" i="12"/>
  <c r="BU183" i="12"/>
  <c r="AR183" i="12" s="1"/>
  <c r="BE188" i="12" l="1"/>
  <c r="CD185" i="12"/>
  <c r="CE184" i="12"/>
  <c r="AN184" i="12" s="1"/>
  <c r="AM186" i="12"/>
  <c r="AO186" i="12" s="1"/>
  <c r="CB190" i="12"/>
  <c r="CC189" i="12"/>
  <c r="AZ184" i="12"/>
  <c r="BZ184" i="12"/>
  <c r="AY184" i="12" s="1"/>
  <c r="AS184" i="12"/>
  <c r="BU184" i="12"/>
  <c r="AR184" i="12" s="1"/>
  <c r="BR186" i="12"/>
  <c r="BW186" i="12"/>
  <c r="BS185" i="12"/>
  <c r="BT185" i="12" s="1"/>
  <c r="BX185" i="12"/>
  <c r="BY185" i="12" s="1"/>
  <c r="BE189" i="12" l="1"/>
  <c r="CD186" i="12"/>
  <c r="CE185" i="12"/>
  <c r="AN185" i="12" s="1"/>
  <c r="AM187" i="12"/>
  <c r="AO187" i="12" s="1"/>
  <c r="CB191" i="12"/>
  <c r="CC190" i="12"/>
  <c r="BZ185" i="12"/>
  <c r="AY185" i="12" s="1"/>
  <c r="AZ185" i="12"/>
  <c r="AS185" i="12"/>
  <c r="BU185" i="12"/>
  <c r="AR185" i="12" s="1"/>
  <c r="BR187" i="12"/>
  <c r="BW187" i="12"/>
  <c r="BS186" i="12"/>
  <c r="BT186" i="12" s="1"/>
  <c r="BX186" i="12"/>
  <c r="BY186" i="12" s="1"/>
  <c r="BE190" i="12" l="1"/>
  <c r="CD187" i="12"/>
  <c r="CE186" i="12"/>
  <c r="AN186" i="12" s="1"/>
  <c r="BZ186" i="12"/>
  <c r="AY186" i="12" s="1"/>
  <c r="AM188" i="12"/>
  <c r="AO188" i="12" s="1"/>
  <c r="CB192" i="12"/>
  <c r="CC191" i="12"/>
  <c r="AS186" i="12"/>
  <c r="BU186" i="12"/>
  <c r="AR186" i="12" s="1"/>
  <c r="BR188" i="12"/>
  <c r="BW188" i="12"/>
  <c r="BS187" i="12"/>
  <c r="BT187" i="12" s="1"/>
  <c r="BX187" i="12"/>
  <c r="BY187" i="12" s="1"/>
  <c r="BE191" i="12" l="1"/>
  <c r="CD188" i="12"/>
  <c r="AZ186" i="12"/>
  <c r="CE187" i="12"/>
  <c r="AN187" i="12" s="1"/>
  <c r="AM189" i="12"/>
  <c r="AO189" i="12" s="1"/>
  <c r="CB193" i="12"/>
  <c r="CC192" i="12"/>
  <c r="AZ187" i="12"/>
  <c r="BZ187" i="12"/>
  <c r="AY187" i="12" s="1"/>
  <c r="BR189" i="12"/>
  <c r="BW189" i="12"/>
  <c r="BS188" i="12"/>
  <c r="BT188" i="12" s="1"/>
  <c r="BX188" i="12"/>
  <c r="BY188" i="12" s="1"/>
  <c r="AS187" i="12"/>
  <c r="BU187" i="12"/>
  <c r="AR187" i="12" s="1"/>
  <c r="BE192" i="12" l="1"/>
  <c r="CD189" i="12"/>
  <c r="CE188" i="12"/>
  <c r="AN188" i="12" s="1"/>
  <c r="AM190" i="12"/>
  <c r="AO190" i="12" s="1"/>
  <c r="CB194" i="12"/>
  <c r="CC193" i="12"/>
  <c r="AZ188" i="12"/>
  <c r="BZ188" i="12"/>
  <c r="AY188" i="12" s="1"/>
  <c r="BR190" i="12"/>
  <c r="BW190" i="12"/>
  <c r="BS189" i="12"/>
  <c r="BT189" i="12" s="1"/>
  <c r="BX189" i="12"/>
  <c r="BY189" i="12" s="1"/>
  <c r="AS188" i="12"/>
  <c r="BU188" i="12"/>
  <c r="AR188" i="12" s="1"/>
  <c r="BE193" i="12" l="1"/>
  <c r="CD190" i="12"/>
  <c r="CE189" i="12"/>
  <c r="AN189" i="12" s="1"/>
  <c r="AM191" i="12"/>
  <c r="AO191" i="12" s="1"/>
  <c r="CB195" i="12"/>
  <c r="CC194" i="12"/>
  <c r="AZ189" i="12"/>
  <c r="BZ189" i="12"/>
  <c r="AY189" i="12" s="1"/>
  <c r="AS189" i="12"/>
  <c r="BU189" i="12"/>
  <c r="AR189" i="12" s="1"/>
  <c r="BR191" i="12"/>
  <c r="BW191" i="12"/>
  <c r="BX190" i="12"/>
  <c r="BY190" i="12" s="1"/>
  <c r="BS190" i="12"/>
  <c r="BT190" i="12" s="1"/>
  <c r="BE194" i="12" l="1"/>
  <c r="CD191" i="12"/>
  <c r="CE190" i="12"/>
  <c r="AN190" i="12" s="1"/>
  <c r="AZ190" i="12"/>
  <c r="AM192" i="12"/>
  <c r="AO192" i="12" s="1"/>
  <c r="CB196" i="12"/>
  <c r="CC195" i="12"/>
  <c r="AS190" i="12"/>
  <c r="BU190" i="12"/>
  <c r="AR190" i="12" s="1"/>
  <c r="BR192" i="12"/>
  <c r="BW192" i="12"/>
  <c r="BS191" i="12"/>
  <c r="BT191" i="12" s="1"/>
  <c r="BX191" i="12"/>
  <c r="BY191" i="12" s="1"/>
  <c r="BE195" i="12" l="1"/>
  <c r="CD192" i="12"/>
  <c r="CE191" i="12"/>
  <c r="AN191" i="12" s="1"/>
  <c r="BZ190" i="12"/>
  <c r="AY190" i="12" s="1"/>
  <c r="AM193" i="12"/>
  <c r="AO193" i="12" s="1"/>
  <c r="CB197" i="12"/>
  <c r="CC196" i="12"/>
  <c r="BZ191" i="12"/>
  <c r="AY191" i="12" s="1"/>
  <c r="AZ191" i="12"/>
  <c r="BR193" i="12"/>
  <c r="BW193" i="12"/>
  <c r="BS192" i="12"/>
  <c r="BT192" i="12" s="1"/>
  <c r="BX192" i="12"/>
  <c r="BY192" i="12" s="1"/>
  <c r="AS191" i="12"/>
  <c r="BU191" i="12"/>
  <c r="AR191" i="12" s="1"/>
  <c r="BE196" i="12" l="1"/>
  <c r="CD193" i="12"/>
  <c r="AZ192" i="12"/>
  <c r="CE192" i="12"/>
  <c r="AN192" i="12" s="1"/>
  <c r="AM194" i="12"/>
  <c r="AO194" i="12" s="1"/>
  <c r="CB198" i="12"/>
  <c r="CC197" i="12"/>
  <c r="BZ192" i="12"/>
  <c r="AY192" i="12" s="1"/>
  <c r="AS192" i="12"/>
  <c r="BU192" i="12"/>
  <c r="AR192" i="12" s="1"/>
  <c r="BR194" i="12"/>
  <c r="BW194" i="12"/>
  <c r="BS193" i="12"/>
  <c r="BT193" i="12" s="1"/>
  <c r="BX193" i="12"/>
  <c r="BY193" i="12" s="1"/>
  <c r="BE197" i="12" l="1"/>
  <c r="CD194" i="12"/>
  <c r="CE193" i="12"/>
  <c r="AN193" i="12" s="1"/>
  <c r="AM195" i="12"/>
  <c r="AO195" i="12" s="1"/>
  <c r="CC198" i="12"/>
  <c r="CB199" i="12"/>
  <c r="BZ193" i="12"/>
  <c r="AY193" i="12" s="1"/>
  <c r="AZ193" i="12"/>
  <c r="BR195" i="12"/>
  <c r="BW195" i="12"/>
  <c r="BX194" i="12"/>
  <c r="BS194" i="12"/>
  <c r="BT194" i="12" s="1"/>
  <c r="AS193" i="12"/>
  <c r="BU193" i="12"/>
  <c r="AR193" i="12" s="1"/>
  <c r="BE198" i="12" l="1"/>
  <c r="CD195" i="12"/>
  <c r="BY194" i="12"/>
  <c r="AZ194" i="12" s="1"/>
  <c r="CE194" i="12"/>
  <c r="AN194" i="12" s="1"/>
  <c r="AM196" i="12"/>
  <c r="AO196" i="12" s="1"/>
  <c r="CC199" i="12"/>
  <c r="CB200" i="12"/>
  <c r="BR196" i="12"/>
  <c r="BW196" i="12"/>
  <c r="BS195" i="12"/>
  <c r="BT195" i="12" s="1"/>
  <c r="BX195" i="12"/>
  <c r="BY195" i="12" s="1"/>
  <c r="AS194" i="12"/>
  <c r="BU194" i="12"/>
  <c r="AR194" i="12" s="1"/>
  <c r="BE199" i="12" l="1"/>
  <c r="CD196" i="12"/>
  <c r="BZ194" i="12"/>
  <c r="AY194" i="12" s="1"/>
  <c r="CE195" i="12"/>
  <c r="AN195" i="12" s="1"/>
  <c r="BZ195" i="12"/>
  <c r="AY195" i="12" s="1"/>
  <c r="AM197" i="12"/>
  <c r="AO197" i="12" s="1"/>
  <c r="CC200" i="12"/>
  <c r="CB201" i="12"/>
  <c r="BR197" i="12"/>
  <c r="BW197" i="12"/>
  <c r="BS196" i="12"/>
  <c r="BT196" i="12" s="1"/>
  <c r="BX196" i="12"/>
  <c r="BY196" i="12" s="1"/>
  <c r="AS195" i="12"/>
  <c r="BU195" i="12"/>
  <c r="AR195" i="12" s="1"/>
  <c r="BE200" i="12" l="1"/>
  <c r="CD197" i="12"/>
  <c r="AZ196" i="12"/>
  <c r="CE196" i="12"/>
  <c r="AN196" i="12" s="1"/>
  <c r="AZ195" i="12"/>
  <c r="AM198" i="12"/>
  <c r="AO198" i="12" s="1"/>
  <c r="CC201" i="12"/>
  <c r="CB202" i="12"/>
  <c r="AS196" i="12"/>
  <c r="BU196" i="12"/>
  <c r="AR196" i="12" s="1"/>
  <c r="BW198" i="12"/>
  <c r="BR198" i="12"/>
  <c r="BS197" i="12"/>
  <c r="BT197" i="12" s="1"/>
  <c r="BX197" i="12"/>
  <c r="BY197" i="12" s="1"/>
  <c r="BE201" i="12" l="1"/>
  <c r="CD198" i="12"/>
  <c r="BZ196" i="12"/>
  <c r="AY196" i="12" s="1"/>
  <c r="CE197" i="12"/>
  <c r="AN197" i="12" s="1"/>
  <c r="AM199" i="12"/>
  <c r="AO199" i="12" s="1"/>
  <c r="CC202" i="12"/>
  <c r="CB203" i="12"/>
  <c r="BZ197" i="12"/>
  <c r="AY197" i="12" s="1"/>
  <c r="AZ197" i="12"/>
  <c r="BR199" i="12"/>
  <c r="BW199" i="12"/>
  <c r="BS198" i="12"/>
  <c r="BT198" i="12" s="1"/>
  <c r="BX198" i="12"/>
  <c r="BY198" i="12" s="1"/>
  <c r="AS197" i="12"/>
  <c r="BU197" i="12"/>
  <c r="AR197" i="12" s="1"/>
  <c r="BE202" i="12" l="1"/>
  <c r="CD199" i="12"/>
  <c r="CE198" i="12"/>
  <c r="AN198" i="12" s="1"/>
  <c r="AM200" i="12"/>
  <c r="AO200" i="12" s="1"/>
  <c r="CC203" i="12"/>
  <c r="CB204" i="12"/>
  <c r="AZ198" i="12"/>
  <c r="BZ198" i="12"/>
  <c r="AY198" i="12" s="1"/>
  <c r="BR200" i="12"/>
  <c r="BW200" i="12"/>
  <c r="BS199" i="12"/>
  <c r="BT199" i="12" s="1"/>
  <c r="BX199" i="12"/>
  <c r="BY199" i="12" s="1"/>
  <c r="AS198" i="12"/>
  <c r="BU198" i="12"/>
  <c r="AR198" i="12" s="1"/>
  <c r="BE203" i="12" l="1"/>
  <c r="CD200" i="12"/>
  <c r="CE199" i="12"/>
  <c r="AN199" i="12" s="1"/>
  <c r="AM201" i="12"/>
  <c r="AO201" i="12" s="1"/>
  <c r="CC204" i="12"/>
  <c r="CB205" i="12"/>
  <c r="AZ199" i="12"/>
  <c r="BZ199" i="12"/>
  <c r="AY199" i="12" s="1"/>
  <c r="AS199" i="12"/>
  <c r="BU199" i="12"/>
  <c r="AR199" i="12" s="1"/>
  <c r="BR201" i="12"/>
  <c r="BW201" i="12"/>
  <c r="BX200" i="12"/>
  <c r="BY200" i="12" s="1"/>
  <c r="BS200" i="12"/>
  <c r="BT200" i="12" s="1"/>
  <c r="BE204" i="12" l="1"/>
  <c r="CD201" i="12"/>
  <c r="CE200" i="12"/>
  <c r="AN200" i="12" s="1"/>
  <c r="AM202" i="12"/>
  <c r="AO202" i="12" s="1"/>
  <c r="CC205" i="12"/>
  <c r="CB206" i="12"/>
  <c r="AZ200" i="12"/>
  <c r="BZ200" i="12"/>
  <c r="AY200" i="12" s="1"/>
  <c r="BW202" i="12"/>
  <c r="BR202" i="12"/>
  <c r="BS201" i="12"/>
  <c r="BT201" i="12" s="1"/>
  <c r="BX201" i="12"/>
  <c r="BY201" i="12" s="1"/>
  <c r="AS200" i="12"/>
  <c r="BU200" i="12"/>
  <c r="AR200" i="12" s="1"/>
  <c r="BE205" i="12" l="1"/>
  <c r="CD202" i="12"/>
  <c r="CE201" i="12"/>
  <c r="AN201" i="12" s="1"/>
  <c r="AM203" i="12"/>
  <c r="AO203" i="12" s="1"/>
  <c r="CC206" i="12"/>
  <c r="CB207" i="12"/>
  <c r="AZ201" i="12"/>
  <c r="BZ201" i="12"/>
  <c r="AY201" i="12" s="1"/>
  <c r="BR203" i="12"/>
  <c r="BW203" i="12"/>
  <c r="BX202" i="12"/>
  <c r="BY202" i="12" s="1"/>
  <c r="BS202" i="12"/>
  <c r="BT202" i="12" s="1"/>
  <c r="AS201" i="12"/>
  <c r="BU201" i="12"/>
  <c r="AR201" i="12" s="1"/>
  <c r="BE206" i="12" l="1"/>
  <c r="CD203" i="12"/>
  <c r="CE202" i="12"/>
  <c r="AN202" i="12" s="1"/>
  <c r="AZ202" i="12"/>
  <c r="AM204" i="12"/>
  <c r="AO204" i="12" s="1"/>
  <c r="CC207" i="12"/>
  <c r="CB208" i="12"/>
  <c r="AS202" i="12"/>
  <c r="BU202" i="12"/>
  <c r="AR202" i="12" s="1"/>
  <c r="BR204" i="12"/>
  <c r="BS203" i="12"/>
  <c r="BT203" i="12" s="1"/>
  <c r="BW204" i="12"/>
  <c r="BX203" i="12"/>
  <c r="BY203" i="12" s="1"/>
  <c r="BE207" i="12" l="1"/>
  <c r="CD204" i="12"/>
  <c r="CE203" i="12"/>
  <c r="AN203" i="12" s="1"/>
  <c r="BZ202" i="12"/>
  <c r="AY202" i="12" s="1"/>
  <c r="AM205" i="12"/>
  <c r="AO205" i="12" s="1"/>
  <c r="CC208" i="12"/>
  <c r="CB209" i="12"/>
  <c r="BZ203" i="12"/>
  <c r="AY203" i="12" s="1"/>
  <c r="AZ203" i="12"/>
  <c r="BR205" i="12"/>
  <c r="BW205" i="12"/>
  <c r="BS204" i="12"/>
  <c r="BT204" i="12" s="1"/>
  <c r="BX204" i="12"/>
  <c r="BY204" i="12" s="1"/>
  <c r="AS203" i="12"/>
  <c r="BU203" i="12"/>
  <c r="AR203" i="12" s="1"/>
  <c r="BE208" i="12" l="1"/>
  <c r="CD205" i="12"/>
  <c r="CE204" i="12"/>
  <c r="AN204" i="12" s="1"/>
  <c r="AM206" i="12"/>
  <c r="AO206" i="12" s="1"/>
  <c r="CC209" i="12"/>
  <c r="CB210" i="12"/>
  <c r="BZ204" i="12"/>
  <c r="AY204" i="12" s="1"/>
  <c r="AZ204" i="12"/>
  <c r="AS204" i="12"/>
  <c r="BU204" i="12"/>
  <c r="AR204" i="12" s="1"/>
  <c r="BR206" i="12"/>
  <c r="BW206" i="12"/>
  <c r="BS205" i="12"/>
  <c r="BT205" i="12" s="1"/>
  <c r="BX205" i="12"/>
  <c r="BY205" i="12" s="1"/>
  <c r="BE209" i="12" l="1"/>
  <c r="CD206" i="12"/>
  <c r="AZ205" i="12"/>
  <c r="CE205" i="12"/>
  <c r="AN205" i="12" s="1"/>
  <c r="AM207" i="12"/>
  <c r="AO207" i="12" s="1"/>
  <c r="CC210" i="12"/>
  <c r="CB211" i="12"/>
  <c r="BZ205" i="12"/>
  <c r="AY205" i="12" s="1"/>
  <c r="BR207" i="12"/>
  <c r="BW207" i="12"/>
  <c r="BS206" i="12"/>
  <c r="BT206" i="12" s="1"/>
  <c r="BX206" i="12"/>
  <c r="BY206" i="12" s="1"/>
  <c r="AS205" i="12"/>
  <c r="BU205" i="12"/>
  <c r="AR205" i="12" s="1"/>
  <c r="BE210" i="12" l="1"/>
  <c r="CD207" i="12"/>
  <c r="CE206" i="12"/>
  <c r="AN206" i="12" s="1"/>
  <c r="AM208" i="12"/>
  <c r="AO208" i="12" s="1"/>
  <c r="CC211" i="12"/>
  <c r="CB212" i="12"/>
  <c r="AZ206" i="12"/>
  <c r="BZ206" i="12"/>
  <c r="AY206" i="12" s="1"/>
  <c r="BR208" i="12"/>
  <c r="BW208" i="12"/>
  <c r="BS207" i="12"/>
  <c r="BT207" i="12" s="1"/>
  <c r="BX207" i="12"/>
  <c r="BY207" i="12" s="1"/>
  <c r="AS206" i="12"/>
  <c r="BU206" i="12"/>
  <c r="AR206" i="12" s="1"/>
  <c r="BE211" i="12" l="1"/>
  <c r="CD208" i="12"/>
  <c r="CE207" i="12"/>
  <c r="AN207" i="12" s="1"/>
  <c r="AM209" i="12"/>
  <c r="AO209" i="12" s="1"/>
  <c r="CC212" i="12"/>
  <c r="CB213" i="12"/>
  <c r="AZ207" i="12"/>
  <c r="BZ207" i="12"/>
  <c r="AY207" i="12" s="1"/>
  <c r="AS207" i="12"/>
  <c r="BU207" i="12"/>
  <c r="AR207" i="12" s="1"/>
  <c r="BR209" i="12"/>
  <c r="BW209" i="12"/>
  <c r="BS208" i="12"/>
  <c r="BT208" i="12" s="1"/>
  <c r="BX208" i="12"/>
  <c r="BY208" i="12" s="1"/>
  <c r="BE212" i="12" l="1"/>
  <c r="CD209" i="12"/>
  <c r="CE208" i="12"/>
  <c r="AN208" i="12" s="1"/>
  <c r="AM210" i="12"/>
  <c r="AO210" i="12" s="1"/>
  <c r="CC213" i="12"/>
  <c r="CB214" i="12"/>
  <c r="BZ208" i="12"/>
  <c r="AY208" i="12" s="1"/>
  <c r="AZ208" i="12"/>
  <c r="AS208" i="12"/>
  <c r="BU208" i="12"/>
  <c r="AR208" i="12" s="1"/>
  <c r="BR210" i="12"/>
  <c r="BW210" i="12"/>
  <c r="BS209" i="12"/>
  <c r="BT209" i="12" s="1"/>
  <c r="BX209" i="12"/>
  <c r="BE213" i="12" l="1"/>
  <c r="CD210" i="12"/>
  <c r="BY209" i="12"/>
  <c r="AZ209" i="12" s="1"/>
  <c r="CE209" i="12"/>
  <c r="AN209" i="12" s="1"/>
  <c r="AM211" i="12"/>
  <c r="AO211" i="12" s="1"/>
  <c r="CC214" i="12"/>
  <c r="CB215" i="12"/>
  <c r="AS209" i="12"/>
  <c r="BU209" i="12"/>
  <c r="AR209" i="12" s="1"/>
  <c r="BR211" i="12"/>
  <c r="BW211" i="12"/>
  <c r="BX210" i="12"/>
  <c r="BY210" i="12" s="1"/>
  <c r="BS210" i="12"/>
  <c r="BT210" i="12" s="1"/>
  <c r="BE214" i="12" l="1"/>
  <c r="CD211" i="12"/>
  <c r="BZ209" i="12"/>
  <c r="AY209" i="12" s="1"/>
  <c r="CE210" i="12"/>
  <c r="AN210" i="12" s="1"/>
  <c r="AM212" i="12"/>
  <c r="AO212" i="12" s="1"/>
  <c r="CC215" i="12"/>
  <c r="CB216" i="12"/>
  <c r="BZ210" i="12"/>
  <c r="AY210" i="12" s="1"/>
  <c r="AZ210" i="12"/>
  <c r="BA210" i="12" s="1"/>
  <c r="BR212" i="12"/>
  <c r="BW212" i="12"/>
  <c r="BS211" i="12"/>
  <c r="BT211" i="12" s="1"/>
  <c r="BX211" i="12"/>
  <c r="BY211" i="12" s="1"/>
  <c r="AS210" i="12"/>
  <c r="BU210" i="12"/>
  <c r="AR210" i="12" s="1"/>
  <c r="BE215" i="12" l="1"/>
  <c r="AZ211" i="12"/>
  <c r="CD212" i="12"/>
  <c r="CE211" i="12"/>
  <c r="AN211" i="12" s="1"/>
  <c r="AM213" i="12"/>
  <c r="AO213" i="12" s="1"/>
  <c r="CC216" i="12"/>
  <c r="CB217" i="12"/>
  <c r="BZ211" i="12"/>
  <c r="AY211" i="12" s="1"/>
  <c r="AS211" i="12"/>
  <c r="BU211" i="12"/>
  <c r="AR211" i="12" s="1"/>
  <c r="BR213" i="12"/>
  <c r="BW213" i="12"/>
  <c r="BS212" i="12"/>
  <c r="BT212" i="12" s="1"/>
  <c r="BX212" i="12"/>
  <c r="BY212" i="12" s="1"/>
  <c r="BE216" i="12" l="1"/>
  <c r="CD213" i="12"/>
  <c r="CE212" i="12"/>
  <c r="AN212" i="12" s="1"/>
  <c r="BZ212" i="12"/>
  <c r="AY212" i="12" s="1"/>
  <c r="AM214" i="12"/>
  <c r="AO214" i="12" s="1"/>
  <c r="CC217" i="12"/>
  <c r="CB218" i="12"/>
  <c r="AS212" i="12"/>
  <c r="BU212" i="12"/>
  <c r="AR212" i="12" s="1"/>
  <c r="BW214" i="12"/>
  <c r="BR214" i="12"/>
  <c r="BS213" i="12"/>
  <c r="BT213" i="12" s="1"/>
  <c r="BX213" i="12"/>
  <c r="BY213" i="12" s="1"/>
  <c r="BE217" i="12" l="1"/>
  <c r="CD214" i="12"/>
  <c r="AZ212" i="12"/>
  <c r="BA212" i="12" s="1"/>
  <c r="CE213" i="12"/>
  <c r="AN213" i="12" s="1"/>
  <c r="AM215" i="12"/>
  <c r="AO215" i="12" s="1"/>
  <c r="CC218" i="12"/>
  <c r="CB219" i="12"/>
  <c r="BZ213" i="12"/>
  <c r="AY213" i="12" s="1"/>
  <c r="AZ213" i="12"/>
  <c r="BR215" i="12"/>
  <c r="BW215" i="12"/>
  <c r="BX214" i="12"/>
  <c r="BY214" i="12" s="1"/>
  <c r="BS214" i="12"/>
  <c r="BT214" i="12" s="1"/>
  <c r="AS213" i="12"/>
  <c r="BU213" i="12"/>
  <c r="AR213" i="12" s="1"/>
  <c r="BE218" i="12" l="1"/>
  <c r="CD215" i="12"/>
  <c r="CE214" i="12"/>
  <c r="AN214" i="12" s="1"/>
  <c r="AM216" i="12"/>
  <c r="AO216" i="12" s="1"/>
  <c r="CC219" i="12"/>
  <c r="CB220" i="12"/>
  <c r="AZ214" i="12"/>
  <c r="BZ214" i="12"/>
  <c r="AY214" i="12" s="1"/>
  <c r="BR216" i="12"/>
  <c r="BW216" i="12"/>
  <c r="BS215" i="12"/>
  <c r="BT215" i="12" s="1"/>
  <c r="BX215" i="12"/>
  <c r="BY215" i="12" s="1"/>
  <c r="AS214" i="12"/>
  <c r="BU214" i="12"/>
  <c r="AR214" i="12" s="1"/>
  <c r="BE219" i="12" l="1"/>
  <c r="CD216" i="12"/>
  <c r="CE215" i="12"/>
  <c r="AN215" i="12" s="1"/>
  <c r="AM217" i="12"/>
  <c r="AO217" i="12" s="1"/>
  <c r="CC220" i="12"/>
  <c r="CB221" i="12"/>
  <c r="AZ215" i="12"/>
  <c r="BZ215" i="12"/>
  <c r="AY215" i="12" s="1"/>
  <c r="AS215" i="12"/>
  <c r="BU215" i="12"/>
  <c r="AR215" i="12" s="1"/>
  <c r="BR217" i="12"/>
  <c r="BW217" i="12"/>
  <c r="BX216" i="12"/>
  <c r="BY216" i="12" s="1"/>
  <c r="BS216" i="12"/>
  <c r="BT216" i="12" s="1"/>
  <c r="BE220" i="12" l="1"/>
  <c r="CD217" i="12"/>
  <c r="CE216" i="12"/>
  <c r="AN216" i="12" s="1"/>
  <c r="AZ216" i="12"/>
  <c r="BA216" i="12" s="1"/>
  <c r="AM218" i="12"/>
  <c r="AO218" i="12" s="1"/>
  <c r="CC221" i="12"/>
  <c r="CB222" i="12"/>
  <c r="AS216" i="12"/>
  <c r="BU216" i="12"/>
  <c r="AR216" i="12" s="1"/>
  <c r="BW218" i="12"/>
  <c r="BR218" i="12"/>
  <c r="BS217" i="12"/>
  <c r="BT217" i="12" s="1"/>
  <c r="BX217" i="12"/>
  <c r="BY217" i="12" s="1"/>
  <c r="BE221" i="12" l="1"/>
  <c r="CD218" i="12"/>
  <c r="BZ216" i="12"/>
  <c r="AY216" i="12" s="1"/>
  <c r="CE217" i="12"/>
  <c r="AN217" i="12" s="1"/>
  <c r="AM219" i="12"/>
  <c r="AO219" i="12" s="1"/>
  <c r="CC222" i="12"/>
  <c r="CB223" i="12"/>
  <c r="BZ217" i="12"/>
  <c r="AY217" i="12" s="1"/>
  <c r="AZ217" i="12"/>
  <c r="BR219" i="12"/>
  <c r="BW219" i="12"/>
  <c r="BS218" i="12"/>
  <c r="BT218" i="12" s="1"/>
  <c r="BX218" i="12"/>
  <c r="BY218" i="12" s="1"/>
  <c r="AS217" i="12"/>
  <c r="BU217" i="12"/>
  <c r="AR217" i="12" s="1"/>
  <c r="BE222" i="12" l="1"/>
  <c r="CD219" i="12"/>
  <c r="CE218" i="12"/>
  <c r="AN218" i="12" s="1"/>
  <c r="AM220" i="12"/>
  <c r="AO220" i="12" s="1"/>
  <c r="CC223" i="12"/>
  <c r="CB224" i="12"/>
  <c r="AZ218" i="12"/>
  <c r="BA218" i="12" s="1"/>
  <c r="BZ218" i="12"/>
  <c r="AY218" i="12" s="1"/>
  <c r="AS218" i="12"/>
  <c r="BU218" i="12"/>
  <c r="AR218" i="12" s="1"/>
  <c r="BR220" i="12"/>
  <c r="BW220" i="12"/>
  <c r="BS219" i="12"/>
  <c r="BT219" i="12" s="1"/>
  <c r="BX219" i="12"/>
  <c r="BY219" i="12" s="1"/>
  <c r="BE223" i="12" l="1"/>
  <c r="CD220" i="12"/>
  <c r="CE219" i="12"/>
  <c r="AN219" i="12" s="1"/>
  <c r="AZ219" i="12"/>
  <c r="AM221" i="12"/>
  <c r="AO221" i="12" s="1"/>
  <c r="CC224" i="12"/>
  <c r="CB225" i="12"/>
  <c r="AS219" i="12"/>
  <c r="BU219" i="12"/>
  <c r="AR219" i="12" s="1"/>
  <c r="BR221" i="12"/>
  <c r="BW221" i="12"/>
  <c r="BS220" i="12"/>
  <c r="BT220" i="12" s="1"/>
  <c r="BX220" i="12"/>
  <c r="BY220" i="12" s="1"/>
  <c r="BE224" i="12" l="1"/>
  <c r="CD221" i="12"/>
  <c r="AZ220" i="12"/>
  <c r="BZ219" i="12"/>
  <c r="AY219" i="12" s="1"/>
  <c r="CE220" i="12"/>
  <c r="AN220" i="12" s="1"/>
  <c r="AM222" i="12"/>
  <c r="AO222" i="12" s="1"/>
  <c r="CC225" i="12"/>
  <c r="CB226" i="12"/>
  <c r="BZ220" i="12"/>
  <c r="AY220" i="12" s="1"/>
  <c r="AS220" i="12"/>
  <c r="BU220" i="12"/>
  <c r="AR220" i="12" s="1"/>
  <c r="BR222" i="12"/>
  <c r="BW222" i="12"/>
  <c r="BS221" i="12"/>
  <c r="BT221" i="12" s="1"/>
  <c r="BX221" i="12"/>
  <c r="BY221" i="12" s="1"/>
  <c r="BE225" i="12" l="1"/>
  <c r="CD222" i="12"/>
  <c r="CE221" i="12"/>
  <c r="AN221" i="12" s="1"/>
  <c r="BZ221" i="12"/>
  <c r="AY221" i="12" s="1"/>
  <c r="AM223" i="12"/>
  <c r="AO223" i="12" s="1"/>
  <c r="CC226" i="12"/>
  <c r="CB227" i="12"/>
  <c r="BR223" i="12"/>
  <c r="BW223" i="12"/>
  <c r="BS222" i="12"/>
  <c r="BT222" i="12" s="1"/>
  <c r="BX222" i="12"/>
  <c r="BY222" i="12" s="1"/>
  <c r="AS221" i="12"/>
  <c r="BU221" i="12"/>
  <c r="AR221" i="12" s="1"/>
  <c r="BE226" i="12" l="1"/>
  <c r="CD223" i="12"/>
  <c r="AZ221" i="12"/>
  <c r="CE222" i="12"/>
  <c r="AN222" i="12" s="1"/>
  <c r="BZ222" i="12"/>
  <c r="AY222" i="12" s="1"/>
  <c r="AM224" i="12"/>
  <c r="AO224" i="12" s="1"/>
  <c r="CC227" i="12"/>
  <c r="CB228" i="12"/>
  <c r="BR224" i="12"/>
  <c r="BS223" i="12"/>
  <c r="BT223" i="12" s="1"/>
  <c r="BW224" i="12"/>
  <c r="BX223" i="12"/>
  <c r="BY223" i="12" s="1"/>
  <c r="AS222" i="12"/>
  <c r="BU222" i="12"/>
  <c r="AR222" i="12" s="1"/>
  <c r="BE227" i="12" l="1"/>
  <c r="CD224" i="12"/>
  <c r="AZ222" i="12"/>
  <c r="BA222" i="12" s="1"/>
  <c r="CE223" i="12"/>
  <c r="AN223" i="12" s="1"/>
  <c r="AM225" i="12"/>
  <c r="AO225" i="12" s="1"/>
  <c r="CC228" i="12"/>
  <c r="CB229" i="12"/>
  <c r="AZ223" i="12"/>
  <c r="BA223" i="12" s="1"/>
  <c r="BZ223" i="12"/>
  <c r="AY223" i="12" s="1"/>
  <c r="AS223" i="12"/>
  <c r="BU223" i="12"/>
  <c r="AR223" i="12" s="1"/>
  <c r="BR225" i="12"/>
  <c r="BW225" i="12"/>
  <c r="BX224" i="12"/>
  <c r="BY224" i="12" s="1"/>
  <c r="BS224" i="12"/>
  <c r="BT224" i="12" s="1"/>
  <c r="BE228" i="12" l="1"/>
  <c r="CD225" i="12"/>
  <c r="CE224" i="12"/>
  <c r="AN224" i="12" s="1"/>
  <c r="AM226" i="12"/>
  <c r="AO226" i="12" s="1"/>
  <c r="CC229" i="12"/>
  <c r="CB230" i="12"/>
  <c r="AZ224" i="12"/>
  <c r="BA224" i="12" s="1"/>
  <c r="BZ224" i="12"/>
  <c r="AY224" i="12" s="1"/>
  <c r="AS224" i="12"/>
  <c r="BU224" i="12"/>
  <c r="AR224" i="12" s="1"/>
  <c r="BR226" i="12"/>
  <c r="BW226" i="12"/>
  <c r="BS225" i="12"/>
  <c r="BT225" i="12" s="1"/>
  <c r="BX225" i="12"/>
  <c r="BY225" i="12" s="1"/>
  <c r="BE229" i="12" l="1"/>
  <c r="AZ225" i="12"/>
  <c r="CD226" i="12"/>
  <c r="CE225" i="12"/>
  <c r="AN225" i="12" s="1"/>
  <c r="AM227" i="12"/>
  <c r="AO227" i="12" s="1"/>
  <c r="CC230" i="12"/>
  <c r="CB231" i="12"/>
  <c r="BZ225" i="12"/>
  <c r="AY225" i="12" s="1"/>
  <c r="BR227" i="12"/>
  <c r="BW227" i="12"/>
  <c r="BX226" i="12"/>
  <c r="BS226" i="12"/>
  <c r="BT226" i="12" s="1"/>
  <c r="AS225" i="12"/>
  <c r="BU225" i="12"/>
  <c r="AR225" i="12" s="1"/>
  <c r="BE230" i="12" l="1"/>
  <c r="CD227" i="12"/>
  <c r="BY226" i="12"/>
  <c r="AZ226" i="12" s="1"/>
  <c r="CE226" i="12"/>
  <c r="AN226" i="12" s="1"/>
  <c r="AM228" i="12"/>
  <c r="AO228" i="12" s="1"/>
  <c r="CC231" i="12"/>
  <c r="CB232" i="12"/>
  <c r="AS226" i="12"/>
  <c r="BU226" i="12"/>
  <c r="AR226" i="12" s="1"/>
  <c r="BR228" i="12"/>
  <c r="BW228" i="12"/>
  <c r="BS227" i="12"/>
  <c r="BT227" i="12" s="1"/>
  <c r="BX227" i="12"/>
  <c r="BY227" i="12" s="1"/>
  <c r="BE231" i="12" l="1"/>
  <c r="CD228" i="12"/>
  <c r="BZ226" i="12"/>
  <c r="AY226" i="12" s="1"/>
  <c r="CE227" i="12"/>
  <c r="AN227" i="12" s="1"/>
  <c r="AM229" i="12"/>
  <c r="AO229" i="12" s="1"/>
  <c r="CC232" i="12"/>
  <c r="CB233" i="12"/>
  <c r="BZ227" i="12"/>
  <c r="AY227" i="12" s="1"/>
  <c r="AZ227" i="12"/>
  <c r="BA227" i="12" s="1"/>
  <c r="AS227" i="12"/>
  <c r="BU227" i="12"/>
  <c r="AR227" i="12" s="1"/>
  <c r="BR229" i="12"/>
  <c r="BW229" i="12"/>
  <c r="BS228" i="12"/>
  <c r="BT228" i="12" s="1"/>
  <c r="BX228" i="12"/>
  <c r="BY228" i="12" s="1"/>
  <c r="BE232" i="12" l="1"/>
  <c r="AZ228" i="12"/>
  <c r="BA228" i="12" s="1"/>
  <c r="CD229" i="12"/>
  <c r="CE228" i="12"/>
  <c r="AN228" i="12" s="1"/>
  <c r="AM230" i="12"/>
  <c r="AO230" i="12" s="1"/>
  <c r="CC233" i="12"/>
  <c r="CB234" i="12"/>
  <c r="BZ228" i="12"/>
  <c r="AY228" i="12" s="1"/>
  <c r="AS228" i="12"/>
  <c r="BU228" i="12"/>
  <c r="AR228" i="12" s="1"/>
  <c r="BW230" i="12"/>
  <c r="BR230" i="12"/>
  <c r="BS229" i="12"/>
  <c r="BT229" i="12" s="1"/>
  <c r="BX229" i="12"/>
  <c r="BY229" i="12" s="1"/>
  <c r="BE233" i="12" l="1"/>
  <c r="CD230" i="12"/>
  <c r="CE229" i="12"/>
  <c r="AN229" i="12" s="1"/>
  <c r="AM231" i="12"/>
  <c r="AO231" i="12" s="1"/>
  <c r="CC234" i="12"/>
  <c r="CB235" i="12"/>
  <c r="BZ229" i="12"/>
  <c r="AY229" i="12" s="1"/>
  <c r="AZ229" i="12"/>
  <c r="BA229" i="12" s="1"/>
  <c r="AS229" i="12"/>
  <c r="BU229" i="12"/>
  <c r="AR229" i="12" s="1"/>
  <c r="BR231" i="12"/>
  <c r="BW231" i="12"/>
  <c r="BX230" i="12"/>
  <c r="BY230" i="12" s="1"/>
  <c r="BS230" i="12"/>
  <c r="BT230" i="12" s="1"/>
  <c r="BE234" i="12" l="1"/>
  <c r="BZ230" i="12"/>
  <c r="AY230" i="12" s="1"/>
  <c r="CD231" i="12"/>
  <c r="CE230" i="12"/>
  <c r="AN230" i="12" s="1"/>
  <c r="AM232" i="12"/>
  <c r="AO232" i="12" s="1"/>
  <c r="CC235" i="12"/>
  <c r="CB236" i="12"/>
  <c r="AZ230" i="12"/>
  <c r="BA230" i="12" s="1"/>
  <c r="BR232" i="12"/>
  <c r="BW232" i="12"/>
  <c r="BS231" i="12"/>
  <c r="BT231" i="12" s="1"/>
  <c r="BX231" i="12"/>
  <c r="BY231" i="12" s="1"/>
  <c r="AS230" i="12"/>
  <c r="BU230" i="12"/>
  <c r="AR230" i="12" s="1"/>
  <c r="BE235" i="12" l="1"/>
  <c r="CD232" i="12"/>
  <c r="AZ231" i="12"/>
  <c r="CE231" i="12"/>
  <c r="AN231" i="12" s="1"/>
  <c r="AM233" i="12"/>
  <c r="AO233" i="12" s="1"/>
  <c r="CC236" i="12"/>
  <c r="CB237" i="12"/>
  <c r="AS231" i="12"/>
  <c r="BU231" i="12"/>
  <c r="AR231" i="12" s="1"/>
  <c r="BR233" i="12"/>
  <c r="BW233" i="12"/>
  <c r="BX232" i="12"/>
  <c r="BY232" i="12" s="1"/>
  <c r="BS232" i="12"/>
  <c r="BT232" i="12" s="1"/>
  <c r="BE236" i="12" l="1"/>
  <c r="CD233" i="12"/>
  <c r="BZ231" i="12"/>
  <c r="AY231" i="12" s="1"/>
  <c r="CE232" i="12"/>
  <c r="AN232" i="12" s="1"/>
  <c r="AM234" i="12"/>
  <c r="AO234" i="12" s="1"/>
  <c r="CC237" i="12"/>
  <c r="CB238" i="12"/>
  <c r="AZ232" i="12"/>
  <c r="BZ232" i="12"/>
  <c r="AY232" i="12" s="1"/>
  <c r="AS232" i="12"/>
  <c r="BU232" i="12"/>
  <c r="AR232" i="12" s="1"/>
  <c r="BW234" i="12"/>
  <c r="BR234" i="12"/>
  <c r="BS233" i="12"/>
  <c r="BT233" i="12" s="1"/>
  <c r="BX233" i="12"/>
  <c r="BY233" i="12" s="1"/>
  <c r="BE237" i="12" l="1"/>
  <c r="CD234" i="12"/>
  <c r="CE233" i="12"/>
  <c r="AN233" i="12" s="1"/>
  <c r="AM235" i="12"/>
  <c r="AO235" i="12" s="1"/>
  <c r="CC238" i="12"/>
  <c r="CB239" i="12"/>
  <c r="BZ233" i="12"/>
  <c r="AY233" i="12" s="1"/>
  <c r="AZ233" i="12"/>
  <c r="BR235" i="12"/>
  <c r="BW235" i="12"/>
  <c r="BX234" i="12"/>
  <c r="BY234" i="12" s="1"/>
  <c r="BS234" i="12"/>
  <c r="BT234" i="12" s="1"/>
  <c r="AS233" i="12"/>
  <c r="BU233" i="12"/>
  <c r="AR233" i="12" s="1"/>
  <c r="BE238" i="12" l="1"/>
  <c r="CD235" i="12"/>
  <c r="CE234" i="12"/>
  <c r="AN234" i="12" s="1"/>
  <c r="AZ234" i="12"/>
  <c r="BA234" i="12" s="1"/>
  <c r="AM236" i="12"/>
  <c r="AO236" i="12" s="1"/>
  <c r="CC239" i="12"/>
  <c r="CB240" i="12"/>
  <c r="BR236" i="12"/>
  <c r="BW236" i="12"/>
  <c r="BS235" i="12"/>
  <c r="BT235" i="12" s="1"/>
  <c r="BX235" i="12"/>
  <c r="BY235" i="12" s="1"/>
  <c r="AS234" i="12"/>
  <c r="BU234" i="12"/>
  <c r="AR234" i="12" s="1"/>
  <c r="BE239" i="12" l="1"/>
  <c r="CD236" i="12"/>
  <c r="BZ234" i="12"/>
  <c r="AY234" i="12" s="1"/>
  <c r="CE235" i="12"/>
  <c r="AN235" i="12" s="1"/>
  <c r="AM237" i="12"/>
  <c r="AO237" i="12" s="1"/>
  <c r="CC240" i="12"/>
  <c r="CB241" i="12"/>
  <c r="AZ235" i="12"/>
  <c r="BA235" i="12" s="1"/>
  <c r="BZ235" i="12"/>
  <c r="AY235" i="12" s="1"/>
  <c r="AS235" i="12"/>
  <c r="BU235" i="12"/>
  <c r="AR235" i="12" s="1"/>
  <c r="BR237" i="12"/>
  <c r="BW237" i="12"/>
  <c r="BS236" i="12"/>
  <c r="BT236" i="12" s="1"/>
  <c r="BX236" i="12"/>
  <c r="BY236" i="12" s="1"/>
  <c r="BE240" i="12" l="1"/>
  <c r="CD237" i="12"/>
  <c r="BZ236" i="12"/>
  <c r="AY236" i="12" s="1"/>
  <c r="CB242" i="12"/>
  <c r="CE236" i="12"/>
  <c r="AN236" i="12" s="1"/>
  <c r="AM238" i="12"/>
  <c r="AO238" i="12" s="1"/>
  <c r="CC241" i="12"/>
  <c r="AZ236" i="12"/>
  <c r="BA236" i="12" s="1"/>
  <c r="AS236" i="12"/>
  <c r="BU236" i="12"/>
  <c r="AR236" i="12" s="1"/>
  <c r="BR238" i="12"/>
  <c r="BW238" i="12"/>
  <c r="BS237" i="12"/>
  <c r="BT237" i="12" s="1"/>
  <c r="BX237" i="12"/>
  <c r="BY237" i="12" s="1"/>
  <c r="BE241" i="12" l="1"/>
  <c r="CD238" i="12"/>
  <c r="CC242" i="12"/>
  <c r="CB243" i="12"/>
  <c r="CE237" i="12"/>
  <c r="AN237" i="12" s="1"/>
  <c r="AM239" i="12"/>
  <c r="AO239" i="12" s="1"/>
  <c r="AZ237" i="12"/>
  <c r="BA237" i="12" s="1"/>
  <c r="BZ237" i="12"/>
  <c r="AY237" i="12" s="1"/>
  <c r="AS237" i="12"/>
  <c r="BU237" i="12"/>
  <c r="AR237" i="12" s="1"/>
  <c r="BR239" i="12"/>
  <c r="BW239" i="12"/>
  <c r="BS238" i="12"/>
  <c r="BT238" i="12" s="1"/>
  <c r="BX238" i="12"/>
  <c r="BE242" i="12" l="1"/>
  <c r="CD239" i="12"/>
  <c r="BY238" i="12"/>
  <c r="AZ238" i="12" s="1"/>
  <c r="CC243" i="12"/>
  <c r="CB244" i="12"/>
  <c r="CE238" i="12"/>
  <c r="AN238" i="12" s="1"/>
  <c r="AM240" i="12"/>
  <c r="AO240" i="12" s="1"/>
  <c r="BR240" i="12"/>
  <c r="BW240" i="12"/>
  <c r="BS239" i="12"/>
  <c r="BT239" i="12" s="1"/>
  <c r="BX239" i="12"/>
  <c r="BY239" i="12" s="1"/>
  <c r="AS238" i="12"/>
  <c r="BU238" i="12"/>
  <c r="AR238" i="12" s="1"/>
  <c r="BE243" i="12" l="1"/>
  <c r="BZ238" i="12"/>
  <c r="AY238" i="12" s="1"/>
  <c r="CD240" i="12"/>
  <c r="CB245" i="12"/>
  <c r="CC244" i="12"/>
  <c r="CE239" i="12"/>
  <c r="AN239" i="12" s="1"/>
  <c r="BZ239" i="12"/>
  <c r="AY239" i="12" s="1"/>
  <c r="AM241" i="12"/>
  <c r="AO241" i="12" s="1"/>
  <c r="BR241" i="12"/>
  <c r="BW241" i="12"/>
  <c r="BS240" i="12"/>
  <c r="BT240" i="12" s="1"/>
  <c r="BX240" i="12"/>
  <c r="BY240" i="12" s="1"/>
  <c r="AS239" i="12"/>
  <c r="BU239" i="12"/>
  <c r="AR239" i="12" s="1"/>
  <c r="BE244" i="12" l="1"/>
  <c r="CD241" i="12"/>
  <c r="CC245" i="12"/>
  <c r="CB246" i="12"/>
  <c r="AM242" i="12"/>
  <c r="AO242" i="12" s="1"/>
  <c r="CE240" i="12"/>
  <c r="AN240" i="12" s="1"/>
  <c r="AZ239" i="12"/>
  <c r="BA239" i="12" s="1"/>
  <c r="AZ240" i="12"/>
  <c r="BA240" i="12" s="1"/>
  <c r="BZ240" i="12"/>
  <c r="AY240" i="12" s="1"/>
  <c r="AS240" i="12"/>
  <c r="BU240" i="12"/>
  <c r="AR240" i="12" s="1"/>
  <c r="BW242" i="12"/>
  <c r="BR242" i="12"/>
  <c r="CD242" i="12" s="1"/>
  <c r="BX241" i="12"/>
  <c r="BY241" i="12" s="1"/>
  <c r="BS241" i="12"/>
  <c r="BT241" i="12" s="1"/>
  <c r="BE245" i="12" l="1"/>
  <c r="AZ241" i="12"/>
  <c r="BA241" i="12" s="1"/>
  <c r="CC246" i="12"/>
  <c r="CB247" i="12"/>
  <c r="CE242" i="12"/>
  <c r="AN242" i="12" s="1"/>
  <c r="AM243" i="12"/>
  <c r="AO243" i="12" s="1"/>
  <c r="CE241" i="12"/>
  <c r="AN241" i="12" s="1"/>
  <c r="BZ241" i="12"/>
  <c r="AY241" i="12" s="1"/>
  <c r="AS241" i="12"/>
  <c r="BU241" i="12"/>
  <c r="AR241" i="12" s="1"/>
  <c r="BX242" i="12"/>
  <c r="BY242" i="12" s="1"/>
  <c r="BR243" i="12"/>
  <c r="CD243" i="12" s="1"/>
  <c r="BS242" i="12"/>
  <c r="BT242" i="12" s="1"/>
  <c r="BW243" i="12"/>
  <c r="BE246" i="12" l="1"/>
  <c r="CB248" i="12"/>
  <c r="CC247" i="12"/>
  <c r="AS242" i="12"/>
  <c r="AM244" i="12"/>
  <c r="AO244" i="12" s="1"/>
  <c r="BU242" i="12"/>
  <c r="AR242" i="12" s="1"/>
  <c r="BW244" i="12"/>
  <c r="BR244" i="12"/>
  <c r="CD244" i="12" s="1"/>
  <c r="BX243" i="12"/>
  <c r="BY243" i="12" s="1"/>
  <c r="BS243" i="12"/>
  <c r="BT243" i="12" s="1"/>
  <c r="BE247" i="12" l="1"/>
  <c r="CB249" i="12"/>
  <c r="CB250" i="12" s="1"/>
  <c r="CC248" i="12"/>
  <c r="CE243" i="12"/>
  <c r="AN243" i="12" s="1"/>
  <c r="CE244" i="12"/>
  <c r="AN244" i="12" s="1"/>
  <c r="BZ242" i="12"/>
  <c r="AY242" i="12" s="1"/>
  <c r="AZ242" i="12"/>
  <c r="BA242" i="12" s="1"/>
  <c r="AM245" i="12"/>
  <c r="AO245" i="12" s="1"/>
  <c r="BZ243" i="12"/>
  <c r="AY243" i="12" s="1"/>
  <c r="AZ243" i="12"/>
  <c r="BA243" i="12" s="1"/>
  <c r="BS244" i="12"/>
  <c r="BT244" i="12" s="1"/>
  <c r="BX244" i="12"/>
  <c r="BY244" i="12" s="1"/>
  <c r="BW245" i="12"/>
  <c r="BR245" i="12"/>
  <c r="CD245" i="12" s="1"/>
  <c r="BE248" i="12" l="1"/>
  <c r="CC249" i="12"/>
  <c r="CE245" i="12"/>
  <c r="AN245" i="12" s="1"/>
  <c r="CB251" i="12"/>
  <c r="CC250" i="12"/>
  <c r="BU244" i="12"/>
  <c r="AR244" i="12" s="1"/>
  <c r="AS244" i="12"/>
  <c r="BU243" i="12"/>
  <c r="AR243" i="12" s="1"/>
  <c r="AS243" i="12"/>
  <c r="AM246" i="12"/>
  <c r="AO246" i="12" s="1"/>
  <c r="BW246" i="12"/>
  <c r="BX245" i="12"/>
  <c r="BY245" i="12" s="1"/>
  <c r="BS245" i="12"/>
  <c r="BT245" i="12" s="1"/>
  <c r="AS245" i="12" s="1"/>
  <c r="BR246" i="12"/>
  <c r="CD246" i="12" s="1"/>
  <c r="BE249" i="12" l="1"/>
  <c r="CE246" i="12"/>
  <c r="AN246" i="12" s="1"/>
  <c r="CB252" i="12"/>
  <c r="CC251" i="12"/>
  <c r="BZ244" i="12"/>
  <c r="AY244" i="12" s="1"/>
  <c r="AZ244" i="12"/>
  <c r="AM247" i="12"/>
  <c r="AO247" i="12" s="1"/>
  <c r="BU245" i="12"/>
  <c r="AR245" i="12" s="1"/>
  <c r="BX246" i="12"/>
  <c r="BY246" i="12" s="1"/>
  <c r="BR247" i="12"/>
  <c r="CD247" i="12" s="1"/>
  <c r="BW247" i="12"/>
  <c r="BS246" i="12"/>
  <c r="BT246" i="12" s="1"/>
  <c r="BE250" i="12" l="1"/>
  <c r="AS246" i="12"/>
  <c r="CE247" i="12"/>
  <c r="AN247" i="12" s="1"/>
  <c r="CB253" i="12"/>
  <c r="CC252" i="12"/>
  <c r="BZ245" i="12"/>
  <c r="AY245" i="12" s="1"/>
  <c r="AZ245" i="12"/>
  <c r="BA245" i="12" s="1"/>
  <c r="AM248" i="12"/>
  <c r="AO248" i="12" s="1"/>
  <c r="BU246" i="12"/>
  <c r="AR246" i="12" s="1"/>
  <c r="BS247" i="12"/>
  <c r="BT247" i="12" s="1"/>
  <c r="BW248" i="12"/>
  <c r="BX247" i="12"/>
  <c r="BY247" i="12" s="1"/>
  <c r="BR248" i="12"/>
  <c r="CD248" i="12" s="1"/>
  <c r="BE251" i="12" l="1"/>
  <c r="AS247" i="12"/>
  <c r="CB254" i="12"/>
  <c r="CC253" i="12"/>
  <c r="BZ246" i="12"/>
  <c r="AY246" i="12" s="1"/>
  <c r="AZ246" i="12"/>
  <c r="BA246" i="12" s="1"/>
  <c r="AM249" i="12"/>
  <c r="AO249" i="12" s="1"/>
  <c r="BZ247" i="12"/>
  <c r="AY247" i="12" s="1"/>
  <c r="AZ247" i="12"/>
  <c r="BA247" i="12" s="1"/>
  <c r="BU247" i="12"/>
  <c r="AR247" i="12" s="1"/>
  <c r="BS248" i="12"/>
  <c r="BT248" i="12" s="1"/>
  <c r="BW249" i="12"/>
  <c r="BX248" i="12"/>
  <c r="BY248" i="12" s="1"/>
  <c r="BR249" i="12"/>
  <c r="CD249" i="12" s="1"/>
  <c r="BE252" i="12" l="1"/>
  <c r="CE248" i="12"/>
  <c r="AN248" i="12" s="1"/>
  <c r="CE249" i="12"/>
  <c r="AN249" i="12" s="1"/>
  <c r="CB255" i="12"/>
  <c r="CC254" i="12"/>
  <c r="BZ248" i="12"/>
  <c r="AY248" i="12" s="1"/>
  <c r="AZ248" i="12"/>
  <c r="BA248" i="12" s="1"/>
  <c r="AM250" i="12"/>
  <c r="AO250" i="12" s="1"/>
  <c r="BS249" i="12"/>
  <c r="BT249" i="12" s="1"/>
  <c r="BW250" i="12"/>
  <c r="BX249" i="12"/>
  <c r="BR250" i="12"/>
  <c r="CD250" i="12" s="1"/>
  <c r="BE253" i="12" l="1"/>
  <c r="BY249" i="12"/>
  <c r="BZ249" i="12" s="1"/>
  <c r="AY249" i="12" s="1"/>
  <c r="AS249" i="12"/>
  <c r="CE250" i="12"/>
  <c r="AN250" i="12" s="1"/>
  <c r="CB256" i="12"/>
  <c r="CC255" i="12"/>
  <c r="BU248" i="12"/>
  <c r="AR248" i="12" s="1"/>
  <c r="AS248" i="12"/>
  <c r="AM251" i="12"/>
  <c r="AO251" i="12" s="1"/>
  <c r="BU249" i="12"/>
  <c r="AR249" i="12" s="1"/>
  <c r="BS250" i="12"/>
  <c r="BT250" i="12" s="1"/>
  <c r="BW251" i="12"/>
  <c r="BX250" i="12"/>
  <c r="BY250" i="12" s="1"/>
  <c r="BR251" i="12"/>
  <c r="CD251" i="12" s="1"/>
  <c r="BE254" i="12" l="1"/>
  <c r="AZ249" i="12"/>
  <c r="BA249" i="12" s="1"/>
  <c r="AS250" i="12"/>
  <c r="CE251" i="12"/>
  <c r="AN251" i="12" s="1"/>
  <c r="CB257" i="12"/>
  <c r="CC256" i="12"/>
  <c r="AM252" i="12"/>
  <c r="AO252" i="12" s="1"/>
  <c r="BZ250" i="12"/>
  <c r="AY250" i="12" s="1"/>
  <c r="AZ250" i="12"/>
  <c r="BU250" i="12"/>
  <c r="AR250" i="12" s="1"/>
  <c r="BS251" i="12"/>
  <c r="BT251" i="12" s="1"/>
  <c r="BW252" i="12"/>
  <c r="BX251" i="12"/>
  <c r="BY251" i="12" s="1"/>
  <c r="BR252" i="12"/>
  <c r="CD252" i="12" s="1"/>
  <c r="BE255" i="12" l="1"/>
  <c r="AZ251" i="12"/>
  <c r="BA251" i="12" s="1"/>
  <c r="AS251" i="12"/>
  <c r="CE252" i="12"/>
  <c r="AN252" i="12" s="1"/>
  <c r="CB258" i="12"/>
  <c r="CC257" i="12"/>
  <c r="AM253" i="12"/>
  <c r="AO253" i="12" s="1"/>
  <c r="BU251" i="12"/>
  <c r="AR251" i="12" s="1"/>
  <c r="BZ251" i="12"/>
  <c r="AY251" i="12" s="1"/>
  <c r="BS252" i="12"/>
  <c r="BT252" i="12" s="1"/>
  <c r="AS252" i="12" s="1"/>
  <c r="BW253" i="12"/>
  <c r="BX252" i="12"/>
  <c r="BY252" i="12" s="1"/>
  <c r="BR253" i="12"/>
  <c r="CD253" i="12" s="1"/>
  <c r="BE256" i="12" l="1"/>
  <c r="CE253" i="12"/>
  <c r="AN253" i="12" s="1"/>
  <c r="CB259" i="12"/>
  <c r="CC258" i="12"/>
  <c r="AM254" i="12"/>
  <c r="AO254" i="12" s="1"/>
  <c r="BU252" i="12"/>
  <c r="AR252" i="12" s="1"/>
  <c r="BS253" i="12"/>
  <c r="BT253" i="12" s="1"/>
  <c r="BW254" i="12"/>
  <c r="BX253" i="12"/>
  <c r="BY253" i="12" s="1"/>
  <c r="AZ253" i="12" s="1"/>
  <c r="BA253" i="12" s="1"/>
  <c r="BR254" i="12"/>
  <c r="CD254" i="12" s="1"/>
  <c r="BE257" i="12" l="1"/>
  <c r="CE254" i="12"/>
  <c r="AN254" i="12" s="1"/>
  <c r="CB260" i="12"/>
  <c r="CC259" i="12"/>
  <c r="AM255" i="12"/>
  <c r="AO255" i="12" s="1"/>
  <c r="BZ252" i="12"/>
  <c r="AY252" i="12" s="1"/>
  <c r="AZ252" i="12"/>
  <c r="BA252" i="12" s="1"/>
  <c r="BZ253" i="12"/>
  <c r="AY253" i="12" s="1"/>
  <c r="BS254" i="12"/>
  <c r="BT254" i="12" s="1"/>
  <c r="BW255" i="12"/>
  <c r="BX254" i="12"/>
  <c r="BY254" i="12" s="1"/>
  <c r="BR255" i="12"/>
  <c r="CD255" i="12" s="1"/>
  <c r="BE258" i="12" l="1"/>
  <c r="AS254" i="12"/>
  <c r="CB261" i="12"/>
  <c r="CC260" i="12"/>
  <c r="AM256" i="12"/>
  <c r="AO256" i="12" s="1"/>
  <c r="BU253" i="12"/>
  <c r="AR253" i="12" s="1"/>
  <c r="AS253" i="12"/>
  <c r="BU254" i="12"/>
  <c r="AR254" i="12" s="1"/>
  <c r="BS255" i="12"/>
  <c r="BT255" i="12" s="1"/>
  <c r="BW256" i="12"/>
  <c r="BX255" i="12"/>
  <c r="BY255" i="12" s="1"/>
  <c r="BR256" i="12"/>
  <c r="CD256" i="12" s="1"/>
  <c r="BE259" i="12" l="1"/>
  <c r="CE255" i="12"/>
  <c r="AN255" i="12" s="1"/>
  <c r="CE256" i="12"/>
  <c r="AN256" i="12" s="1"/>
  <c r="CB262" i="12"/>
  <c r="CC261" i="12"/>
  <c r="AM257" i="12"/>
  <c r="AO257" i="12" s="1"/>
  <c r="BZ254" i="12"/>
  <c r="AY254" i="12" s="1"/>
  <c r="AZ254" i="12"/>
  <c r="BA254" i="12" s="1"/>
  <c r="BS256" i="12"/>
  <c r="BT256" i="12" s="1"/>
  <c r="BW257" i="12"/>
  <c r="BX256" i="12"/>
  <c r="BY256" i="12" s="1"/>
  <c r="BR257" i="12"/>
  <c r="CD257" i="12" s="1"/>
  <c r="BE260" i="12" l="1"/>
  <c r="CE257" i="12"/>
  <c r="AN257" i="12" s="1"/>
  <c r="CB263" i="12"/>
  <c r="CC262" i="12"/>
  <c r="BZ255" i="12"/>
  <c r="AY255" i="12" s="1"/>
  <c r="AZ255" i="12"/>
  <c r="BA255" i="12" s="1"/>
  <c r="AM258" i="12"/>
  <c r="AO258" i="12" s="1"/>
  <c r="BU255" i="12"/>
  <c r="AR255" i="12" s="1"/>
  <c r="AS255" i="12"/>
  <c r="BS257" i="12"/>
  <c r="BT257" i="12" s="1"/>
  <c r="BW258" i="12"/>
  <c r="BX257" i="12"/>
  <c r="BY257" i="12" s="1"/>
  <c r="BR258" i="12"/>
  <c r="CD258" i="12" s="1"/>
  <c r="BE261" i="12" l="1"/>
  <c r="AZ257" i="12"/>
  <c r="BA257" i="12" s="1"/>
  <c r="CE258" i="12"/>
  <c r="AN258" i="12" s="1"/>
  <c r="CB264" i="12"/>
  <c r="CC263" i="12"/>
  <c r="BU256" i="12"/>
  <c r="AR256" i="12" s="1"/>
  <c r="AS256" i="12"/>
  <c r="BZ256" i="12"/>
  <c r="AY256" i="12" s="1"/>
  <c r="AZ256" i="12"/>
  <c r="AM259" i="12"/>
  <c r="AO259" i="12" s="1"/>
  <c r="BU257" i="12"/>
  <c r="AR257" i="12" s="1"/>
  <c r="AS257" i="12"/>
  <c r="BZ257" i="12"/>
  <c r="AY257" i="12" s="1"/>
  <c r="BS258" i="12"/>
  <c r="BT258" i="12" s="1"/>
  <c r="BW259" i="12"/>
  <c r="BX258" i="12"/>
  <c r="BY258" i="12" s="1"/>
  <c r="AZ258" i="12" s="1"/>
  <c r="BA258" i="12" s="1"/>
  <c r="BR259" i="12"/>
  <c r="CD259" i="12" s="1"/>
  <c r="BE262" i="12" l="1"/>
  <c r="AS258" i="12"/>
  <c r="CE259" i="12"/>
  <c r="AN259" i="12" s="1"/>
  <c r="CB265" i="12"/>
  <c r="CC264" i="12"/>
  <c r="AM260" i="12"/>
  <c r="AO260" i="12" s="1"/>
  <c r="BU258" i="12"/>
  <c r="AR258" i="12" s="1"/>
  <c r="BZ258" i="12"/>
  <c r="AY258" i="12" s="1"/>
  <c r="BS259" i="12"/>
  <c r="BT259" i="12" s="1"/>
  <c r="AS259" i="12" s="1"/>
  <c r="BW260" i="12"/>
  <c r="BX259" i="12"/>
  <c r="BY259" i="12" s="1"/>
  <c r="BR260" i="12"/>
  <c r="CD260" i="12" s="1"/>
  <c r="BE263" i="12" l="1"/>
  <c r="CE260" i="12"/>
  <c r="AN260" i="12" s="1"/>
  <c r="CB266" i="12"/>
  <c r="CC265" i="12"/>
  <c r="AM261" i="12"/>
  <c r="AO261" i="12" s="1"/>
  <c r="BU259" i="12"/>
  <c r="AR259" i="12" s="1"/>
  <c r="BS260" i="12"/>
  <c r="BT260" i="12" s="1"/>
  <c r="BW261" i="12"/>
  <c r="BX260" i="12"/>
  <c r="BY260" i="12" s="1"/>
  <c r="AZ260" i="12" s="1"/>
  <c r="BA260" i="12" s="1"/>
  <c r="BR261" i="12"/>
  <c r="CD261" i="12" s="1"/>
  <c r="BE264" i="12" l="1"/>
  <c r="CE261" i="12"/>
  <c r="AN261" i="12" s="1"/>
  <c r="CB267" i="12"/>
  <c r="CC266" i="12"/>
  <c r="BZ259" i="12"/>
  <c r="AY259" i="12" s="1"/>
  <c r="AZ259" i="12"/>
  <c r="BA259" i="12" s="1"/>
  <c r="AM262" i="12"/>
  <c r="AO262" i="12" s="1"/>
  <c r="BZ260" i="12"/>
  <c r="AY260" i="12" s="1"/>
  <c r="BS261" i="12"/>
  <c r="BT261" i="12" s="1"/>
  <c r="BW262" i="12"/>
  <c r="BX261" i="12"/>
  <c r="BY261" i="12" s="1"/>
  <c r="BR262" i="12"/>
  <c r="CD262" i="12" s="1"/>
  <c r="BE265" i="12" l="1"/>
  <c r="AS261" i="12"/>
  <c r="CE262" i="12"/>
  <c r="AN262" i="12" s="1"/>
  <c r="CB268" i="12"/>
  <c r="CC267" i="12"/>
  <c r="AM263" i="12"/>
  <c r="AO263" i="12" s="1"/>
  <c r="BU260" i="12"/>
  <c r="AR260" i="12" s="1"/>
  <c r="AS260" i="12"/>
  <c r="BU261" i="12"/>
  <c r="AR261" i="12" s="1"/>
  <c r="BS262" i="12"/>
  <c r="BT262" i="12" s="1"/>
  <c r="BW263" i="12"/>
  <c r="BX262" i="12"/>
  <c r="BY262" i="12" s="1"/>
  <c r="BR263" i="12"/>
  <c r="CD263" i="12" s="1"/>
  <c r="BE266" i="12" l="1"/>
  <c r="AZ262" i="12"/>
  <c r="CE263" i="12"/>
  <c r="AN263" i="12" s="1"/>
  <c r="CB269" i="12"/>
  <c r="CC268" i="12"/>
  <c r="BR264" i="12"/>
  <c r="BW264" i="12"/>
  <c r="AM264" i="12"/>
  <c r="AO264" i="12" s="1"/>
  <c r="BZ261" i="12"/>
  <c r="AY261" i="12" s="1"/>
  <c r="AZ261" i="12"/>
  <c r="BA261" i="12" s="1"/>
  <c r="BZ262" i="12"/>
  <c r="AY262" i="12" s="1"/>
  <c r="BX263" i="12"/>
  <c r="BY263" i="12" s="1"/>
  <c r="AZ263" i="12" s="1"/>
  <c r="BA263" i="12" s="1"/>
  <c r="BS263" i="12"/>
  <c r="BT263" i="12" s="1"/>
  <c r="AS11" i="12"/>
  <c r="AS19" i="12"/>
  <c r="AS23" i="12"/>
  <c r="BU31" i="12"/>
  <c r="AR31" i="12" s="1"/>
  <c r="BU35" i="12"/>
  <c r="AR35" i="12" s="1"/>
  <c r="BU8" i="12"/>
  <c r="AR8" i="12" s="1"/>
  <c r="BU16" i="12"/>
  <c r="AR16" i="12" s="1"/>
  <c r="BU12" i="12"/>
  <c r="AR12" i="12" s="1"/>
  <c r="BU15" i="12"/>
  <c r="AR15" i="12" s="1"/>
  <c r="BU18" i="12"/>
  <c r="AR18" i="12" s="1"/>
  <c r="BU21" i="12"/>
  <c r="AR21" i="12" s="1"/>
  <c r="BU24" i="12"/>
  <c r="AR24" i="12" s="1"/>
  <c r="BU27" i="12"/>
  <c r="AR27" i="12" s="1"/>
  <c r="BU30" i="12"/>
  <c r="AR30" i="12" s="1"/>
  <c r="BU33" i="12"/>
  <c r="AR33" i="12" s="1"/>
  <c r="BU36" i="12"/>
  <c r="AR36" i="12" s="1"/>
  <c r="BU9" i="12"/>
  <c r="AR9" i="12" s="1"/>
  <c r="AR6" i="12"/>
  <c r="AS7" i="12"/>
  <c r="BE267" i="12" l="1"/>
  <c r="CD264" i="12"/>
  <c r="BR265" i="12"/>
  <c r="CD265" i="12" s="1"/>
  <c r="BS264" i="12"/>
  <c r="BT264" i="12" s="1"/>
  <c r="BU264" i="12" s="1"/>
  <c r="AR264" i="12" s="1"/>
  <c r="CB270" i="12"/>
  <c r="CC269" i="12"/>
  <c r="BW265" i="12"/>
  <c r="BX264" i="12"/>
  <c r="BY264" i="12" s="1"/>
  <c r="AM265" i="12"/>
  <c r="AO265" i="12" s="1"/>
  <c r="BU262" i="12"/>
  <c r="AR262" i="12" s="1"/>
  <c r="AS262" i="12"/>
  <c r="BZ263" i="12"/>
  <c r="AY263" i="12" s="1"/>
  <c r="AS9" i="12"/>
  <c r="AS24" i="12"/>
  <c r="BU7" i="12"/>
  <c r="AS6" i="12"/>
  <c r="AS33" i="12"/>
  <c r="AS18" i="12"/>
  <c r="AS15" i="12"/>
  <c r="BU14" i="12"/>
  <c r="AR14" i="12" s="1"/>
  <c r="AS14" i="12"/>
  <c r="BU17" i="12"/>
  <c r="AR17" i="12" s="1"/>
  <c r="AS17" i="12"/>
  <c r="BU20" i="12"/>
  <c r="AR20" i="12" s="1"/>
  <c r="AS20" i="12"/>
  <c r="AS30" i="12"/>
  <c r="AS27" i="12"/>
  <c r="AS12" i="12"/>
  <c r="BU34" i="12"/>
  <c r="AR34" i="12" s="1"/>
  <c r="AS34" i="12"/>
  <c r="BU10" i="12"/>
  <c r="AR10" i="12" s="1"/>
  <c r="AS10" i="12"/>
  <c r="BU13" i="12"/>
  <c r="AR13" i="12" s="1"/>
  <c r="AS13" i="12"/>
  <c r="BU26" i="12"/>
  <c r="AR26" i="12" s="1"/>
  <c r="AS26" i="12"/>
  <c r="BU29" i="12"/>
  <c r="AR29" i="12" s="1"/>
  <c r="AS29" i="12"/>
  <c r="BU32" i="12"/>
  <c r="AR32" i="12" s="1"/>
  <c r="AS32" i="12"/>
  <c r="AS36" i="12"/>
  <c r="AS21" i="12"/>
  <c r="BU22" i="12"/>
  <c r="AR22" i="12" s="1"/>
  <c r="AS22" i="12"/>
  <c r="BU25" i="12"/>
  <c r="AR25" i="12" s="1"/>
  <c r="AS25" i="12"/>
  <c r="BU28" i="12"/>
  <c r="AR28" i="12" s="1"/>
  <c r="AS28" i="12"/>
  <c r="AS16" i="12"/>
  <c r="AS8" i="12"/>
  <c r="AS31" i="12"/>
  <c r="BU23" i="12"/>
  <c r="AR23" i="12" s="1"/>
  <c r="BU11" i="12"/>
  <c r="AR11" i="12" s="1"/>
  <c r="AS35" i="12"/>
  <c r="BU19" i="12"/>
  <c r="AR19" i="12" s="1"/>
  <c r="BE268" i="12" l="1"/>
  <c r="BW266" i="12"/>
  <c r="BR266" i="12"/>
  <c r="CD266" i="12" s="1"/>
  <c r="BS265" i="12"/>
  <c r="BT265" i="12" s="1"/>
  <c r="BU265" i="12" s="1"/>
  <c r="AR265" i="12" s="1"/>
  <c r="BX265" i="12"/>
  <c r="BY265" i="12" s="1"/>
  <c r="AZ264" i="12"/>
  <c r="BA264" i="12" s="1"/>
  <c r="BZ264" i="12"/>
  <c r="AY264" i="12" s="1"/>
  <c r="CE264" i="12"/>
  <c r="AN264" i="12" s="1"/>
  <c r="CE265" i="12"/>
  <c r="AN265" i="12" s="1"/>
  <c r="AS264" i="12"/>
  <c r="CB271" i="12"/>
  <c r="CC270" i="12"/>
  <c r="BU263" i="12"/>
  <c r="AR263" i="12" s="1"/>
  <c r="AS263" i="12"/>
  <c r="AM266" i="12"/>
  <c r="AO266" i="12" s="1"/>
  <c r="AL7" i="12"/>
  <c r="AR7" i="12"/>
  <c r="BE269" i="12" l="1"/>
  <c r="AS265" i="12"/>
  <c r="AZ265" i="12"/>
  <c r="BA265" i="12" s="1"/>
  <c r="BZ265" i="12"/>
  <c r="AY265" i="12" s="1"/>
  <c r="BS266" i="12"/>
  <c r="BT266" i="12" s="1"/>
  <c r="AS266" i="12" s="1"/>
  <c r="BW267" i="12"/>
  <c r="BR267" i="12"/>
  <c r="CD267" i="12" s="1"/>
  <c r="BX266" i="12"/>
  <c r="CE266" i="12"/>
  <c r="AN266" i="12" s="1"/>
  <c r="CB272" i="12"/>
  <c r="CC271" i="12"/>
  <c r="AM267" i="12"/>
  <c r="AO267" i="12" s="1"/>
  <c r="BD7" i="12"/>
  <c r="BG7" i="12" s="1"/>
  <c r="AL8" i="12"/>
  <c r="BE270" i="12" l="1"/>
  <c r="BY266" i="12"/>
  <c r="BZ266" i="12" s="1"/>
  <c r="AY266" i="12" s="1"/>
  <c r="CE267" i="12"/>
  <c r="AN267" i="12" s="1"/>
  <c r="BU266" i="12"/>
  <c r="AR266" i="12" s="1"/>
  <c r="BW268" i="12"/>
  <c r="BR268" i="12"/>
  <c r="CD268" i="12" s="1"/>
  <c r="BS267" i="12"/>
  <c r="BT267" i="12" s="1"/>
  <c r="BX267" i="12"/>
  <c r="CB273" i="12"/>
  <c r="CC272" i="12"/>
  <c r="AM268" i="12"/>
  <c r="AO268" i="12" s="1"/>
  <c r="AL9" i="12"/>
  <c r="BD8" i="12"/>
  <c r="BG8" i="12" s="1"/>
  <c r="BE271" i="12" l="1"/>
  <c r="AZ266" i="12"/>
  <c r="BA266" i="12" s="1"/>
  <c r="BY267" i="12"/>
  <c r="AZ267" i="12" s="1"/>
  <c r="BA267" i="12" s="1"/>
  <c r="BU267" i="12"/>
  <c r="AR267" i="12" s="1"/>
  <c r="BS268" i="12"/>
  <c r="BT268" i="12" s="1"/>
  <c r="AS268" i="12" s="1"/>
  <c r="BR269" i="12"/>
  <c r="CD269" i="12" s="1"/>
  <c r="BX268" i="12"/>
  <c r="BY268" i="12" s="1"/>
  <c r="BZ268" i="12" s="1"/>
  <c r="AY268" i="12" s="1"/>
  <c r="CE268" i="12"/>
  <c r="AN268" i="12" s="1"/>
  <c r="BW269" i="12"/>
  <c r="AS267" i="12"/>
  <c r="CB274" i="12"/>
  <c r="CC273" i="12"/>
  <c r="AM269" i="12"/>
  <c r="AO269" i="12" s="1"/>
  <c r="BD9" i="12"/>
  <c r="BG9" i="12" s="1"/>
  <c r="AL10" i="12"/>
  <c r="BE272" i="12" l="1"/>
  <c r="BZ267" i="12"/>
  <c r="AY267" i="12" s="1"/>
  <c r="CE269" i="12"/>
  <c r="AN269" i="12" s="1"/>
  <c r="BX269" i="12"/>
  <c r="BY269" i="12" s="1"/>
  <c r="AZ269" i="12" s="1"/>
  <c r="BA269" i="12" s="1"/>
  <c r="AZ268" i="12"/>
  <c r="BS269" i="12"/>
  <c r="BT269" i="12" s="1"/>
  <c r="AS269" i="12" s="1"/>
  <c r="BR270" i="12"/>
  <c r="CD270" i="12" s="1"/>
  <c r="BW270" i="12"/>
  <c r="BU268" i="12"/>
  <c r="AR268" i="12" s="1"/>
  <c r="CB275" i="12"/>
  <c r="CC274" i="12"/>
  <c r="AM270" i="12"/>
  <c r="AO270" i="12" s="1"/>
  <c r="BD10" i="12"/>
  <c r="BG10" i="12" s="1"/>
  <c r="AL11" i="12"/>
  <c r="BE273" i="12" l="1"/>
  <c r="CE270" i="12"/>
  <c r="AN270" i="12" s="1"/>
  <c r="BZ269" i="12"/>
  <c r="AY269" i="12" s="1"/>
  <c r="BS270" i="12"/>
  <c r="BT270" i="12" s="1"/>
  <c r="BU270" i="12" s="1"/>
  <c r="AR270" i="12" s="1"/>
  <c r="BU269" i="12"/>
  <c r="AR269" i="12" s="1"/>
  <c r="BR271" i="12"/>
  <c r="CD271" i="12" s="1"/>
  <c r="BX270" i="12"/>
  <c r="BY270" i="12" s="1"/>
  <c r="BW271" i="12"/>
  <c r="CB276" i="12"/>
  <c r="CC275" i="12"/>
  <c r="AM271" i="12"/>
  <c r="AO271" i="12" s="1"/>
  <c r="BD11" i="12"/>
  <c r="BG11" i="12" s="1"/>
  <c r="AL12" i="12"/>
  <c r="BE274" i="12" l="1"/>
  <c r="BZ270" i="12"/>
  <c r="AY270" i="12" s="1"/>
  <c r="CE271" i="12"/>
  <c r="AN271" i="12" s="1"/>
  <c r="BR272" i="12"/>
  <c r="CD272" i="12" s="1"/>
  <c r="BS271" i="12"/>
  <c r="BT271" i="12" s="1"/>
  <c r="AS270" i="12"/>
  <c r="BX271" i="12"/>
  <c r="BY271" i="12" s="1"/>
  <c r="BZ271" i="12" s="1"/>
  <c r="AY271" i="12" s="1"/>
  <c r="BW272" i="12"/>
  <c r="AZ270" i="12"/>
  <c r="BA270" i="12" s="1"/>
  <c r="CB277" i="12"/>
  <c r="CC276" i="12"/>
  <c r="AM272" i="12"/>
  <c r="AO272" i="12" s="1"/>
  <c r="AL13" i="12"/>
  <c r="BD12" i="12"/>
  <c r="BG12" i="12" s="1"/>
  <c r="BE275" i="12" l="1"/>
  <c r="BU271" i="12"/>
  <c r="AR271" i="12" s="1"/>
  <c r="BW273" i="12"/>
  <c r="BS272" i="12"/>
  <c r="BT272" i="12" s="1"/>
  <c r="BR273" i="12"/>
  <c r="CD273" i="12" s="1"/>
  <c r="BX272" i="12"/>
  <c r="BY272" i="12" s="1"/>
  <c r="BZ272" i="12" s="1"/>
  <c r="AY272" i="12" s="1"/>
  <c r="CE272" i="12"/>
  <c r="AN272" i="12" s="1"/>
  <c r="AS271" i="12"/>
  <c r="AZ271" i="12"/>
  <c r="BA271" i="12" s="1"/>
  <c r="CB278" i="12"/>
  <c r="CC277" i="12"/>
  <c r="AM273" i="12"/>
  <c r="AO273" i="12" s="1"/>
  <c r="AL14" i="12"/>
  <c r="BD13" i="12"/>
  <c r="BG13" i="12" s="1"/>
  <c r="BE276" i="12" l="1"/>
  <c r="AS272" i="12"/>
  <c r="BX273" i="12"/>
  <c r="BS273" i="12"/>
  <c r="BT273" i="12" s="1"/>
  <c r="BR274" i="12"/>
  <c r="CD274" i="12" s="1"/>
  <c r="BW274" i="12"/>
  <c r="BU272" i="12"/>
  <c r="AR272" i="12" s="1"/>
  <c r="AZ272" i="12"/>
  <c r="BA272" i="12" s="1"/>
  <c r="CB279" i="12"/>
  <c r="CC278" i="12"/>
  <c r="AM274" i="12"/>
  <c r="AO274" i="12" s="1"/>
  <c r="BD14" i="12"/>
  <c r="BG14" i="12" s="1"/>
  <c r="AL15" i="12"/>
  <c r="BE277" i="12" l="1"/>
  <c r="BY273" i="12"/>
  <c r="BZ273" i="12" s="1"/>
  <c r="AY273" i="12" s="1"/>
  <c r="BU273" i="12"/>
  <c r="AR273" i="12" s="1"/>
  <c r="CE273" i="12"/>
  <c r="AN273" i="12" s="1"/>
  <c r="AS273" i="12"/>
  <c r="BS274" i="12"/>
  <c r="BT274" i="12" s="1"/>
  <c r="BX274" i="12"/>
  <c r="BY274" i="12" s="1"/>
  <c r="BZ274" i="12" s="1"/>
  <c r="AY274" i="12" s="1"/>
  <c r="BR275" i="12"/>
  <c r="CD275" i="12" s="1"/>
  <c r="BW275" i="12"/>
  <c r="CB280" i="12"/>
  <c r="CC279" i="12"/>
  <c r="AM275" i="12"/>
  <c r="AO275" i="12" s="1"/>
  <c r="BD15" i="12"/>
  <c r="BG15" i="12" s="1"/>
  <c r="AL16" i="12"/>
  <c r="BE278" i="12" l="1"/>
  <c r="AZ273" i="12"/>
  <c r="BA273" i="12" s="1"/>
  <c r="BU274" i="12"/>
  <c r="AR274" i="12" s="1"/>
  <c r="CE274" i="12"/>
  <c r="AN274" i="12" s="1"/>
  <c r="BR276" i="12"/>
  <c r="CD276" i="12" s="1"/>
  <c r="BX275" i="12"/>
  <c r="BY275" i="12" s="1"/>
  <c r="BZ275" i="12" s="1"/>
  <c r="AY275" i="12" s="1"/>
  <c r="AS274" i="12"/>
  <c r="BW276" i="12"/>
  <c r="BS275" i="12"/>
  <c r="BT275" i="12" s="1"/>
  <c r="CE275" i="12"/>
  <c r="AN275" i="12" s="1"/>
  <c r="AZ274" i="12"/>
  <c r="CB281" i="12"/>
  <c r="CC280" i="12"/>
  <c r="AM276" i="12"/>
  <c r="AO276" i="12" s="1"/>
  <c r="AL17" i="12"/>
  <c r="BD16" i="12"/>
  <c r="BG16" i="12" s="1"/>
  <c r="BE279" i="12" l="1"/>
  <c r="AS275" i="12"/>
  <c r="CE276" i="12"/>
  <c r="AN276" i="12" s="1"/>
  <c r="BT276" i="12"/>
  <c r="BX276" i="12"/>
  <c r="BY276" i="12" s="1"/>
  <c r="BZ276" i="12" s="1"/>
  <c r="AY276" i="12" s="1"/>
  <c r="BW277" i="12"/>
  <c r="BS276" i="12"/>
  <c r="BR277" i="12"/>
  <c r="AZ275" i="12"/>
  <c r="BA275" i="12" s="1"/>
  <c r="BU275" i="12"/>
  <c r="AR275" i="12" s="1"/>
  <c r="CB282" i="12"/>
  <c r="CC281" i="12"/>
  <c r="AM277" i="12"/>
  <c r="AO277" i="12" s="1"/>
  <c r="AL18" i="12"/>
  <c r="BD17" i="12"/>
  <c r="BG17" i="12" s="1"/>
  <c r="BE280" i="12" l="1"/>
  <c r="BW278" i="12"/>
  <c r="CD277" i="12"/>
  <c r="AS276" i="12"/>
  <c r="BR278" i="12"/>
  <c r="BX277" i="12"/>
  <c r="BY277" i="12" s="1"/>
  <c r="AZ277" i="12" s="1"/>
  <c r="BA277" i="12" s="1"/>
  <c r="BS277" i="12"/>
  <c r="BT277" i="12" s="1"/>
  <c r="BU276" i="12"/>
  <c r="AR276" i="12" s="1"/>
  <c r="AZ276" i="12"/>
  <c r="BA276" i="12" s="1"/>
  <c r="CB283" i="12"/>
  <c r="CC282" i="12"/>
  <c r="AM278" i="12"/>
  <c r="AO278" i="12" s="1"/>
  <c r="BD18" i="12"/>
  <c r="BG18" i="12" s="1"/>
  <c r="AL19" i="12"/>
  <c r="BE281" i="12" l="1"/>
  <c r="BS278" i="12"/>
  <c r="CD278" i="12"/>
  <c r="CE278" i="12" s="1"/>
  <c r="AN278" i="12" s="1"/>
  <c r="BR279" i="12"/>
  <c r="BU277" i="12"/>
  <c r="AR277" i="12" s="1"/>
  <c r="BT278" i="12"/>
  <c r="BU278" i="12" s="1"/>
  <c r="AR278" i="12" s="1"/>
  <c r="BX278" i="12"/>
  <c r="CE277" i="12"/>
  <c r="AN277" i="12" s="1"/>
  <c r="BW279" i="12"/>
  <c r="AS277" i="12"/>
  <c r="BZ277" i="12"/>
  <c r="AY277" i="12" s="1"/>
  <c r="CB284" i="12"/>
  <c r="CC283" i="12"/>
  <c r="AM279" i="12"/>
  <c r="AO279" i="12" s="1"/>
  <c r="BD19" i="12"/>
  <c r="BG19" i="12" s="1"/>
  <c r="AL20" i="12"/>
  <c r="BE282" i="12" l="1"/>
  <c r="BT279" i="12"/>
  <c r="BU279" i="12" s="1"/>
  <c r="AR279" i="12" s="1"/>
  <c r="BS279" i="12"/>
  <c r="BW280" i="12"/>
  <c r="CD279" i="12"/>
  <c r="BY278" i="12"/>
  <c r="BZ278" i="12" s="1"/>
  <c r="AY278" i="12" s="1"/>
  <c r="BR280" i="12"/>
  <c r="BX279" i="12"/>
  <c r="BY279" i="12" s="1"/>
  <c r="BZ279" i="12" s="1"/>
  <c r="AY279" i="12" s="1"/>
  <c r="AS278" i="12"/>
  <c r="CB285" i="12"/>
  <c r="CC284" i="12"/>
  <c r="AM280" i="12"/>
  <c r="AO280" i="12" s="1"/>
  <c r="BD20" i="12"/>
  <c r="BG20" i="12" s="1"/>
  <c r="AL21" i="12"/>
  <c r="BE283" i="12" l="1"/>
  <c r="AS279" i="12"/>
  <c r="CD280" i="12"/>
  <c r="AZ278" i="12"/>
  <c r="BA278" i="12" s="1"/>
  <c r="CE279" i="12"/>
  <c r="AN279" i="12" s="1"/>
  <c r="BS280" i="12"/>
  <c r="BT280" i="12" s="1"/>
  <c r="BX280" i="12"/>
  <c r="BY280" i="12" s="1"/>
  <c r="BR281" i="12"/>
  <c r="BW281" i="12"/>
  <c r="AZ279" i="12"/>
  <c r="BA279" i="12" s="1"/>
  <c r="CB286" i="12"/>
  <c r="CC285" i="12"/>
  <c r="AM281" i="12"/>
  <c r="AO281" i="12" s="1"/>
  <c r="BD21" i="12"/>
  <c r="BG21" i="12" s="1"/>
  <c r="AL22" i="12"/>
  <c r="BE284" i="12" l="1"/>
  <c r="AS280" i="12"/>
  <c r="BU280" i="12"/>
  <c r="AR280" i="12" s="1"/>
  <c r="BZ280" i="12"/>
  <c r="AY280" i="12" s="1"/>
  <c r="AZ280" i="12"/>
  <c r="CE280" i="12"/>
  <c r="AN280" i="12" s="1"/>
  <c r="BW282" i="12"/>
  <c r="CD281" i="12"/>
  <c r="CE281" i="12" s="1"/>
  <c r="AN281" i="12" s="1"/>
  <c r="BS281" i="12"/>
  <c r="BT281" i="12" s="1"/>
  <c r="AS281" i="12" s="1"/>
  <c r="BX281" i="12"/>
  <c r="BY281" i="12" s="1"/>
  <c r="AZ281" i="12" s="1"/>
  <c r="BA281" i="12" s="1"/>
  <c r="BR282" i="12"/>
  <c r="CB287" i="12"/>
  <c r="CC286" i="12"/>
  <c r="AM282" i="12"/>
  <c r="AO282" i="12" s="1"/>
  <c r="AL23" i="12"/>
  <c r="BD22" i="12"/>
  <c r="BG22" i="12" s="1"/>
  <c r="BE285" i="12" l="1"/>
  <c r="BW283" i="12"/>
  <c r="CD282" i="12"/>
  <c r="BZ281" i="12"/>
  <c r="AY281" i="12" s="1"/>
  <c r="BS282" i="12"/>
  <c r="BT282" i="12" s="1"/>
  <c r="AS282" i="12" s="1"/>
  <c r="BU281" i="12"/>
  <c r="AR281" i="12" s="1"/>
  <c r="BX282" i="12"/>
  <c r="BY282" i="12" s="1"/>
  <c r="BR283" i="12"/>
  <c r="BW284" i="12" s="1"/>
  <c r="CB288" i="12"/>
  <c r="CC287" i="12"/>
  <c r="AM283" i="12"/>
  <c r="AO283" i="12" s="1"/>
  <c r="BD23" i="12"/>
  <c r="BG23" i="12" s="1"/>
  <c r="AL24" i="12"/>
  <c r="BE286" i="12" l="1"/>
  <c r="BZ282" i="12"/>
  <c r="AY282" i="12" s="1"/>
  <c r="AZ282" i="12"/>
  <c r="BA282" i="12" s="1"/>
  <c r="CD283" i="12"/>
  <c r="CE282" i="12"/>
  <c r="AN282" i="12" s="1"/>
  <c r="BR284" i="12"/>
  <c r="BW285" i="12" s="1"/>
  <c r="BU282" i="12"/>
  <c r="AR282" i="12" s="1"/>
  <c r="BS283" i="12"/>
  <c r="BT283" i="12" s="1"/>
  <c r="BX283" i="12"/>
  <c r="CB289" i="12"/>
  <c r="CC288" i="12"/>
  <c r="AM284" i="12"/>
  <c r="AO284" i="12" s="1"/>
  <c r="AL25" i="12"/>
  <c r="BD24" i="12"/>
  <c r="BG24" i="12" s="1"/>
  <c r="BE287" i="12" l="1"/>
  <c r="BR285" i="12"/>
  <c r="CD285" i="12" s="1"/>
  <c r="CE283" i="12"/>
  <c r="AN283" i="12" s="1"/>
  <c r="BU283" i="12"/>
  <c r="AR283" i="12" s="1"/>
  <c r="AS283" i="12"/>
  <c r="CD284" i="12"/>
  <c r="BY283" i="12"/>
  <c r="AZ283" i="12" s="1"/>
  <c r="BA283" i="12" s="1"/>
  <c r="BS284" i="12"/>
  <c r="BT284" i="12" s="1"/>
  <c r="BX284" i="12"/>
  <c r="BY284" i="12" s="1"/>
  <c r="AZ284" i="12" s="1"/>
  <c r="BA284" i="12" s="1"/>
  <c r="CB290" i="12"/>
  <c r="CC289" i="12"/>
  <c r="AM285" i="12"/>
  <c r="AO285" i="12" s="1"/>
  <c r="BD25" i="12"/>
  <c r="BG25" i="12" s="1"/>
  <c r="AL26" i="12"/>
  <c r="BE288" i="12" l="1"/>
  <c r="BW286" i="12"/>
  <c r="BR286" i="12"/>
  <c r="CD286" i="12" s="1"/>
  <c r="CE286" i="12" s="1"/>
  <c r="AN286" i="12" s="1"/>
  <c r="BS285" i="12"/>
  <c r="BT285" i="12" s="1"/>
  <c r="BU285" i="12" s="1"/>
  <c r="AR285" i="12" s="1"/>
  <c r="BX285" i="12"/>
  <c r="BY285" i="12" s="1"/>
  <c r="AZ285" i="12" s="1"/>
  <c r="BA285" i="12" s="1"/>
  <c r="AS284" i="12"/>
  <c r="BU284" i="12"/>
  <c r="AR284" i="12" s="1"/>
  <c r="BZ284" i="12"/>
  <c r="AY284" i="12" s="1"/>
  <c r="BZ283" i="12"/>
  <c r="AY283" i="12" s="1"/>
  <c r="CE284" i="12"/>
  <c r="AN284" i="12" s="1"/>
  <c r="CE285" i="12"/>
  <c r="AN285" i="12" s="1"/>
  <c r="CB291" i="12"/>
  <c r="CC290" i="12"/>
  <c r="AM286" i="12"/>
  <c r="AO286" i="12" s="1"/>
  <c r="BD26" i="12"/>
  <c r="BG26" i="12" s="1"/>
  <c r="AL27" i="12"/>
  <c r="BE289" i="12" l="1"/>
  <c r="BW287" i="12"/>
  <c r="BS286" i="12"/>
  <c r="BT286" i="12" s="1"/>
  <c r="AS286" i="12" s="1"/>
  <c r="BR287" i="12"/>
  <c r="CD287" i="12" s="1"/>
  <c r="CE287" i="12" s="1"/>
  <c r="AN287" i="12" s="1"/>
  <c r="BX286" i="12"/>
  <c r="BY286" i="12" s="1"/>
  <c r="AZ286" i="12" s="1"/>
  <c r="AS285" i="12"/>
  <c r="BZ285" i="12"/>
  <c r="AY285" i="12" s="1"/>
  <c r="CB292" i="12"/>
  <c r="CC291" i="12"/>
  <c r="AM287" i="12"/>
  <c r="AO287" i="12" s="1"/>
  <c r="BD27" i="12"/>
  <c r="BG27" i="12" s="1"/>
  <c r="AL28" i="12"/>
  <c r="BE290" i="12" l="1"/>
  <c r="BU286" i="12"/>
  <c r="AR286" i="12" s="1"/>
  <c r="BW288" i="12"/>
  <c r="BR288" i="12"/>
  <c r="CD288" i="12" s="1"/>
  <c r="BS287" i="12"/>
  <c r="BT287" i="12" s="1"/>
  <c r="AS287" i="12" s="1"/>
  <c r="BX287" i="12"/>
  <c r="BY287" i="12" s="1"/>
  <c r="AZ287" i="12" s="1"/>
  <c r="BA287" i="12" s="1"/>
  <c r="BZ286" i="12"/>
  <c r="AY286" i="12" s="1"/>
  <c r="CB293" i="12"/>
  <c r="CC292" i="12"/>
  <c r="AM288" i="12"/>
  <c r="AO288" i="12" s="1"/>
  <c r="BD28" i="12"/>
  <c r="BG28" i="12" s="1"/>
  <c r="AL29" i="12"/>
  <c r="BE291" i="12" l="1"/>
  <c r="BX288" i="12"/>
  <c r="BY288" i="12"/>
  <c r="BZ288" i="12" s="1"/>
  <c r="AY288" i="12" s="1"/>
  <c r="BR289" i="12"/>
  <c r="CD289" i="12" s="1"/>
  <c r="BS288" i="12"/>
  <c r="BT288" i="12" s="1"/>
  <c r="BU288" i="12" s="1"/>
  <c r="AR288" i="12" s="1"/>
  <c r="CE288" i="12"/>
  <c r="AN288" i="12" s="1"/>
  <c r="BU287" i="12"/>
  <c r="AR287" i="12" s="1"/>
  <c r="BW289" i="12"/>
  <c r="BZ287" i="12"/>
  <c r="AY287" i="12" s="1"/>
  <c r="CB294" i="12"/>
  <c r="CC293" i="12"/>
  <c r="AM289" i="12"/>
  <c r="AO289" i="12" s="1"/>
  <c r="AL30" i="12"/>
  <c r="BD29" i="12"/>
  <c r="BG29" i="12" s="1"/>
  <c r="BE292" i="12" l="1"/>
  <c r="BE293" i="12"/>
  <c r="AZ288" i="12"/>
  <c r="BA288" i="12" s="1"/>
  <c r="BR290" i="12"/>
  <c r="CD290" i="12" s="1"/>
  <c r="AS288" i="12"/>
  <c r="CE289" i="12"/>
  <c r="AN289" i="12" s="1"/>
  <c r="BX289" i="12"/>
  <c r="BS289" i="12"/>
  <c r="BT289" i="12" s="1"/>
  <c r="AS289" i="12" s="1"/>
  <c r="BW290" i="12"/>
  <c r="BY289" i="12"/>
  <c r="AZ289" i="12" s="1"/>
  <c r="BA289" i="12" s="1"/>
  <c r="CC294" i="12"/>
  <c r="CB295" i="12"/>
  <c r="AM290" i="12"/>
  <c r="AO290" i="12" s="1"/>
  <c r="BD30" i="12"/>
  <c r="BG30" i="12" s="1"/>
  <c r="AL31" i="12"/>
  <c r="CE290" i="12" l="1"/>
  <c r="AN290" i="12" s="1"/>
  <c r="BS290" i="12"/>
  <c r="BT290" i="12" s="1"/>
  <c r="AS290" i="12" s="1"/>
  <c r="BR291" i="12"/>
  <c r="CD291" i="12" s="1"/>
  <c r="BX290" i="12"/>
  <c r="BY290" i="12" s="1"/>
  <c r="AZ290" i="12" s="1"/>
  <c r="BA290" i="12" s="1"/>
  <c r="BW291" i="12"/>
  <c r="BU289" i="12"/>
  <c r="AR289" i="12" s="1"/>
  <c r="BZ289" i="12"/>
  <c r="AY289" i="12" s="1"/>
  <c r="CB296" i="12"/>
  <c r="CB297" i="12" s="1"/>
  <c r="CC295" i="12"/>
  <c r="AM291" i="12"/>
  <c r="AO291" i="12" s="1"/>
  <c r="BD31" i="12"/>
  <c r="BG31" i="12" s="1"/>
  <c r="AL32" i="12"/>
  <c r="BU290" i="12" l="1"/>
  <c r="AR290" i="12" s="1"/>
  <c r="BY291" i="12"/>
  <c r="BZ291" i="12" s="1"/>
  <c r="AY291" i="12" s="1"/>
  <c r="BS291" i="12"/>
  <c r="BT291" i="12"/>
  <c r="AS291" i="12" s="1"/>
  <c r="BX291" i="12"/>
  <c r="BR292" i="12"/>
  <c r="CD292" i="12" s="1"/>
  <c r="CE292" i="12" s="1"/>
  <c r="AN292" i="12" s="1"/>
  <c r="BW292" i="12"/>
  <c r="BZ290" i="12"/>
  <c r="AY290" i="12" s="1"/>
  <c r="CE291" i="12"/>
  <c r="AN291" i="12" s="1"/>
  <c r="CC296" i="12"/>
  <c r="CB298" i="12"/>
  <c r="CC297" i="12"/>
  <c r="AM292" i="12"/>
  <c r="AO292" i="12" s="1"/>
  <c r="AL33" i="12"/>
  <c r="BD32" i="12"/>
  <c r="BG32" i="12" s="1"/>
  <c r="BR293" i="12" l="1"/>
  <c r="BW294" i="12" s="1"/>
  <c r="AZ291" i="12"/>
  <c r="BA291" i="12" s="1"/>
  <c r="BX292" i="12"/>
  <c r="BY292" i="12" s="1"/>
  <c r="AZ292" i="12" s="1"/>
  <c r="BW293" i="12"/>
  <c r="BS292" i="12"/>
  <c r="BT292" i="12" s="1"/>
  <c r="BU292" i="12" s="1"/>
  <c r="AR292" i="12" s="1"/>
  <c r="BU291" i="12"/>
  <c r="AR291" i="12" s="1"/>
  <c r="CD293" i="12"/>
  <c r="CB299" i="12"/>
  <c r="CC298" i="12"/>
  <c r="AM293" i="12"/>
  <c r="AO293" i="12" s="1"/>
  <c r="BD33" i="12"/>
  <c r="BG33" i="12" s="1"/>
  <c r="AL34" i="12"/>
  <c r="BR294" i="12" l="1"/>
  <c r="CD294" i="12" s="1"/>
  <c r="CE294" i="12" s="1"/>
  <c r="AN294" i="12" s="1"/>
  <c r="BS293" i="12"/>
  <c r="BT293" i="12" s="1"/>
  <c r="AS293" i="12" s="1"/>
  <c r="BX293" i="12"/>
  <c r="BY293" i="12" s="1"/>
  <c r="AZ293" i="12" s="1"/>
  <c r="BA293" i="12" s="1"/>
  <c r="BZ292" i="12"/>
  <c r="AY292" i="12" s="1"/>
  <c r="AS292" i="12"/>
  <c r="CB300" i="12"/>
  <c r="CC299" i="12"/>
  <c r="AM294" i="12"/>
  <c r="AO294" i="12" s="1"/>
  <c r="CE293" i="12"/>
  <c r="AN293" i="12" s="1"/>
  <c r="BD34" i="12"/>
  <c r="BG34" i="12" s="1"/>
  <c r="AL35" i="12"/>
  <c r="BX294" i="12" l="1"/>
  <c r="BY294" i="12" s="1"/>
  <c r="AZ294" i="12" s="1"/>
  <c r="BA294" i="12" s="1"/>
  <c r="BS294" i="12"/>
  <c r="BT294" i="12" s="1"/>
  <c r="BU294" i="12" s="1"/>
  <c r="AR294" i="12" s="1"/>
  <c r="BW295" i="12"/>
  <c r="BR295" i="12"/>
  <c r="CD295" i="12" s="1"/>
  <c r="CE295" i="12" s="1"/>
  <c r="AN295" i="12" s="1"/>
  <c r="BU293" i="12"/>
  <c r="AR293" i="12" s="1"/>
  <c r="BZ293" i="12"/>
  <c r="AY293" i="12" s="1"/>
  <c r="CB301" i="12"/>
  <c r="CC300" i="12"/>
  <c r="AM295" i="12"/>
  <c r="AO295" i="12" s="1"/>
  <c r="BD35" i="12"/>
  <c r="BG35" i="12" s="1"/>
  <c r="AL36" i="12"/>
  <c r="BZ294" i="12" l="1"/>
  <c r="AY294" i="12" s="1"/>
  <c r="AS294" i="12"/>
  <c r="BR296" i="12"/>
  <c r="CD296" i="12" s="1"/>
  <c r="BX295" i="12"/>
  <c r="BY295" i="12" s="1"/>
  <c r="AZ295" i="12" s="1"/>
  <c r="BA295" i="12" s="1"/>
  <c r="BS295" i="12"/>
  <c r="BT295" i="12" s="1"/>
  <c r="BU295" i="12" s="1"/>
  <c r="AR295" i="12" s="1"/>
  <c r="BW296" i="12"/>
  <c r="CB302" i="12"/>
  <c r="CC301" i="12"/>
  <c r="AM296" i="12"/>
  <c r="AO296" i="12" s="1"/>
  <c r="BD36" i="12"/>
  <c r="BG36" i="12" s="1"/>
  <c r="AL37" i="12"/>
  <c r="BS296" i="12" l="1"/>
  <c r="BR297" i="12"/>
  <c r="CD297" i="12" s="1"/>
  <c r="CE297" i="12" s="1"/>
  <c r="AN297" i="12" s="1"/>
  <c r="BX296" i="12"/>
  <c r="BW297" i="12"/>
  <c r="BT296" i="12"/>
  <c r="BU296" i="12" s="1"/>
  <c r="AR296" i="12" s="1"/>
  <c r="BZ295" i="12"/>
  <c r="AY295" i="12" s="1"/>
  <c r="BY296" i="12"/>
  <c r="AZ296" i="12" s="1"/>
  <c r="BA296" i="12" s="1"/>
  <c r="AS295" i="12"/>
  <c r="CE296" i="12"/>
  <c r="AN296" i="12" s="1"/>
  <c r="CB303" i="12"/>
  <c r="CC302" i="12"/>
  <c r="AM297" i="12"/>
  <c r="AO297" i="12" s="1"/>
  <c r="BD37" i="12"/>
  <c r="BG37" i="12" s="1"/>
  <c r="AL38" i="12"/>
  <c r="BS297" i="12" l="1"/>
  <c r="BT297" i="12" s="1"/>
  <c r="AS297" i="12" s="1"/>
  <c r="BX297" i="12"/>
  <c r="BW298" i="12"/>
  <c r="BY297" i="12"/>
  <c r="AZ297" i="12" s="1"/>
  <c r="BA297" i="12" s="1"/>
  <c r="BR298" i="12"/>
  <c r="CD298" i="12" s="1"/>
  <c r="CE298" i="12" s="1"/>
  <c r="AN298" i="12" s="1"/>
  <c r="AS296" i="12"/>
  <c r="BZ296" i="12"/>
  <c r="AY296" i="12" s="1"/>
  <c r="CC303" i="12"/>
  <c r="CB304" i="12"/>
  <c r="AM298" i="12"/>
  <c r="AO298" i="12" s="1"/>
  <c r="BD38" i="12"/>
  <c r="BG38" i="12" s="1"/>
  <c r="AL39" i="12"/>
  <c r="BU297" i="12" l="1"/>
  <c r="AR297" i="12" s="1"/>
  <c r="BX298" i="12"/>
  <c r="BY298" i="12" s="1"/>
  <c r="BZ298" i="12" s="1"/>
  <c r="AY298" i="12" s="1"/>
  <c r="BW299" i="12"/>
  <c r="BS298" i="12"/>
  <c r="BT298" i="12" s="1"/>
  <c r="AS298" i="12" s="1"/>
  <c r="BZ297" i="12"/>
  <c r="AY297" i="12" s="1"/>
  <c r="BR299" i="12"/>
  <c r="CD299" i="12" s="1"/>
  <c r="CE299" i="12" s="1"/>
  <c r="AN299" i="12" s="1"/>
  <c r="CC304" i="12"/>
  <c r="CB305" i="12"/>
  <c r="AM299" i="12"/>
  <c r="AO299" i="12" s="1"/>
  <c r="BD39" i="12"/>
  <c r="BG39" i="12" s="1"/>
  <c r="AL40" i="12"/>
  <c r="AZ298" i="12" l="1"/>
  <c r="BU298" i="12"/>
  <c r="AR298" i="12" s="1"/>
  <c r="BS299" i="12"/>
  <c r="BT299" i="12" s="1"/>
  <c r="AS299" i="12" s="1"/>
  <c r="BW300" i="12"/>
  <c r="BR300" i="12"/>
  <c r="CD300" i="12" s="1"/>
  <c r="BX299" i="12"/>
  <c r="BY299" i="12" s="1"/>
  <c r="BZ299" i="12" s="1"/>
  <c r="AY299" i="12" s="1"/>
  <c r="CC305" i="12"/>
  <c r="CB306" i="12"/>
  <c r="AM300" i="12"/>
  <c r="AO300" i="12" s="1"/>
  <c r="BD40" i="12"/>
  <c r="BG40" i="12" s="1"/>
  <c r="AL41" i="12"/>
  <c r="BU299" i="12" l="1"/>
  <c r="AR299" i="12" s="1"/>
  <c r="BS300" i="12"/>
  <c r="AZ299" i="12"/>
  <c r="BA299" i="12" s="1"/>
  <c r="BW301" i="12"/>
  <c r="BT300" i="12"/>
  <c r="AS300" i="12" s="1"/>
  <c r="BR301" i="12"/>
  <c r="CD301" i="12" s="1"/>
  <c r="CE301" i="12" s="1"/>
  <c r="AN301" i="12" s="1"/>
  <c r="BX300" i="12"/>
  <c r="BY300" i="12" s="1"/>
  <c r="BZ300" i="12" s="1"/>
  <c r="AY300" i="12" s="1"/>
  <c r="CE300" i="12"/>
  <c r="AN300" i="12" s="1"/>
  <c r="CC306" i="12"/>
  <c r="CB307" i="12"/>
  <c r="AM301" i="12"/>
  <c r="AO301" i="12" s="1"/>
  <c r="BD41" i="12"/>
  <c r="BG41" i="12" s="1"/>
  <c r="AL42" i="12"/>
  <c r="BX301" i="12" l="1"/>
  <c r="BS301" i="12"/>
  <c r="BT301" i="12" s="1"/>
  <c r="BU301" i="12" s="1"/>
  <c r="AR301" i="12" s="1"/>
  <c r="BW302" i="12"/>
  <c r="BY301" i="12"/>
  <c r="BZ301" i="12" s="1"/>
  <c r="AY301" i="12" s="1"/>
  <c r="BR302" i="12"/>
  <c r="CD302" i="12" s="1"/>
  <c r="BU300" i="12"/>
  <c r="AR300" i="12" s="1"/>
  <c r="AZ300" i="12"/>
  <c r="BA300" i="12" s="1"/>
  <c r="CC307" i="12"/>
  <c r="CB308" i="12"/>
  <c r="AM302" i="12"/>
  <c r="AO302" i="12" s="1"/>
  <c r="BD42" i="12"/>
  <c r="BG42" i="12" s="1"/>
  <c r="AL43" i="12"/>
  <c r="AS301" i="12" l="1"/>
  <c r="AZ301" i="12"/>
  <c r="BA301" i="12" s="1"/>
  <c r="BS302" i="12"/>
  <c r="BT302" i="12" s="1"/>
  <c r="BU302" i="12" s="1"/>
  <c r="AR302" i="12" s="1"/>
  <c r="BX302" i="12"/>
  <c r="BY302" i="12" s="1"/>
  <c r="BZ302" i="12" s="1"/>
  <c r="AY302" i="12" s="1"/>
  <c r="BW303" i="12"/>
  <c r="BR303" i="12"/>
  <c r="CD303" i="12" s="1"/>
  <c r="CE303" i="12" s="1"/>
  <c r="AN303" i="12" s="1"/>
  <c r="CE302" i="12"/>
  <c r="AN302" i="12" s="1"/>
  <c r="CC308" i="12"/>
  <c r="CB309" i="12"/>
  <c r="AM303" i="12"/>
  <c r="AO303" i="12" s="1"/>
  <c r="BD43" i="12"/>
  <c r="BG43" i="12" s="1"/>
  <c r="AL44" i="12"/>
  <c r="AZ302" i="12" l="1"/>
  <c r="BA302" i="12" s="1"/>
  <c r="AS302" i="12"/>
  <c r="BW304" i="12"/>
  <c r="BX303" i="12"/>
  <c r="BY303" i="12" s="1"/>
  <c r="AZ303" i="12" s="1"/>
  <c r="BA303" i="12" s="1"/>
  <c r="BS303" i="12"/>
  <c r="BT303" i="12" s="1"/>
  <c r="BU303" i="12" s="1"/>
  <c r="AR303" i="12" s="1"/>
  <c r="BR304" i="12"/>
  <c r="CD304" i="12" s="1"/>
  <c r="CE304" i="12" s="1"/>
  <c r="AN304" i="12" s="1"/>
  <c r="CC309" i="12"/>
  <c r="CB310" i="12"/>
  <c r="AM304" i="12"/>
  <c r="AO304" i="12" s="1"/>
  <c r="BD44" i="12"/>
  <c r="BG44" i="12" s="1"/>
  <c r="AL45" i="12"/>
  <c r="BX304" i="12" l="1"/>
  <c r="BY304" i="12" s="1"/>
  <c r="BZ304" i="12" s="1"/>
  <c r="AY304" i="12" s="1"/>
  <c r="BZ303" i="12"/>
  <c r="AY303" i="12" s="1"/>
  <c r="BS304" i="12"/>
  <c r="AS303" i="12"/>
  <c r="BR305" i="12"/>
  <c r="CD305" i="12" s="1"/>
  <c r="BT304" i="12"/>
  <c r="AS304" i="12" s="1"/>
  <c r="BW305" i="12"/>
  <c r="CC310" i="12"/>
  <c r="CB311" i="12"/>
  <c r="AM305" i="12"/>
  <c r="AO305" i="12" s="1"/>
  <c r="BD45" i="12"/>
  <c r="BG45" i="12" s="1"/>
  <c r="AL46" i="12"/>
  <c r="BX305" i="12" l="1"/>
  <c r="BS305" i="12"/>
  <c r="BT305" i="12" s="1"/>
  <c r="BU305" i="12" s="1"/>
  <c r="AR305" i="12" s="1"/>
  <c r="BR306" i="12"/>
  <c r="CD306" i="12" s="1"/>
  <c r="CE306" i="12" s="1"/>
  <c r="AN306" i="12" s="1"/>
  <c r="BW306" i="12"/>
  <c r="BU304" i="12"/>
  <c r="AR304" i="12" s="1"/>
  <c r="BY305" i="12"/>
  <c r="BZ305" i="12" s="1"/>
  <c r="AY305" i="12" s="1"/>
  <c r="AZ304" i="12"/>
  <c r="CE305" i="12"/>
  <c r="AN305" i="12" s="1"/>
  <c r="CC311" i="12"/>
  <c r="CB312" i="12"/>
  <c r="AM306" i="12"/>
  <c r="AO306" i="12" s="1"/>
  <c r="BD46" i="12"/>
  <c r="BG46" i="12" s="1"/>
  <c r="AL47" i="12"/>
  <c r="BS306" i="12" l="1"/>
  <c r="BT306" i="12" s="1"/>
  <c r="BU306" i="12" s="1"/>
  <c r="AR306" i="12" s="1"/>
  <c r="AS305" i="12"/>
  <c r="BR307" i="12"/>
  <c r="CD307" i="12" s="1"/>
  <c r="CE307" i="12" s="1"/>
  <c r="AN307" i="12" s="1"/>
  <c r="BW307" i="12"/>
  <c r="BX306" i="12"/>
  <c r="BY306" i="12" s="1"/>
  <c r="BZ306" i="12" s="1"/>
  <c r="AY306" i="12" s="1"/>
  <c r="AZ305" i="12"/>
  <c r="BA305" i="12" s="1"/>
  <c r="CC312" i="12"/>
  <c r="CB313" i="12"/>
  <c r="AM307" i="12"/>
  <c r="AO307" i="12" s="1"/>
  <c r="BD47" i="12"/>
  <c r="BG47" i="12" s="1"/>
  <c r="AL48" i="12"/>
  <c r="AS306" i="12" l="1"/>
  <c r="BW308" i="12"/>
  <c r="BS307" i="12"/>
  <c r="BT307" i="12" s="1"/>
  <c r="BU307" i="12" s="1"/>
  <c r="AR307" i="12" s="1"/>
  <c r="BX307" i="12"/>
  <c r="BY307" i="12" s="1"/>
  <c r="AZ307" i="12" s="1"/>
  <c r="BA307" i="12" s="1"/>
  <c r="BR308" i="12"/>
  <c r="CD308" i="12" s="1"/>
  <c r="CE308" i="12" s="1"/>
  <c r="AN308" i="12" s="1"/>
  <c r="AZ306" i="12"/>
  <c r="BA306" i="12" s="1"/>
  <c r="CC313" i="12"/>
  <c r="CB314" i="12"/>
  <c r="AM308" i="12"/>
  <c r="AO308" i="12" s="1"/>
  <c r="BD48" i="12"/>
  <c r="BG48" i="12" s="1"/>
  <c r="AL49" i="12"/>
  <c r="AS307" i="12" l="1"/>
  <c r="BR309" i="12"/>
  <c r="CD309" i="12" s="1"/>
  <c r="CE309" i="12" s="1"/>
  <c r="AN309" i="12" s="1"/>
  <c r="BW309" i="12"/>
  <c r="BX308" i="12"/>
  <c r="BY308" i="12" s="1"/>
  <c r="BZ308" i="12" s="1"/>
  <c r="AY308" i="12" s="1"/>
  <c r="BS308" i="12"/>
  <c r="BT308" i="12" s="1"/>
  <c r="BU308" i="12" s="1"/>
  <c r="AR308" i="12" s="1"/>
  <c r="BZ307" i="12"/>
  <c r="AY307" i="12" s="1"/>
  <c r="CC314" i="12"/>
  <c r="CB315" i="12"/>
  <c r="AM309" i="12"/>
  <c r="AO309" i="12" s="1"/>
  <c r="BD49" i="12"/>
  <c r="BG49" i="12" s="1"/>
  <c r="AL50" i="12"/>
  <c r="BR310" i="12" l="1"/>
  <c r="CD310" i="12" s="1"/>
  <c r="CE310" i="12" s="1"/>
  <c r="AN310" i="12" s="1"/>
  <c r="BW310" i="12"/>
  <c r="BX309" i="12"/>
  <c r="BY309" i="12"/>
  <c r="BZ309" i="12" s="1"/>
  <c r="AY309" i="12" s="1"/>
  <c r="BS309" i="12"/>
  <c r="BT309" i="12" s="1"/>
  <c r="BU309" i="12" s="1"/>
  <c r="AR309" i="12" s="1"/>
  <c r="AS308" i="12"/>
  <c r="AZ308" i="12"/>
  <c r="BA308" i="12" s="1"/>
  <c r="CC315" i="12"/>
  <c r="CB316" i="12"/>
  <c r="AM310" i="12"/>
  <c r="AO310" i="12" s="1"/>
  <c r="BD50" i="12"/>
  <c r="BG50" i="12" s="1"/>
  <c r="AL51" i="12"/>
  <c r="BW311" i="12" l="1"/>
  <c r="BS310" i="12"/>
  <c r="BT310" i="12" s="1"/>
  <c r="BU310" i="12" s="1"/>
  <c r="AR310" i="12" s="1"/>
  <c r="BR311" i="12"/>
  <c r="CD311" i="12" s="1"/>
  <c r="CE311" i="12" s="1"/>
  <c r="AN311" i="12" s="1"/>
  <c r="BX310" i="12"/>
  <c r="BY310" i="12" s="1"/>
  <c r="AZ310" i="12" s="1"/>
  <c r="AS309" i="12"/>
  <c r="AZ309" i="12"/>
  <c r="BA309" i="12" s="1"/>
  <c r="CC316" i="12"/>
  <c r="CB317" i="12"/>
  <c r="AM311" i="12"/>
  <c r="AO311" i="12" s="1"/>
  <c r="BD51" i="12"/>
  <c r="BG51" i="12" s="1"/>
  <c r="AL52" i="12"/>
  <c r="AS310" i="12" l="1"/>
  <c r="BR312" i="12"/>
  <c r="CD312" i="12" s="1"/>
  <c r="BW312" i="12"/>
  <c r="BX311" i="12"/>
  <c r="BY311" i="12" s="1"/>
  <c r="BZ311" i="12" s="1"/>
  <c r="AY311" i="12" s="1"/>
  <c r="BS311" i="12"/>
  <c r="BT311" i="12" s="1"/>
  <c r="AS311" i="12" s="1"/>
  <c r="BZ310" i="12"/>
  <c r="AY310" i="12" s="1"/>
  <c r="CC317" i="12"/>
  <c r="CB318" i="12"/>
  <c r="AM312" i="12"/>
  <c r="AO312" i="12" s="1"/>
  <c r="BD52" i="12"/>
  <c r="BG52" i="12" s="1"/>
  <c r="AL53" i="12"/>
  <c r="BR313" i="12" l="1"/>
  <c r="CD313" i="12" s="1"/>
  <c r="BW313" i="12"/>
  <c r="BX312" i="12"/>
  <c r="BY312" i="12" s="1"/>
  <c r="BZ312" i="12" s="1"/>
  <c r="AY312" i="12" s="1"/>
  <c r="BS312" i="12"/>
  <c r="BT312" i="12"/>
  <c r="BU312" i="12" s="1"/>
  <c r="AR312" i="12" s="1"/>
  <c r="BU311" i="12"/>
  <c r="AR311" i="12" s="1"/>
  <c r="AZ311" i="12"/>
  <c r="BA311" i="12" s="1"/>
  <c r="CE312" i="12"/>
  <c r="AN312" i="12" s="1"/>
  <c r="CC318" i="12"/>
  <c r="CB319" i="12"/>
  <c r="AM313" i="12"/>
  <c r="AO313" i="12" s="1"/>
  <c r="BD53" i="12"/>
  <c r="BG53" i="12" s="1"/>
  <c r="AL54" i="12"/>
  <c r="BS313" i="12" l="1"/>
  <c r="AZ312" i="12"/>
  <c r="BA312" i="12" s="1"/>
  <c r="BR314" i="12"/>
  <c r="CD314" i="12" s="1"/>
  <c r="CE314" i="12" s="1"/>
  <c r="AN314" i="12" s="1"/>
  <c r="BW314" i="12"/>
  <c r="BT313" i="12"/>
  <c r="AS313" i="12" s="1"/>
  <c r="BX313" i="12"/>
  <c r="BY313" i="12" s="1"/>
  <c r="BZ313" i="12" s="1"/>
  <c r="AY313" i="12" s="1"/>
  <c r="AS312" i="12"/>
  <c r="CE313" i="12"/>
  <c r="AN313" i="12" s="1"/>
  <c r="CC319" i="12"/>
  <c r="CB320" i="12"/>
  <c r="AM314" i="12"/>
  <c r="AO314" i="12" s="1"/>
  <c r="BD54" i="12"/>
  <c r="BG54" i="12" s="1"/>
  <c r="AL55" i="12"/>
  <c r="BR315" i="12" l="1"/>
  <c r="CD315" i="12" s="1"/>
  <c r="CE315" i="12" s="1"/>
  <c r="AN315" i="12" s="1"/>
  <c r="BW315" i="12"/>
  <c r="BU313" i="12"/>
  <c r="AR313" i="12" s="1"/>
  <c r="BS314" i="12"/>
  <c r="BT314" i="12" s="1"/>
  <c r="BU314" i="12" s="1"/>
  <c r="AR314" i="12" s="1"/>
  <c r="BX314" i="12"/>
  <c r="BY314" i="12" s="1"/>
  <c r="BZ314" i="12" s="1"/>
  <c r="AY314" i="12" s="1"/>
  <c r="AZ313" i="12"/>
  <c r="BA313" i="12" s="1"/>
  <c r="CC320" i="12"/>
  <c r="CB321" i="12"/>
  <c r="AM315" i="12"/>
  <c r="AO315" i="12" s="1"/>
  <c r="BD55" i="12"/>
  <c r="BG55" i="12" s="1"/>
  <c r="AL56" i="12"/>
  <c r="BS315" i="12" l="1"/>
  <c r="BT315" i="12" s="1"/>
  <c r="BU315" i="12" s="1"/>
  <c r="AR315" i="12" s="1"/>
  <c r="BW316" i="12"/>
  <c r="BX315" i="12"/>
  <c r="BY315" i="12" s="1"/>
  <c r="BZ315" i="12" s="1"/>
  <c r="AY315" i="12" s="1"/>
  <c r="BR316" i="12"/>
  <c r="CD316" i="12" s="1"/>
  <c r="CE316" i="12" s="1"/>
  <c r="AN316" i="12" s="1"/>
  <c r="AS314" i="12"/>
  <c r="AZ314" i="12"/>
  <c r="BA314" i="12" s="1"/>
  <c r="CC321" i="12"/>
  <c r="CB322" i="12"/>
  <c r="AM316" i="12"/>
  <c r="AO316" i="12" s="1"/>
  <c r="BD56" i="12"/>
  <c r="BG56" i="12" s="1"/>
  <c r="AL57" i="12"/>
  <c r="AS315" i="12" l="1"/>
  <c r="AZ315" i="12"/>
  <c r="BA315" i="12" s="1"/>
  <c r="BS316" i="12"/>
  <c r="BT316" i="12" s="1"/>
  <c r="BU316" i="12" s="1"/>
  <c r="AR316" i="12" s="1"/>
  <c r="BR317" i="12"/>
  <c r="CD317" i="12" s="1"/>
  <c r="BW317" i="12"/>
  <c r="BX316" i="12"/>
  <c r="BY316" i="12"/>
  <c r="BZ316" i="12" s="1"/>
  <c r="AY316" i="12" s="1"/>
  <c r="CB323" i="12"/>
  <c r="CC322" i="12"/>
  <c r="AM317" i="12"/>
  <c r="AO317" i="12" s="1"/>
  <c r="BD57" i="12"/>
  <c r="BG57" i="12" s="1"/>
  <c r="AL58" i="12"/>
  <c r="BW318" i="12" l="1"/>
  <c r="BR318" i="12"/>
  <c r="CD318" i="12" s="1"/>
  <c r="CE318" i="12" s="1"/>
  <c r="AN318" i="12" s="1"/>
  <c r="BX317" i="12"/>
  <c r="BY317" i="12" s="1"/>
  <c r="BZ317" i="12" s="1"/>
  <c r="AY317" i="12" s="1"/>
  <c r="BS317" i="12"/>
  <c r="BT317" i="12" s="1"/>
  <c r="BU317" i="12" s="1"/>
  <c r="AR317" i="12" s="1"/>
  <c r="AS316" i="12"/>
  <c r="AZ316" i="12"/>
  <c r="CE317" i="12"/>
  <c r="AN317" i="12" s="1"/>
  <c r="CC323" i="12"/>
  <c r="CB324" i="12"/>
  <c r="AM318" i="12"/>
  <c r="AO318" i="12" s="1"/>
  <c r="BD58" i="12"/>
  <c r="BG58" i="12" s="1"/>
  <c r="AL59" i="12"/>
  <c r="BX318" i="12" l="1"/>
  <c r="BS318" i="12"/>
  <c r="BT318" i="12" s="1"/>
  <c r="BU318" i="12" s="1"/>
  <c r="AR318" i="12" s="1"/>
  <c r="BY318" i="12"/>
  <c r="BZ318" i="12" s="1"/>
  <c r="AY318" i="12" s="1"/>
  <c r="BW319" i="12"/>
  <c r="BR319" i="12"/>
  <c r="CD319" i="12" s="1"/>
  <c r="CE319" i="12" s="1"/>
  <c r="AN319" i="12" s="1"/>
  <c r="AS317" i="12"/>
  <c r="AZ317" i="12"/>
  <c r="BA317" i="12" s="1"/>
  <c r="CB325" i="12"/>
  <c r="CC324" i="12"/>
  <c r="AM319" i="12"/>
  <c r="AO319" i="12" s="1"/>
  <c r="BD59" i="12"/>
  <c r="BG59" i="12" s="1"/>
  <c r="AL60" i="12"/>
  <c r="AS318" i="12" l="1"/>
  <c r="AZ318" i="12"/>
  <c r="BA318" i="12" s="1"/>
  <c r="BW320" i="12"/>
  <c r="BS319" i="12"/>
  <c r="BT319" i="12" s="1"/>
  <c r="AS319" i="12" s="1"/>
  <c r="BR320" i="12"/>
  <c r="CD320" i="12" s="1"/>
  <c r="CE320" i="12" s="1"/>
  <c r="AN320" i="12" s="1"/>
  <c r="BX319" i="12"/>
  <c r="BY319" i="12" s="1"/>
  <c r="BZ319" i="12" s="1"/>
  <c r="AY319" i="12" s="1"/>
  <c r="CC325" i="12"/>
  <c r="CB326" i="12"/>
  <c r="AM320" i="12"/>
  <c r="AO320" i="12" s="1"/>
  <c r="BD60" i="12"/>
  <c r="BG60" i="12" s="1"/>
  <c r="AL61" i="12"/>
  <c r="BU319" i="12" l="1"/>
  <c r="AR319" i="12" s="1"/>
  <c r="BR321" i="12"/>
  <c r="CD321" i="12" s="1"/>
  <c r="CE321" i="12" s="1"/>
  <c r="AN321" i="12" s="1"/>
  <c r="BW321" i="12"/>
  <c r="BS320" i="12"/>
  <c r="BT320" i="12" s="1"/>
  <c r="BU320" i="12" s="1"/>
  <c r="AR320" i="12" s="1"/>
  <c r="AZ319" i="12"/>
  <c r="BA319" i="12" s="1"/>
  <c r="BX320" i="12"/>
  <c r="BY320" i="12" s="1"/>
  <c r="AZ320" i="12" s="1"/>
  <c r="BA320" i="12" s="1"/>
  <c r="CB327" i="12"/>
  <c r="CC326" i="12"/>
  <c r="AM321" i="12"/>
  <c r="AO321" i="12" s="1"/>
  <c r="BD61" i="12"/>
  <c r="BG61" i="12" s="1"/>
  <c r="AL62" i="12"/>
  <c r="BR322" i="12" l="1"/>
  <c r="CD322" i="12" s="1"/>
  <c r="BW322" i="12"/>
  <c r="BX321" i="12"/>
  <c r="BY321" i="12"/>
  <c r="BZ321" i="12" s="1"/>
  <c r="AY321" i="12" s="1"/>
  <c r="BS321" i="12"/>
  <c r="BT321" i="12" s="1"/>
  <c r="BU321" i="12" s="1"/>
  <c r="AR321" i="12" s="1"/>
  <c r="AS320" i="12"/>
  <c r="BZ320" i="12"/>
  <c r="AY320" i="12" s="1"/>
  <c r="CC327" i="12"/>
  <c r="CB328" i="12"/>
  <c r="AM322" i="12"/>
  <c r="AO322" i="12" s="1"/>
  <c r="BD62" i="12"/>
  <c r="BG62" i="12" s="1"/>
  <c r="AL63" i="12"/>
  <c r="BR323" i="12" l="1"/>
  <c r="CD323" i="12" s="1"/>
  <c r="CE323" i="12" s="1"/>
  <c r="AN323" i="12" s="1"/>
  <c r="BS322" i="12"/>
  <c r="BT322" i="12" s="1"/>
  <c r="BU322" i="12" s="1"/>
  <c r="AR322" i="12" s="1"/>
  <c r="BW323" i="12"/>
  <c r="BX322" i="12"/>
  <c r="BY322" i="12" s="1"/>
  <c r="BZ322" i="12" s="1"/>
  <c r="AY322" i="12" s="1"/>
  <c r="AZ321" i="12"/>
  <c r="BA321" i="12" s="1"/>
  <c r="AS321" i="12"/>
  <c r="CE322" i="12"/>
  <c r="AN322" i="12" s="1"/>
  <c r="CB329" i="12"/>
  <c r="CC328" i="12"/>
  <c r="AM323" i="12"/>
  <c r="AO323" i="12" s="1"/>
  <c r="BD63" i="12"/>
  <c r="BG63" i="12" s="1"/>
  <c r="AL64" i="12"/>
  <c r="BW324" i="12" l="1"/>
  <c r="BX323" i="12"/>
  <c r="BR324" i="12"/>
  <c r="CD324" i="12" s="1"/>
  <c r="CE324" i="12" s="1"/>
  <c r="AN324" i="12" s="1"/>
  <c r="BS323" i="12"/>
  <c r="BT323" i="12" s="1"/>
  <c r="BU323" i="12" s="1"/>
  <c r="AR323" i="12" s="1"/>
  <c r="AS322" i="12"/>
  <c r="BY323" i="12"/>
  <c r="BZ323" i="12" s="1"/>
  <c r="AY323" i="12" s="1"/>
  <c r="AZ322" i="12"/>
  <c r="CC329" i="12"/>
  <c r="CB330" i="12"/>
  <c r="AM324" i="12"/>
  <c r="AO324" i="12" s="1"/>
  <c r="BD64" i="12"/>
  <c r="BG64" i="12" s="1"/>
  <c r="AL65" i="12"/>
  <c r="BW325" i="12" l="1"/>
  <c r="BS324" i="12"/>
  <c r="BT324" i="12" s="1"/>
  <c r="AS324" i="12" s="1"/>
  <c r="BX324" i="12"/>
  <c r="BY324" i="12" s="1"/>
  <c r="AZ324" i="12" s="1"/>
  <c r="BA324" i="12" s="1"/>
  <c r="BR325" i="12"/>
  <c r="CD325" i="12" s="1"/>
  <c r="CE325" i="12" s="1"/>
  <c r="AN325" i="12" s="1"/>
  <c r="AS323" i="12"/>
  <c r="AZ323" i="12"/>
  <c r="BA323" i="12" s="1"/>
  <c r="CB331" i="12"/>
  <c r="CC330" i="12"/>
  <c r="AM325" i="12"/>
  <c r="AO325" i="12" s="1"/>
  <c r="BD65" i="12"/>
  <c r="BG65" i="12" s="1"/>
  <c r="AL66" i="12"/>
  <c r="BW326" i="12" l="1"/>
  <c r="BU324" i="12"/>
  <c r="AR324" i="12" s="1"/>
  <c r="BZ324" i="12"/>
  <c r="AY324" i="12" s="1"/>
  <c r="BR326" i="12"/>
  <c r="CD326" i="12" s="1"/>
  <c r="BX325" i="12"/>
  <c r="BY325" i="12" s="1"/>
  <c r="AZ325" i="12" s="1"/>
  <c r="BA325" i="12" s="1"/>
  <c r="BS325" i="12"/>
  <c r="BT325" i="12" s="1"/>
  <c r="AS325" i="12" s="1"/>
  <c r="CC331" i="12"/>
  <c r="CB332" i="12"/>
  <c r="AM326" i="12"/>
  <c r="AO326" i="12" s="1"/>
  <c r="BD66" i="12"/>
  <c r="BG66" i="12" s="1"/>
  <c r="AL67" i="12"/>
  <c r="BS326" i="12" l="1"/>
  <c r="BT326" i="12" s="1"/>
  <c r="AS326" i="12" s="1"/>
  <c r="BW327" i="12"/>
  <c r="BU325" i="12"/>
  <c r="AR325" i="12" s="1"/>
  <c r="BX326" i="12"/>
  <c r="BY326" i="12" s="1"/>
  <c r="BZ326" i="12" s="1"/>
  <c r="AY326" i="12" s="1"/>
  <c r="BZ325" i="12"/>
  <c r="AY325" i="12" s="1"/>
  <c r="BR327" i="12"/>
  <c r="CD327" i="12" s="1"/>
  <c r="CE327" i="12" s="1"/>
  <c r="AN327" i="12" s="1"/>
  <c r="CE326" i="12"/>
  <c r="AN326" i="12" s="1"/>
  <c r="CB333" i="12"/>
  <c r="CC332" i="12"/>
  <c r="AM327" i="12"/>
  <c r="AO327" i="12" s="1"/>
  <c r="BD67" i="12"/>
  <c r="BG67" i="12" s="1"/>
  <c r="AL68" i="12"/>
  <c r="BU326" i="12" l="1"/>
  <c r="AR326" i="12" s="1"/>
  <c r="AZ326" i="12"/>
  <c r="BA326" i="12" s="1"/>
  <c r="BX327" i="12"/>
  <c r="BY327" i="12" s="1"/>
  <c r="BZ327" i="12" s="1"/>
  <c r="AY327" i="12" s="1"/>
  <c r="BW328" i="12"/>
  <c r="BR328" i="12"/>
  <c r="CD328" i="12" s="1"/>
  <c r="CE328" i="12" s="1"/>
  <c r="AN328" i="12" s="1"/>
  <c r="BS327" i="12"/>
  <c r="BT327" i="12" s="1"/>
  <c r="AS327" i="12" s="1"/>
  <c r="CC333" i="12"/>
  <c r="CB334" i="12"/>
  <c r="AM328" i="12"/>
  <c r="AO328" i="12" s="1"/>
  <c r="BD68" i="12"/>
  <c r="BG68" i="12" s="1"/>
  <c r="AL69" i="12"/>
  <c r="AZ327" i="12" l="1"/>
  <c r="BA327" i="12" s="1"/>
  <c r="BX328" i="12"/>
  <c r="BY328" i="12" s="1"/>
  <c r="BZ328" i="12" s="1"/>
  <c r="AY328" i="12" s="1"/>
  <c r="BR329" i="12"/>
  <c r="CD329" i="12" s="1"/>
  <c r="CE329" i="12" s="1"/>
  <c r="AN329" i="12" s="1"/>
  <c r="BU327" i="12"/>
  <c r="AR327" i="12" s="1"/>
  <c r="BS328" i="12"/>
  <c r="BT328" i="12" s="1"/>
  <c r="AS328" i="12" s="1"/>
  <c r="BW329" i="12"/>
  <c r="CC334" i="12"/>
  <c r="CB335" i="12"/>
  <c r="AM329" i="12"/>
  <c r="AO329" i="12" s="1"/>
  <c r="BD69" i="12"/>
  <c r="BG69" i="12" s="1"/>
  <c r="AL70" i="12"/>
  <c r="AZ328" i="12" l="1"/>
  <c r="BS329" i="12"/>
  <c r="BT329" i="12" s="1"/>
  <c r="BU329" i="12" s="1"/>
  <c r="AR329" i="12" s="1"/>
  <c r="BW330" i="12"/>
  <c r="BR330" i="12"/>
  <c r="CD330" i="12" s="1"/>
  <c r="CE330" i="12" s="1"/>
  <c r="AN330" i="12" s="1"/>
  <c r="BX329" i="12"/>
  <c r="BU328" i="12"/>
  <c r="AR328" i="12" s="1"/>
  <c r="BY329" i="12"/>
  <c r="BZ329" i="12" s="1"/>
  <c r="AY329" i="12" s="1"/>
  <c r="CC335" i="12"/>
  <c r="CB336" i="12"/>
  <c r="AM330" i="12"/>
  <c r="AO330" i="12" s="1"/>
  <c r="BD70" i="12"/>
  <c r="BG70" i="12" s="1"/>
  <c r="AL71" i="12"/>
  <c r="BS330" i="12" l="1"/>
  <c r="BT330" i="12" s="1"/>
  <c r="AS330" i="12" s="1"/>
  <c r="AS329" i="12"/>
  <c r="BW331" i="12"/>
  <c r="BX330" i="12"/>
  <c r="BY330" i="12" s="1"/>
  <c r="BZ330" i="12" s="1"/>
  <c r="AY330" i="12" s="1"/>
  <c r="BR331" i="12"/>
  <c r="CD331" i="12" s="1"/>
  <c r="CE331" i="12" s="1"/>
  <c r="AN331" i="12" s="1"/>
  <c r="AZ329" i="12"/>
  <c r="BA329" i="12" s="1"/>
  <c r="CB337" i="12"/>
  <c r="CC336" i="12"/>
  <c r="AM331" i="12"/>
  <c r="AO331" i="12" s="1"/>
  <c r="BD71" i="12"/>
  <c r="BG71" i="12" s="1"/>
  <c r="AL72" i="12"/>
  <c r="BU330" i="12" l="1"/>
  <c r="AR330" i="12" s="1"/>
  <c r="BW332" i="12"/>
  <c r="AZ330" i="12"/>
  <c r="BA330" i="12" s="1"/>
  <c r="BX331" i="12"/>
  <c r="BY331" i="12" s="1"/>
  <c r="BZ331" i="12" s="1"/>
  <c r="AY331" i="12" s="1"/>
  <c r="BR332" i="12"/>
  <c r="CD332" i="12" s="1"/>
  <c r="CE332" i="12" s="1"/>
  <c r="AN332" i="12" s="1"/>
  <c r="BS331" i="12"/>
  <c r="BT331" i="12" s="1"/>
  <c r="AS331" i="12" s="1"/>
  <c r="CC337" i="12"/>
  <c r="CB338" i="12"/>
  <c r="AM332" i="12"/>
  <c r="AO332" i="12" s="1"/>
  <c r="BD72" i="12"/>
  <c r="BG72" i="12" s="1"/>
  <c r="AL73" i="12"/>
  <c r="BX332" i="12" l="1"/>
  <c r="BY332" i="12" s="1"/>
  <c r="BZ332" i="12" s="1"/>
  <c r="AY332" i="12" s="1"/>
  <c r="BU331" i="12"/>
  <c r="AR331" i="12" s="1"/>
  <c r="AZ331" i="12"/>
  <c r="BA331" i="12" s="1"/>
  <c r="BW333" i="12"/>
  <c r="BR333" i="12"/>
  <c r="CD333" i="12" s="1"/>
  <c r="BS332" i="12"/>
  <c r="BT332" i="12" s="1"/>
  <c r="BU332" i="12" s="1"/>
  <c r="AR332" i="12" s="1"/>
  <c r="CC338" i="12"/>
  <c r="CB339" i="12"/>
  <c r="AM333" i="12"/>
  <c r="AO333" i="12" s="1"/>
  <c r="BD73" i="12"/>
  <c r="BG73" i="12" s="1"/>
  <c r="AL74" i="12"/>
  <c r="AZ332" i="12" l="1"/>
  <c r="BA332" i="12" s="1"/>
  <c r="BR334" i="12"/>
  <c r="CD334" i="12" s="1"/>
  <c r="CE334" i="12" s="1"/>
  <c r="AN334" i="12" s="1"/>
  <c r="BX333" i="12"/>
  <c r="BY333" i="12" s="1"/>
  <c r="AZ333" i="12" s="1"/>
  <c r="BA333" i="12" s="1"/>
  <c r="AS332" i="12"/>
  <c r="BS333" i="12"/>
  <c r="BT333" i="12" s="1"/>
  <c r="BU333" i="12" s="1"/>
  <c r="AR333" i="12" s="1"/>
  <c r="BW334" i="12"/>
  <c r="CE333" i="12"/>
  <c r="AN333" i="12" s="1"/>
  <c r="CC339" i="12"/>
  <c r="CB340" i="12"/>
  <c r="AM334" i="12"/>
  <c r="AO334" i="12" s="1"/>
  <c r="BD74" i="12"/>
  <c r="BG74" i="12" s="1"/>
  <c r="AL75" i="12"/>
  <c r="BZ333" i="12" l="1"/>
  <c r="AY333" i="12" s="1"/>
  <c r="BS334" i="12"/>
  <c r="BX334" i="12"/>
  <c r="BY334" i="12" s="1"/>
  <c r="BZ334" i="12" s="1"/>
  <c r="AY334" i="12" s="1"/>
  <c r="BT334" i="12"/>
  <c r="AS334" i="12" s="1"/>
  <c r="BR335" i="12"/>
  <c r="CD335" i="12" s="1"/>
  <c r="CE335" i="12" s="1"/>
  <c r="AN335" i="12" s="1"/>
  <c r="BW335" i="12"/>
  <c r="AS333" i="12"/>
  <c r="CC340" i="12"/>
  <c r="CB341" i="12"/>
  <c r="AM335" i="12"/>
  <c r="AO335" i="12" s="1"/>
  <c r="BD75" i="12"/>
  <c r="BG75" i="12" s="1"/>
  <c r="AL76" i="12"/>
  <c r="BU334" i="12" l="1"/>
  <c r="AR334" i="12" s="1"/>
  <c r="BR336" i="12"/>
  <c r="CD336" i="12" s="1"/>
  <c r="CE336" i="12" s="1"/>
  <c r="AN336" i="12" s="1"/>
  <c r="AZ334" i="12"/>
  <c r="BW336" i="12"/>
  <c r="BX335" i="12"/>
  <c r="BY335" i="12" s="1"/>
  <c r="BZ335" i="12" s="1"/>
  <c r="AY335" i="12" s="1"/>
  <c r="BS335" i="12"/>
  <c r="BT335" i="12" s="1"/>
  <c r="BU335" i="12" s="1"/>
  <c r="AR335" i="12" s="1"/>
  <c r="CC341" i="12"/>
  <c r="CB342" i="12"/>
  <c r="AM336" i="12"/>
  <c r="AO336" i="12" s="1"/>
  <c r="BD76" i="12"/>
  <c r="BG76" i="12" s="1"/>
  <c r="AL77" i="12"/>
  <c r="BR337" i="12" l="1"/>
  <c r="CD337" i="12" s="1"/>
  <c r="BS336" i="12"/>
  <c r="BT336" i="12" s="1"/>
  <c r="BU336" i="12" s="1"/>
  <c r="AR336" i="12" s="1"/>
  <c r="BW337" i="12"/>
  <c r="BX336" i="12"/>
  <c r="BY336" i="12" s="1"/>
  <c r="BZ336" i="12" s="1"/>
  <c r="AY336" i="12" s="1"/>
  <c r="AS335" i="12"/>
  <c r="AZ335" i="12"/>
  <c r="BA335" i="12" s="1"/>
  <c r="CC342" i="12"/>
  <c r="CB343" i="12"/>
  <c r="AM337" i="12"/>
  <c r="AO337" i="12" s="1"/>
  <c r="BD77" i="12"/>
  <c r="BG77" i="12" s="1"/>
  <c r="AL78" i="12"/>
  <c r="BR338" i="12" l="1"/>
  <c r="CD338" i="12" s="1"/>
  <c r="CE338" i="12" s="1"/>
  <c r="AN338" i="12" s="1"/>
  <c r="BS337" i="12"/>
  <c r="BT337" i="12" s="1"/>
  <c r="BU337" i="12" s="1"/>
  <c r="AR337" i="12" s="1"/>
  <c r="BW338" i="12"/>
  <c r="BX337" i="12"/>
  <c r="AS336" i="12"/>
  <c r="BY337" i="12"/>
  <c r="BZ337" i="12" s="1"/>
  <c r="AY337" i="12" s="1"/>
  <c r="AZ336" i="12"/>
  <c r="BA336" i="12" s="1"/>
  <c r="CE337" i="12"/>
  <c r="AN337" i="12" s="1"/>
  <c r="CC343" i="12"/>
  <c r="CB344" i="12"/>
  <c r="AM338" i="12"/>
  <c r="AO338" i="12" s="1"/>
  <c r="BD78" i="12"/>
  <c r="BG78" i="12" s="1"/>
  <c r="AL79" i="12"/>
  <c r="BS338" i="12" l="1"/>
  <c r="BT338" i="12" s="1"/>
  <c r="BU338" i="12" s="1"/>
  <c r="AR338" i="12" s="1"/>
  <c r="BX338" i="12"/>
  <c r="AS337" i="12"/>
  <c r="BY338" i="12"/>
  <c r="BZ338" i="12" s="1"/>
  <c r="AY338" i="12" s="1"/>
  <c r="BR339" i="12"/>
  <c r="CD339" i="12" s="1"/>
  <c r="BW339" i="12"/>
  <c r="AZ337" i="12"/>
  <c r="BA337" i="12" s="1"/>
  <c r="CC344" i="12"/>
  <c r="CB345" i="12"/>
  <c r="AM339" i="12"/>
  <c r="AO339" i="12" s="1"/>
  <c r="BD79" i="12"/>
  <c r="BG79" i="12" s="1"/>
  <c r="AL80" i="12"/>
  <c r="AS338" i="12" l="1"/>
  <c r="AZ338" i="12"/>
  <c r="BA338" i="12" s="1"/>
  <c r="BS339" i="12"/>
  <c r="BT339" i="12" s="1"/>
  <c r="BU339" i="12" s="1"/>
  <c r="AR339" i="12" s="1"/>
  <c r="BW340" i="12"/>
  <c r="BX339" i="12"/>
  <c r="BY339" i="12" s="1"/>
  <c r="BZ339" i="12" s="1"/>
  <c r="AY339" i="12" s="1"/>
  <c r="BR340" i="12"/>
  <c r="CD340" i="12" s="1"/>
  <c r="CE340" i="12" s="1"/>
  <c r="AN340" i="12" s="1"/>
  <c r="CE339" i="12"/>
  <c r="AN339" i="12" s="1"/>
  <c r="CB346" i="12"/>
  <c r="CC345" i="12"/>
  <c r="AM340" i="12"/>
  <c r="AO340" i="12" s="1"/>
  <c r="BD80" i="12"/>
  <c r="BG80" i="12" s="1"/>
  <c r="AL81" i="12"/>
  <c r="BW341" i="12" l="1"/>
  <c r="BS340" i="12"/>
  <c r="BT340" i="12" s="1"/>
  <c r="BU340" i="12" s="1"/>
  <c r="AR340" i="12" s="1"/>
  <c r="BR341" i="12"/>
  <c r="CD341" i="12" s="1"/>
  <c r="CE341" i="12" s="1"/>
  <c r="AN341" i="12" s="1"/>
  <c r="BX340" i="12"/>
  <c r="BY340" i="12" s="1"/>
  <c r="BZ340" i="12" s="1"/>
  <c r="AY340" i="12" s="1"/>
  <c r="AZ339" i="12"/>
  <c r="BA339" i="12" s="1"/>
  <c r="AS339" i="12"/>
  <c r="CB347" i="12"/>
  <c r="CC346" i="12"/>
  <c r="AM341" i="12"/>
  <c r="AO341" i="12" s="1"/>
  <c r="BD81" i="12"/>
  <c r="BG81" i="12" s="1"/>
  <c r="AL82" i="12"/>
  <c r="BR342" i="12" l="1"/>
  <c r="CD342" i="12" s="1"/>
  <c r="CE342" i="12" s="1"/>
  <c r="AN342" i="12" s="1"/>
  <c r="BX341" i="12"/>
  <c r="BY341" i="12" s="1"/>
  <c r="BZ341" i="12" s="1"/>
  <c r="AY341" i="12" s="1"/>
  <c r="AS340" i="12"/>
  <c r="BW342" i="12"/>
  <c r="BS341" i="12"/>
  <c r="BT341" i="12" s="1"/>
  <c r="AS341" i="12" s="1"/>
  <c r="AZ340" i="12"/>
  <c r="CB348" i="12"/>
  <c r="CC347" i="12"/>
  <c r="AM342" i="12"/>
  <c r="AO342" i="12" s="1"/>
  <c r="BD82" i="12"/>
  <c r="BG82" i="12" s="1"/>
  <c r="AL83" i="12"/>
  <c r="BS342" i="12" l="1"/>
  <c r="BT342" i="12" s="1"/>
  <c r="AS342" i="12" s="1"/>
  <c r="BR343" i="12"/>
  <c r="CD343" i="12" s="1"/>
  <c r="CE343" i="12" s="1"/>
  <c r="AN343" i="12" s="1"/>
  <c r="BW343" i="12"/>
  <c r="BX342" i="12"/>
  <c r="BY342" i="12" s="1"/>
  <c r="BZ342" i="12" s="1"/>
  <c r="AY342" i="12" s="1"/>
  <c r="BU341" i="12"/>
  <c r="AR341" i="12" s="1"/>
  <c r="AZ341" i="12"/>
  <c r="BA341" i="12" s="1"/>
  <c r="CB349" i="12"/>
  <c r="CC348" i="12"/>
  <c r="AM343" i="12"/>
  <c r="AO343" i="12" s="1"/>
  <c r="BD83" i="12"/>
  <c r="BG83" i="12" s="1"/>
  <c r="AL84" i="12"/>
  <c r="BU342" i="12" l="1"/>
  <c r="AR342" i="12" s="1"/>
  <c r="BW344" i="12"/>
  <c r="BX343" i="12"/>
  <c r="BY343" i="12" s="1"/>
  <c r="BZ343" i="12" s="1"/>
  <c r="AY343" i="12" s="1"/>
  <c r="BR344" i="12"/>
  <c r="CD344" i="12" s="1"/>
  <c r="CE344" i="12" s="1"/>
  <c r="AN344" i="12" s="1"/>
  <c r="BS343" i="12"/>
  <c r="BT343" i="12" s="1"/>
  <c r="BU343" i="12" s="1"/>
  <c r="AR343" i="12" s="1"/>
  <c r="AZ342" i="12"/>
  <c r="BA342" i="12" s="1"/>
  <c r="CB350" i="12"/>
  <c r="CC349" i="12"/>
  <c r="AM344" i="12"/>
  <c r="AO344" i="12" s="1"/>
  <c r="BD84" i="12"/>
  <c r="BG84" i="12" s="1"/>
  <c r="AL85" i="12"/>
  <c r="BR345" i="12" l="1"/>
  <c r="CD345" i="12" s="1"/>
  <c r="CE345" i="12" s="1"/>
  <c r="AN345" i="12" s="1"/>
  <c r="AZ343" i="12"/>
  <c r="BA343" i="12" s="1"/>
  <c r="BW345" i="12"/>
  <c r="BX344" i="12"/>
  <c r="BY344" i="12" s="1"/>
  <c r="BZ344" i="12" s="1"/>
  <c r="AY344" i="12" s="1"/>
  <c r="AS343" i="12"/>
  <c r="BS344" i="12"/>
  <c r="BT344" i="12" s="1"/>
  <c r="AS344" i="12" s="1"/>
  <c r="CB351" i="12"/>
  <c r="CC350" i="12"/>
  <c r="AM345" i="12"/>
  <c r="AO345" i="12" s="1"/>
  <c r="BD85" i="12"/>
  <c r="BG85" i="12" s="1"/>
  <c r="AL86" i="12"/>
  <c r="BR346" i="12" l="1"/>
  <c r="CD346" i="12" s="1"/>
  <c r="BS345" i="12"/>
  <c r="BT345" i="12" s="1"/>
  <c r="BU345" i="12" s="1"/>
  <c r="AR345" i="12" s="1"/>
  <c r="BX345" i="12"/>
  <c r="BY345" i="12" s="1"/>
  <c r="BZ345" i="12" s="1"/>
  <c r="AY345" i="12" s="1"/>
  <c r="BW346" i="12"/>
  <c r="BU344" i="12"/>
  <c r="AR344" i="12" s="1"/>
  <c r="AZ344" i="12"/>
  <c r="BA344" i="12" s="1"/>
  <c r="CB352" i="12"/>
  <c r="CC351" i="12"/>
  <c r="AM346" i="12"/>
  <c r="AO346" i="12" s="1"/>
  <c r="BD86" i="12"/>
  <c r="BG86" i="12" s="1"/>
  <c r="AL87" i="12"/>
  <c r="BR347" i="12" l="1"/>
  <c r="CD347" i="12" s="1"/>
  <c r="CE347" i="12" s="1"/>
  <c r="AN347" i="12" s="1"/>
  <c r="BX346" i="12"/>
  <c r="BS346" i="12"/>
  <c r="BT346" i="12" s="1"/>
  <c r="AS346" i="12" s="1"/>
  <c r="BW347" i="12"/>
  <c r="AS345" i="12"/>
  <c r="AZ345" i="12"/>
  <c r="BA345" i="12" s="1"/>
  <c r="BY346" i="12"/>
  <c r="AZ346" i="12" s="1"/>
  <c r="CE346" i="12"/>
  <c r="AN346" i="12" s="1"/>
  <c r="CB353" i="12"/>
  <c r="CC352" i="12"/>
  <c r="AM347" i="12"/>
  <c r="AO347" i="12" s="1"/>
  <c r="BD87" i="12"/>
  <c r="BG87" i="12" s="1"/>
  <c r="AL88" i="12"/>
  <c r="BS347" i="12" l="1"/>
  <c r="BT347" i="12" s="1"/>
  <c r="BU347" i="12" s="1"/>
  <c r="AR347" i="12" s="1"/>
  <c r="BW348" i="12"/>
  <c r="BR348" i="12"/>
  <c r="CD348" i="12" s="1"/>
  <c r="BX347" i="12"/>
  <c r="BY347" i="12" s="1"/>
  <c r="AZ347" i="12" s="1"/>
  <c r="BA347" i="12" s="1"/>
  <c r="BU346" i="12"/>
  <c r="AR346" i="12" s="1"/>
  <c r="BZ346" i="12"/>
  <c r="AY346" i="12" s="1"/>
  <c r="CB354" i="12"/>
  <c r="CC353" i="12"/>
  <c r="AM348" i="12"/>
  <c r="AO348" i="12" s="1"/>
  <c r="BD88" i="12"/>
  <c r="BG88" i="12" s="1"/>
  <c r="AL89" i="12"/>
  <c r="AS347" i="12" l="1"/>
  <c r="BX348" i="12"/>
  <c r="BY348" i="12" s="1"/>
  <c r="BZ348" i="12" s="1"/>
  <c r="AY348" i="12" s="1"/>
  <c r="BS348" i="12"/>
  <c r="BT348" i="12" s="1"/>
  <c r="BU348" i="12" s="1"/>
  <c r="AR348" i="12" s="1"/>
  <c r="BW349" i="12"/>
  <c r="BR349" i="12"/>
  <c r="CD349" i="12" s="1"/>
  <c r="CE349" i="12" s="1"/>
  <c r="AN349" i="12" s="1"/>
  <c r="BZ347" i="12"/>
  <c r="AY347" i="12" s="1"/>
  <c r="CE348" i="12"/>
  <c r="AN348" i="12" s="1"/>
  <c r="CB355" i="12"/>
  <c r="CC354" i="12"/>
  <c r="AM349" i="12"/>
  <c r="AO349" i="12" s="1"/>
  <c r="BD89" i="12"/>
  <c r="BG89" i="12" s="1"/>
  <c r="AL90" i="12"/>
  <c r="AS348" i="12" l="1"/>
  <c r="BW350" i="12"/>
  <c r="AZ348" i="12"/>
  <c r="BA348" i="12" s="1"/>
  <c r="BX349" i="12"/>
  <c r="BY349" i="12" s="1"/>
  <c r="BZ349" i="12" s="1"/>
  <c r="AY349" i="12" s="1"/>
  <c r="BS349" i="12"/>
  <c r="BT349" i="12" s="1"/>
  <c r="BU349" i="12" s="1"/>
  <c r="AR349" i="12" s="1"/>
  <c r="BR350" i="12"/>
  <c r="CD350" i="12" s="1"/>
  <c r="CE350" i="12" s="1"/>
  <c r="AN350" i="12" s="1"/>
  <c r="CB356" i="12"/>
  <c r="CC355" i="12"/>
  <c r="AM350" i="12"/>
  <c r="AO350" i="12" s="1"/>
  <c r="BD90" i="12"/>
  <c r="BG90" i="12" s="1"/>
  <c r="AL91" i="12"/>
  <c r="AS349" i="12" l="1"/>
  <c r="BW351" i="12"/>
  <c r="AZ349" i="12"/>
  <c r="BA349" i="12" s="1"/>
  <c r="BR351" i="12"/>
  <c r="CD351" i="12" s="1"/>
  <c r="CE351" i="12" s="1"/>
  <c r="AN351" i="12" s="1"/>
  <c r="BS350" i="12"/>
  <c r="BT350" i="12" s="1"/>
  <c r="AS350" i="12" s="1"/>
  <c r="BX350" i="12"/>
  <c r="BY350" i="12" s="1"/>
  <c r="BZ350" i="12" s="1"/>
  <c r="AY350" i="12" s="1"/>
  <c r="CB357" i="12"/>
  <c r="CC356" i="12"/>
  <c r="AM351" i="12"/>
  <c r="AO351" i="12" s="1"/>
  <c r="BD91" i="12"/>
  <c r="BG91" i="12" s="1"/>
  <c r="AL92" i="12"/>
  <c r="BU350" i="12" l="1"/>
  <c r="AR350" i="12" s="1"/>
  <c r="BS351" i="12"/>
  <c r="BT351" i="12" s="1"/>
  <c r="BU351" i="12" s="1"/>
  <c r="AR351" i="12" s="1"/>
  <c r="BW352" i="12"/>
  <c r="BR352" i="12"/>
  <c r="CD352" i="12" s="1"/>
  <c r="BX351" i="12"/>
  <c r="BY351" i="12" s="1"/>
  <c r="BZ351" i="12" s="1"/>
  <c r="AY351" i="12" s="1"/>
  <c r="AZ350" i="12"/>
  <c r="BA350" i="12" s="1"/>
  <c r="CB358" i="12"/>
  <c r="CC357" i="12"/>
  <c r="AM352" i="12"/>
  <c r="AO352" i="12" s="1"/>
  <c r="BD92" i="12"/>
  <c r="BG92" i="12" s="1"/>
  <c r="AL93" i="12"/>
  <c r="BR353" i="12" l="1"/>
  <c r="CD353" i="12" s="1"/>
  <c r="CE353" i="12" s="1"/>
  <c r="AN353" i="12" s="1"/>
  <c r="AS351" i="12"/>
  <c r="BX352" i="12"/>
  <c r="BY352" i="12" s="1"/>
  <c r="AZ352" i="12" s="1"/>
  <c r="BS352" i="12"/>
  <c r="BT352" i="12" s="1"/>
  <c r="BU352" i="12" s="1"/>
  <c r="AR352" i="12" s="1"/>
  <c r="BW353" i="12"/>
  <c r="AZ351" i="12"/>
  <c r="BA351" i="12" s="1"/>
  <c r="CE352" i="12"/>
  <c r="AN352" i="12" s="1"/>
  <c r="CB359" i="12"/>
  <c r="CD359" i="12" s="1"/>
  <c r="CC358" i="12"/>
  <c r="AM353" i="12"/>
  <c r="AO353" i="12" s="1"/>
  <c r="BD93" i="12"/>
  <c r="BG93" i="12" s="1"/>
  <c r="AL94" i="12"/>
  <c r="BS353" i="12" l="1"/>
  <c r="BT353" i="12" s="1"/>
  <c r="BU353" i="12" s="1"/>
  <c r="AR353" i="12" s="1"/>
  <c r="BX353" i="12"/>
  <c r="BW354" i="12"/>
  <c r="BR354" i="12"/>
  <c r="CD354" i="12" s="1"/>
  <c r="CE354" i="12" s="1"/>
  <c r="AN354" i="12" s="1"/>
  <c r="BZ352" i="12"/>
  <c r="AY352" i="12" s="1"/>
  <c r="BY353" i="12"/>
  <c r="AZ353" i="12" s="1"/>
  <c r="BA353" i="12" s="1"/>
  <c r="AS352" i="12"/>
  <c r="CB360" i="12"/>
  <c r="CD360" i="12" s="1"/>
  <c r="CC359" i="12"/>
  <c r="AM354" i="12"/>
  <c r="AO354" i="12" s="1"/>
  <c r="BD94" i="12"/>
  <c r="BG94" i="12" s="1"/>
  <c r="AL95" i="12"/>
  <c r="AS353" i="12" l="1"/>
  <c r="BX354" i="12"/>
  <c r="BY354" i="12" s="1"/>
  <c r="AZ354" i="12" s="1"/>
  <c r="BA354" i="12" s="1"/>
  <c r="BW355" i="12"/>
  <c r="BR355" i="12"/>
  <c r="CD355" i="12" s="1"/>
  <c r="CE355" i="12" s="1"/>
  <c r="AN355" i="12" s="1"/>
  <c r="BS354" i="12"/>
  <c r="BT354" i="12" s="1"/>
  <c r="BU354" i="12" s="1"/>
  <c r="AR354" i="12" s="1"/>
  <c r="BZ353" i="12"/>
  <c r="AY353" i="12" s="1"/>
  <c r="CE359" i="12"/>
  <c r="AN359" i="12" s="1"/>
  <c r="CB361" i="12"/>
  <c r="CD361" i="12" s="1"/>
  <c r="CC360" i="12"/>
  <c r="AM355" i="12"/>
  <c r="AO355" i="12" s="1"/>
  <c r="BD95" i="12"/>
  <c r="BG95" i="12" s="1"/>
  <c r="AL96" i="12"/>
  <c r="BZ354" i="12" l="1"/>
  <c r="AY354" i="12" s="1"/>
  <c r="AS354" i="12"/>
  <c r="BX355" i="12"/>
  <c r="BY355" i="12" s="1"/>
  <c r="AZ355" i="12" s="1"/>
  <c r="BA355" i="12" s="1"/>
  <c r="BS355" i="12"/>
  <c r="BT355" i="12" s="1"/>
  <c r="AS355" i="12" s="1"/>
  <c r="BW356" i="12"/>
  <c r="BR356" i="12"/>
  <c r="CD356" i="12" s="1"/>
  <c r="CE356" i="12" s="1"/>
  <c r="AN356" i="12" s="1"/>
  <c r="CE360" i="12"/>
  <c r="AN360" i="12" s="1"/>
  <c r="CB362" i="12"/>
  <c r="CD362" i="12" s="1"/>
  <c r="CC361" i="12"/>
  <c r="AM356" i="12"/>
  <c r="AO356" i="12" s="1"/>
  <c r="BD96" i="12"/>
  <c r="BG96" i="12" s="1"/>
  <c r="AL97" i="12"/>
  <c r="BZ355" i="12" l="1"/>
  <c r="AY355" i="12" s="1"/>
  <c r="BU355" i="12"/>
  <c r="AR355" i="12" s="1"/>
  <c r="BW357" i="12"/>
  <c r="BR357" i="12"/>
  <c r="CD357" i="12" s="1"/>
  <c r="CE357" i="12" s="1"/>
  <c r="AN357" i="12" s="1"/>
  <c r="BS356" i="12"/>
  <c r="BT356" i="12" s="1"/>
  <c r="AS356" i="12" s="1"/>
  <c r="BX356" i="12"/>
  <c r="BY356" i="12" s="1"/>
  <c r="AZ356" i="12" s="1"/>
  <c r="BA356" i="12" s="1"/>
  <c r="CE361" i="12"/>
  <c r="AN361" i="12" s="1"/>
  <c r="CB363" i="12"/>
  <c r="CD363" i="12" s="1"/>
  <c r="CC362" i="12"/>
  <c r="AM357" i="12"/>
  <c r="AO357" i="12" s="1"/>
  <c r="BD97" i="12"/>
  <c r="BG97" i="12" s="1"/>
  <c r="AL98" i="12"/>
  <c r="BR358" i="12" l="1"/>
  <c r="CD358" i="12" s="1"/>
  <c r="CE358" i="12" s="1"/>
  <c r="AN358" i="12" s="1"/>
  <c r="BS357" i="12"/>
  <c r="BT357" i="12" s="1"/>
  <c r="BU357" i="12" s="1"/>
  <c r="AR357" i="12" s="1"/>
  <c r="BX357" i="12"/>
  <c r="BW358" i="12"/>
  <c r="BU356" i="12"/>
  <c r="AR356" i="12" s="1"/>
  <c r="BZ356" i="12"/>
  <c r="AY356" i="12" s="1"/>
  <c r="BY357" i="12"/>
  <c r="BZ357" i="12" s="1"/>
  <c r="AY357" i="12" s="1"/>
  <c r="CB364" i="12"/>
  <c r="CD364" i="12" s="1"/>
  <c r="CC363" i="12"/>
  <c r="CE362" i="12"/>
  <c r="AN362" i="12" s="1"/>
  <c r="AM358" i="12"/>
  <c r="AO358" i="12" s="1"/>
  <c r="BD98" i="12"/>
  <c r="BG98" i="12" s="1"/>
  <c r="AL99" i="12"/>
  <c r="BW359" i="12" l="1"/>
  <c r="BY359" i="12" s="1"/>
  <c r="BZ359" i="12" s="1"/>
  <c r="AY359" i="12" s="1"/>
  <c r="BR359" i="12"/>
  <c r="BT359" i="12" s="1"/>
  <c r="BX358" i="12"/>
  <c r="BS358" i="12"/>
  <c r="BT358" i="12" s="1"/>
  <c r="AS358" i="12" s="1"/>
  <c r="AS357" i="12"/>
  <c r="BY358" i="12"/>
  <c r="BZ358" i="12" s="1"/>
  <c r="AY358" i="12" s="1"/>
  <c r="AZ357" i="12"/>
  <c r="BA357" i="12" s="1"/>
  <c r="CB365" i="12"/>
  <c r="CD365" i="12" s="1"/>
  <c r="CC364" i="12"/>
  <c r="CE363" i="12"/>
  <c r="AN363" i="12" s="1"/>
  <c r="AM359" i="12"/>
  <c r="AO359" i="12" s="1"/>
  <c r="BD99" i="12"/>
  <c r="BG99" i="12" s="1"/>
  <c r="AL100" i="12"/>
  <c r="BR360" i="12" l="1"/>
  <c r="BT360" i="12" s="1"/>
  <c r="AZ359" i="12"/>
  <c r="BA359" i="12" s="1"/>
  <c r="BS359" i="12"/>
  <c r="BX359" i="12"/>
  <c r="BU358" i="12"/>
  <c r="AR358" i="12" s="1"/>
  <c r="BW360" i="12"/>
  <c r="BY360" i="12" s="1"/>
  <c r="BZ360" i="12" s="1"/>
  <c r="AY360" i="12" s="1"/>
  <c r="AZ358" i="12"/>
  <c r="BU359" i="12"/>
  <c r="AR359" i="12" s="1"/>
  <c r="AS359" i="12"/>
  <c r="CB366" i="12"/>
  <c r="CD366" i="12" s="1"/>
  <c r="CC365" i="12"/>
  <c r="CE364" i="12"/>
  <c r="AN364" i="12" s="1"/>
  <c r="AL359" i="12"/>
  <c r="AM360" i="12"/>
  <c r="AO360" i="12" s="1"/>
  <c r="BD100" i="12"/>
  <c r="BG100" i="12" s="1"/>
  <c r="AL101" i="12"/>
  <c r="BR361" i="12" l="1"/>
  <c r="BT361" i="12" s="1"/>
  <c r="BX360" i="12"/>
  <c r="BS360" i="12"/>
  <c r="BW361" i="12"/>
  <c r="BY361" i="12" s="1"/>
  <c r="BZ361" i="12" s="1"/>
  <c r="AY361" i="12" s="1"/>
  <c r="AZ360" i="12"/>
  <c r="BA360" i="12" s="1"/>
  <c r="CC366" i="12"/>
  <c r="CB367" i="12"/>
  <c r="CD367" i="12" s="1"/>
  <c r="BU360" i="12"/>
  <c r="AR360" i="12" s="1"/>
  <c r="AS360" i="12"/>
  <c r="CE365" i="12"/>
  <c r="AN365" i="12" s="1"/>
  <c r="BD359" i="12"/>
  <c r="BG359" i="12" s="1"/>
  <c r="BH359" i="12"/>
  <c r="AL360" i="12"/>
  <c r="AM361" i="12"/>
  <c r="AO361" i="12" s="1"/>
  <c r="BD101" i="12"/>
  <c r="BG101" i="12" s="1"/>
  <c r="AL102" i="12"/>
  <c r="BS361" i="12" l="1"/>
  <c r="BX361" i="12"/>
  <c r="BW362" i="12"/>
  <c r="BY362" i="12" s="1"/>
  <c r="AZ362" i="12" s="1"/>
  <c r="BA362" i="12" s="1"/>
  <c r="BR362" i="12"/>
  <c r="BT362" i="12" s="1"/>
  <c r="AZ361" i="12"/>
  <c r="BA361" i="12" s="1"/>
  <c r="BU361" i="12"/>
  <c r="AR361" i="12" s="1"/>
  <c r="AS361" i="12"/>
  <c r="CC367" i="12"/>
  <c r="CB368" i="12"/>
  <c r="CD368" i="12" s="1"/>
  <c r="CE366" i="12"/>
  <c r="AN366" i="12" s="1"/>
  <c r="BD360" i="12"/>
  <c r="BG360" i="12" s="1"/>
  <c r="BH360" i="12"/>
  <c r="AL361" i="12"/>
  <c r="AM362" i="12"/>
  <c r="AO362" i="12" s="1"/>
  <c r="BD102" i="12"/>
  <c r="BG102" i="12" s="1"/>
  <c r="AL103" i="12"/>
  <c r="BZ362" i="12" l="1"/>
  <c r="AY362" i="12" s="1"/>
  <c r="BR363" i="12"/>
  <c r="BT363" i="12" s="1"/>
  <c r="BX362" i="12"/>
  <c r="BS362" i="12"/>
  <c r="BW363" i="12"/>
  <c r="BY363" i="12" s="1"/>
  <c r="BZ363" i="12" s="1"/>
  <c r="AY363" i="12" s="1"/>
  <c r="BU362" i="12"/>
  <c r="AR362" i="12" s="1"/>
  <c r="AS362" i="12"/>
  <c r="CE367" i="12"/>
  <c r="AN367" i="12" s="1"/>
  <c r="CC368" i="12"/>
  <c r="CB369" i="12"/>
  <c r="CD369" i="12" s="1"/>
  <c r="AL362" i="12"/>
  <c r="AM363" i="12"/>
  <c r="AO363" i="12" s="1"/>
  <c r="BH361" i="12"/>
  <c r="BD361" i="12"/>
  <c r="BG361" i="12" s="1"/>
  <c r="BD103" i="12"/>
  <c r="BG103" i="12" s="1"/>
  <c r="AL104" i="12"/>
  <c r="BS363" i="12" l="1"/>
  <c r="BX363" i="12"/>
  <c r="BW364" i="12"/>
  <c r="BY364" i="12" s="1"/>
  <c r="BZ364" i="12" s="1"/>
  <c r="AY364" i="12" s="1"/>
  <c r="BR364" i="12"/>
  <c r="BT364" i="12" s="1"/>
  <c r="AZ363" i="12"/>
  <c r="BA363" i="12" s="1"/>
  <c r="BU363" i="12"/>
  <c r="AR363" i="12" s="1"/>
  <c r="AS363" i="12"/>
  <c r="CC369" i="12"/>
  <c r="CB370" i="12"/>
  <c r="CD370" i="12" s="1"/>
  <c r="CE368" i="12"/>
  <c r="AN368" i="12" s="1"/>
  <c r="AL363" i="12"/>
  <c r="AM364" i="12"/>
  <c r="AO364" i="12" s="1"/>
  <c r="BD362" i="12"/>
  <c r="BG362" i="12" s="1"/>
  <c r="BH362" i="12"/>
  <c r="BD104" i="12"/>
  <c r="BG104" i="12" s="1"/>
  <c r="AL105" i="12"/>
  <c r="BR365" i="12" l="1"/>
  <c r="BT365" i="12" s="1"/>
  <c r="AZ364" i="12"/>
  <c r="BA364" i="12" s="1"/>
  <c r="BX364" i="12"/>
  <c r="BS364" i="12"/>
  <c r="BW365" i="12"/>
  <c r="BY365" i="12" s="1"/>
  <c r="BZ365" i="12" s="1"/>
  <c r="AY365" i="12" s="1"/>
  <c r="CE369" i="12"/>
  <c r="AN369" i="12" s="1"/>
  <c r="BU364" i="12"/>
  <c r="AR364" i="12" s="1"/>
  <c r="AS364" i="12"/>
  <c r="CC370" i="12"/>
  <c r="CB371" i="12"/>
  <c r="CD371" i="12" s="1"/>
  <c r="AL364" i="12"/>
  <c r="AM365" i="12"/>
  <c r="AO365" i="12" s="1"/>
  <c r="BD363" i="12"/>
  <c r="BG363" i="12" s="1"/>
  <c r="BH363" i="12"/>
  <c r="BD105" i="12"/>
  <c r="BG105" i="12" s="1"/>
  <c r="AL106" i="12"/>
  <c r="BS365" i="12" l="1"/>
  <c r="BX365" i="12"/>
  <c r="BW366" i="12"/>
  <c r="BY366" i="12" s="1"/>
  <c r="BZ366" i="12" s="1"/>
  <c r="AY366" i="12" s="1"/>
  <c r="BR366" i="12"/>
  <c r="BT366" i="12" s="1"/>
  <c r="AZ365" i="12"/>
  <c r="BA365" i="12" s="1"/>
  <c r="CB372" i="12"/>
  <c r="CD372" i="12" s="1"/>
  <c r="CC371" i="12"/>
  <c r="CE370" i="12"/>
  <c r="AN370" i="12" s="1"/>
  <c r="BU365" i="12"/>
  <c r="AR365" i="12" s="1"/>
  <c r="AS365" i="12"/>
  <c r="BD364" i="12"/>
  <c r="BG364" i="12" s="1"/>
  <c r="BH364" i="12"/>
  <c r="AL365" i="12"/>
  <c r="AM366" i="12"/>
  <c r="AO366" i="12" s="1"/>
  <c r="BD106" i="12"/>
  <c r="BG106" i="12" s="1"/>
  <c r="AL107" i="12"/>
  <c r="BW367" i="12" l="1"/>
  <c r="BY367" i="12" s="1"/>
  <c r="AZ367" i="12" s="1"/>
  <c r="BA367" i="12" s="1"/>
  <c r="BR367" i="12"/>
  <c r="BT367" i="12" s="1"/>
  <c r="AZ366" i="12"/>
  <c r="BA366" i="12" s="1"/>
  <c r="BX366" i="12"/>
  <c r="BS366" i="12"/>
  <c r="BU366" i="12"/>
  <c r="AR366" i="12" s="1"/>
  <c r="AS366" i="12"/>
  <c r="CC372" i="12"/>
  <c r="CB373" i="12"/>
  <c r="CD373" i="12" s="1"/>
  <c r="CE371" i="12"/>
  <c r="AN371" i="12" s="1"/>
  <c r="AL366" i="12"/>
  <c r="AM367" i="12"/>
  <c r="AO367" i="12" s="1"/>
  <c r="BH365" i="12"/>
  <c r="BD365" i="12"/>
  <c r="BG365" i="12" s="1"/>
  <c r="BD107" i="12"/>
  <c r="BG107" i="12" s="1"/>
  <c r="AL108" i="12"/>
  <c r="BZ367" i="12" l="1"/>
  <c r="AY367" i="12" s="1"/>
  <c r="BW368" i="12"/>
  <c r="BY368" i="12" s="1"/>
  <c r="AZ368" i="12" s="1"/>
  <c r="BA368" i="12" s="1"/>
  <c r="BR368" i="12"/>
  <c r="BT368" i="12" s="1"/>
  <c r="BX367" i="12"/>
  <c r="BS367" i="12"/>
  <c r="CC373" i="12"/>
  <c r="CB374" i="12"/>
  <c r="CD374" i="12" s="1"/>
  <c r="CE372" i="12"/>
  <c r="AN372" i="12" s="1"/>
  <c r="BU367" i="12"/>
  <c r="AR367" i="12" s="1"/>
  <c r="AS367" i="12"/>
  <c r="AL367" i="12"/>
  <c r="AM368" i="12"/>
  <c r="AO368" i="12" s="1"/>
  <c r="BD366" i="12"/>
  <c r="BG366" i="12" s="1"/>
  <c r="BH366" i="12"/>
  <c r="BD108" i="12"/>
  <c r="BG108" i="12" s="1"/>
  <c r="AL109" i="12"/>
  <c r="BZ368" i="12" l="1"/>
  <c r="AY368" i="12" s="1"/>
  <c r="BS368" i="12"/>
  <c r="BW369" i="12"/>
  <c r="BY369" i="12" s="1"/>
  <c r="BZ369" i="12" s="1"/>
  <c r="AY369" i="12" s="1"/>
  <c r="BR369" i="12"/>
  <c r="BT369" i="12" s="1"/>
  <c r="BX368" i="12"/>
  <c r="BU368" i="12"/>
  <c r="AR368" i="12" s="1"/>
  <c r="AS368" i="12"/>
  <c r="CE373" i="12"/>
  <c r="AN373" i="12" s="1"/>
  <c r="CC374" i="12"/>
  <c r="CB375" i="12"/>
  <c r="CD375" i="12" s="1"/>
  <c r="AL368" i="12"/>
  <c r="AM369" i="12"/>
  <c r="AO369" i="12" s="1"/>
  <c r="BD367" i="12"/>
  <c r="BG367" i="12" s="1"/>
  <c r="BH367" i="12"/>
  <c r="BD109" i="12"/>
  <c r="BG109" i="12" s="1"/>
  <c r="AL110" i="12"/>
  <c r="BR370" i="12" l="1"/>
  <c r="BT370" i="12" s="1"/>
  <c r="AZ369" i="12"/>
  <c r="BA369" i="12" s="1"/>
  <c r="BW370" i="12"/>
  <c r="BY370" i="12" s="1"/>
  <c r="AZ370" i="12" s="1"/>
  <c r="BA370" i="12" s="1"/>
  <c r="BS369" i="12"/>
  <c r="BX369" i="12"/>
  <c r="CE374" i="12"/>
  <c r="AN374" i="12" s="1"/>
  <c r="CC375" i="12"/>
  <c r="CB376" i="12"/>
  <c r="CD376" i="12" s="1"/>
  <c r="BU369" i="12"/>
  <c r="AR369" i="12" s="1"/>
  <c r="AS369" i="12"/>
  <c r="BD368" i="12"/>
  <c r="BG368" i="12" s="1"/>
  <c r="BH368" i="12"/>
  <c r="AL369" i="12"/>
  <c r="AM370" i="12"/>
  <c r="AO370" i="12" s="1"/>
  <c r="BD110" i="12"/>
  <c r="BG110" i="12" s="1"/>
  <c r="AL111" i="12"/>
  <c r="BS370" i="12" l="1"/>
  <c r="BX370" i="12"/>
  <c r="BW371" i="12"/>
  <c r="BY371" i="12" s="1"/>
  <c r="BZ371" i="12" s="1"/>
  <c r="AY371" i="12" s="1"/>
  <c r="BR371" i="12"/>
  <c r="BT371" i="12" s="1"/>
  <c r="BZ370" i="12"/>
  <c r="AY370" i="12" s="1"/>
  <c r="CE375" i="12"/>
  <c r="AN375" i="12" s="1"/>
  <c r="BU370" i="12"/>
  <c r="AR370" i="12" s="1"/>
  <c r="AS370" i="12"/>
  <c r="CC376" i="12"/>
  <c r="CB377" i="12"/>
  <c r="CD377" i="12" s="1"/>
  <c r="AL370" i="12"/>
  <c r="AM371" i="12"/>
  <c r="AO371" i="12" s="1"/>
  <c r="BD369" i="12"/>
  <c r="BG369" i="12" s="1"/>
  <c r="BH369" i="12"/>
  <c r="BD111" i="12"/>
  <c r="BG111" i="12" s="1"/>
  <c r="AL112" i="12"/>
  <c r="AZ371" i="12" l="1"/>
  <c r="BA371" i="12" s="1"/>
  <c r="BR372" i="12"/>
  <c r="BT372" i="12" s="1"/>
  <c r="BS371" i="12"/>
  <c r="BW372" i="12"/>
  <c r="BY372" i="12" s="1"/>
  <c r="BZ372" i="12" s="1"/>
  <c r="AY372" i="12" s="1"/>
  <c r="BX371" i="12"/>
  <c r="CE376" i="12"/>
  <c r="AN376" i="12" s="1"/>
  <c r="CC377" i="12"/>
  <c r="CB378" i="12"/>
  <c r="CD378" i="12" s="1"/>
  <c r="BU371" i="12"/>
  <c r="AR371" i="12" s="1"/>
  <c r="AS371" i="12"/>
  <c r="BD370" i="12"/>
  <c r="BG370" i="12" s="1"/>
  <c r="BH370" i="12"/>
  <c r="AL371" i="12"/>
  <c r="AM372" i="12"/>
  <c r="AO372" i="12" s="1"/>
  <c r="BD112" i="12"/>
  <c r="BG112" i="12" s="1"/>
  <c r="AL113" i="12"/>
  <c r="BS372" i="12" l="1"/>
  <c r="BW373" i="12"/>
  <c r="BY373" i="12" s="1"/>
  <c r="BZ373" i="12" s="1"/>
  <c r="AY373" i="12" s="1"/>
  <c r="BR373" i="12"/>
  <c r="BT373" i="12" s="1"/>
  <c r="BX372" i="12"/>
  <c r="AZ372" i="12"/>
  <c r="BA372" i="12" s="1"/>
  <c r="BU372" i="12"/>
  <c r="AR372" i="12" s="1"/>
  <c r="AS372" i="12"/>
  <c r="CB379" i="12"/>
  <c r="CD379" i="12" s="1"/>
  <c r="CC378" i="12"/>
  <c r="CE377" i="12"/>
  <c r="AN377" i="12" s="1"/>
  <c r="AM373" i="12"/>
  <c r="AO373" i="12" s="1"/>
  <c r="AL372" i="12"/>
  <c r="BH371" i="12"/>
  <c r="BD371" i="12"/>
  <c r="BG371" i="12" s="1"/>
  <c r="BD113" i="12"/>
  <c r="BG113" i="12" s="1"/>
  <c r="AL114" i="12"/>
  <c r="BW374" i="12" l="1"/>
  <c r="BY374" i="12" s="1"/>
  <c r="AZ374" i="12" s="1"/>
  <c r="BA374" i="12" s="1"/>
  <c r="BR374" i="12"/>
  <c r="BT374" i="12" s="1"/>
  <c r="BS373" i="12"/>
  <c r="AZ373" i="12"/>
  <c r="BA373" i="12" s="1"/>
  <c r="BX373" i="12"/>
  <c r="CB380" i="12"/>
  <c r="CD380" i="12" s="1"/>
  <c r="CC379" i="12"/>
  <c r="BU373" i="12"/>
  <c r="AR373" i="12" s="1"/>
  <c r="AS373" i="12"/>
  <c r="CE378" i="12"/>
  <c r="AN378" i="12" s="1"/>
  <c r="AL373" i="12"/>
  <c r="AM374" i="12"/>
  <c r="AO374" i="12" s="1"/>
  <c r="BD372" i="12"/>
  <c r="BG372" i="12" s="1"/>
  <c r="BH372" i="12"/>
  <c r="BD114" i="12"/>
  <c r="BG114" i="12" s="1"/>
  <c r="AL115" i="12"/>
  <c r="BS374" i="12" l="1"/>
  <c r="BZ374" i="12"/>
  <c r="AY374" i="12" s="1"/>
  <c r="BW375" i="12"/>
  <c r="BY375" i="12" s="1"/>
  <c r="AZ375" i="12" s="1"/>
  <c r="BA375" i="12" s="1"/>
  <c r="BX374" i="12"/>
  <c r="BR375" i="12"/>
  <c r="BT375" i="12" s="1"/>
  <c r="CC380" i="12"/>
  <c r="CB381" i="12"/>
  <c r="CD381" i="12" s="1"/>
  <c r="BU374" i="12"/>
  <c r="AR374" i="12" s="1"/>
  <c r="AS374" i="12"/>
  <c r="CE379" i="12"/>
  <c r="AN379" i="12" s="1"/>
  <c r="AM375" i="12"/>
  <c r="AO375" i="12" s="1"/>
  <c r="AL374" i="12"/>
  <c r="BH373" i="12"/>
  <c r="BD373" i="12"/>
  <c r="BG373" i="12" s="1"/>
  <c r="BD115" i="12"/>
  <c r="BG115" i="12" s="1"/>
  <c r="AL116" i="12"/>
  <c r="BR376" i="12" l="1"/>
  <c r="BT376" i="12" s="1"/>
  <c r="BX375" i="12"/>
  <c r="BS375" i="12"/>
  <c r="BZ375" i="12"/>
  <c r="AY375" i="12" s="1"/>
  <c r="BW376" i="12"/>
  <c r="BY376" i="12" s="1"/>
  <c r="AZ376" i="12" s="1"/>
  <c r="BA376" i="12" s="1"/>
  <c r="CB382" i="12"/>
  <c r="CD382" i="12" s="1"/>
  <c r="CC381" i="12"/>
  <c r="BU375" i="12"/>
  <c r="AR375" i="12" s="1"/>
  <c r="AS375" i="12"/>
  <c r="CE380" i="12"/>
  <c r="AN380" i="12" s="1"/>
  <c r="AL375" i="12"/>
  <c r="AM376" i="12"/>
  <c r="AO376" i="12" s="1"/>
  <c r="BD374" i="12"/>
  <c r="BG374" i="12" s="1"/>
  <c r="BH374" i="12"/>
  <c r="BD116" i="12"/>
  <c r="BG116" i="12" s="1"/>
  <c r="AL117" i="12"/>
  <c r="BX376" i="12" l="1"/>
  <c r="BR377" i="12"/>
  <c r="BT377" i="12" s="1"/>
  <c r="BS376" i="12"/>
  <c r="BW377" i="12"/>
  <c r="BY377" i="12" s="1"/>
  <c r="AZ377" i="12" s="1"/>
  <c r="BA377" i="12" s="1"/>
  <c r="BZ376" i="12"/>
  <c r="AY376" i="12" s="1"/>
  <c r="BU376" i="12"/>
  <c r="AR376" i="12" s="1"/>
  <c r="AS376" i="12"/>
  <c r="CC382" i="12"/>
  <c r="CB383" i="12"/>
  <c r="CD383" i="12" s="1"/>
  <c r="CE381" i="12"/>
  <c r="AN381" i="12" s="1"/>
  <c r="AM377" i="12"/>
  <c r="AO377" i="12" s="1"/>
  <c r="AL376" i="12"/>
  <c r="BH375" i="12"/>
  <c r="BD375" i="12"/>
  <c r="BG375" i="12" s="1"/>
  <c r="BD117" i="12"/>
  <c r="BG117" i="12" s="1"/>
  <c r="AL118" i="12"/>
  <c r="BX377" i="12" l="1"/>
  <c r="BR378" i="12"/>
  <c r="BT378" i="12" s="1"/>
  <c r="BS377" i="12"/>
  <c r="BW378" i="12"/>
  <c r="BY378" i="12" s="1"/>
  <c r="BZ378" i="12" s="1"/>
  <c r="AY378" i="12" s="1"/>
  <c r="BZ377" i="12"/>
  <c r="AY377" i="12" s="1"/>
  <c r="CB384" i="12"/>
  <c r="CD384" i="12" s="1"/>
  <c r="CC383" i="12"/>
  <c r="CE382" i="12"/>
  <c r="AN382" i="12" s="1"/>
  <c r="BU377" i="12"/>
  <c r="AR377" i="12" s="1"/>
  <c r="AS377" i="12"/>
  <c r="AL377" i="12"/>
  <c r="AM378" i="12"/>
  <c r="AO378" i="12" s="1"/>
  <c r="BD376" i="12"/>
  <c r="BG376" i="12" s="1"/>
  <c r="BH376" i="12"/>
  <c r="BD118" i="12"/>
  <c r="BG118" i="12" s="1"/>
  <c r="AL119" i="12"/>
  <c r="BS378" i="12" l="1"/>
  <c r="BW379" i="12"/>
  <c r="BY379" i="12" s="1"/>
  <c r="AZ379" i="12" s="1"/>
  <c r="BA379" i="12" s="1"/>
  <c r="BX378" i="12"/>
  <c r="BR379" i="12"/>
  <c r="BT379" i="12" s="1"/>
  <c r="AZ378" i="12"/>
  <c r="BA378" i="12" s="1"/>
  <c r="BU378" i="12"/>
  <c r="AR378" i="12" s="1"/>
  <c r="AS378" i="12"/>
  <c r="CC384" i="12"/>
  <c r="CB385" i="12"/>
  <c r="CD385" i="12" s="1"/>
  <c r="CE383" i="12"/>
  <c r="AN383" i="12" s="1"/>
  <c r="AM379" i="12"/>
  <c r="AO379" i="12" s="1"/>
  <c r="AL378" i="12"/>
  <c r="BH377" i="12"/>
  <c r="BD377" i="12"/>
  <c r="BG377" i="12" s="1"/>
  <c r="BD119" i="12"/>
  <c r="BG119" i="12" s="1"/>
  <c r="AL120" i="12"/>
  <c r="BZ379" i="12" l="1"/>
  <c r="AY379" i="12" s="1"/>
  <c r="BW380" i="12"/>
  <c r="BY380" i="12" s="1"/>
  <c r="BZ380" i="12" s="1"/>
  <c r="AY380" i="12" s="1"/>
  <c r="BR380" i="12"/>
  <c r="BT380" i="12" s="1"/>
  <c r="BS379" i="12"/>
  <c r="BX379" i="12"/>
  <c r="CB386" i="12"/>
  <c r="CD386" i="12" s="1"/>
  <c r="CC385" i="12"/>
  <c r="BU379" i="12"/>
  <c r="AR379" i="12" s="1"/>
  <c r="AS379" i="12"/>
  <c r="CE384" i="12"/>
  <c r="AN384" i="12" s="1"/>
  <c r="AM380" i="12"/>
  <c r="AO380" i="12" s="1"/>
  <c r="AL379" i="12"/>
  <c r="BH378" i="12"/>
  <c r="BD378" i="12"/>
  <c r="BG378" i="12" s="1"/>
  <c r="BD120" i="12"/>
  <c r="BG120" i="12" s="1"/>
  <c r="AL121" i="12"/>
  <c r="BS380" i="12" l="1"/>
  <c r="BW381" i="12"/>
  <c r="BY381" i="12" s="1"/>
  <c r="AZ381" i="12" s="1"/>
  <c r="BA381" i="12" s="1"/>
  <c r="BX380" i="12"/>
  <c r="AZ380" i="12"/>
  <c r="BA380" i="12" s="1"/>
  <c r="BR381" i="12"/>
  <c r="BT381" i="12" s="1"/>
  <c r="BU380" i="12"/>
  <c r="AR380" i="12" s="1"/>
  <c r="AS380" i="12"/>
  <c r="CC386" i="12"/>
  <c r="CB387" i="12"/>
  <c r="CD387" i="12" s="1"/>
  <c r="CE385" i="12"/>
  <c r="AN385" i="12" s="1"/>
  <c r="BD379" i="12"/>
  <c r="BG379" i="12" s="1"/>
  <c r="BH379" i="12"/>
  <c r="AL380" i="12"/>
  <c r="AM381" i="12"/>
  <c r="AO381" i="12" s="1"/>
  <c r="BD121" i="12"/>
  <c r="BG121" i="12" s="1"/>
  <c r="AL122" i="12"/>
  <c r="BZ381" i="12" l="1"/>
  <c r="AY381" i="12" s="1"/>
  <c r="BX381" i="12"/>
  <c r="BW382" i="12"/>
  <c r="BY382" i="12" s="1"/>
  <c r="BZ382" i="12" s="1"/>
  <c r="AY382" i="12" s="1"/>
  <c r="BS381" i="12"/>
  <c r="BR382" i="12"/>
  <c r="BT382" i="12" s="1"/>
  <c r="CE386" i="12"/>
  <c r="AN386" i="12" s="1"/>
  <c r="BU381" i="12"/>
  <c r="AR381" i="12" s="1"/>
  <c r="AS381" i="12"/>
  <c r="CB388" i="12"/>
  <c r="CD388" i="12" s="1"/>
  <c r="CC387" i="12"/>
  <c r="AL381" i="12"/>
  <c r="AM382" i="12"/>
  <c r="AO382" i="12" s="1"/>
  <c r="BD380" i="12"/>
  <c r="BG380" i="12" s="1"/>
  <c r="BH380" i="12"/>
  <c r="BD122" i="12"/>
  <c r="BG122" i="12" s="1"/>
  <c r="AL123" i="12"/>
  <c r="BX382" i="12" l="1"/>
  <c r="BS382" i="12"/>
  <c r="BW383" i="12"/>
  <c r="BY383" i="12" s="1"/>
  <c r="BZ383" i="12" s="1"/>
  <c r="AY383" i="12" s="1"/>
  <c r="AZ382" i="12"/>
  <c r="BA382" i="12" s="1"/>
  <c r="BR383" i="12"/>
  <c r="BT383" i="12" s="1"/>
  <c r="CC388" i="12"/>
  <c r="CB389" i="12"/>
  <c r="CD389" i="12" s="1"/>
  <c r="CE387" i="12"/>
  <c r="AN387" i="12" s="1"/>
  <c r="BU382" i="12"/>
  <c r="AR382" i="12" s="1"/>
  <c r="AS382" i="12"/>
  <c r="AL382" i="12"/>
  <c r="AM383" i="12"/>
  <c r="AO383" i="12" s="1"/>
  <c r="BD381" i="12"/>
  <c r="BG381" i="12" s="1"/>
  <c r="BH381" i="12"/>
  <c r="BD123" i="12"/>
  <c r="BG123" i="12" s="1"/>
  <c r="AL124" i="12"/>
  <c r="BW384" i="12" l="1"/>
  <c r="BY384" i="12" s="1"/>
  <c r="BZ384" i="12" s="1"/>
  <c r="AY384" i="12" s="1"/>
  <c r="BR384" i="12"/>
  <c r="BT384" i="12" s="1"/>
  <c r="BX383" i="12"/>
  <c r="AZ383" i="12"/>
  <c r="BA383" i="12" s="1"/>
  <c r="BS383" i="12"/>
  <c r="CE388" i="12"/>
  <c r="AN388" i="12" s="1"/>
  <c r="BU383" i="12"/>
  <c r="AR383" i="12" s="1"/>
  <c r="AS383" i="12"/>
  <c r="CB390" i="12"/>
  <c r="CD390" i="12" s="1"/>
  <c r="CC389" i="12"/>
  <c r="AL383" i="12"/>
  <c r="AM384" i="12"/>
  <c r="AO384" i="12" s="1"/>
  <c r="BD382" i="12"/>
  <c r="BG382" i="12" s="1"/>
  <c r="BH382" i="12"/>
  <c r="BD124" i="12"/>
  <c r="BG124" i="12" s="1"/>
  <c r="AL125" i="12"/>
  <c r="AZ384" i="12" l="1"/>
  <c r="BA384" i="12" s="1"/>
  <c r="BW385" i="12"/>
  <c r="BY385" i="12" s="1"/>
  <c r="BZ385" i="12" s="1"/>
  <c r="AY385" i="12" s="1"/>
  <c r="BX384" i="12"/>
  <c r="BR385" i="12"/>
  <c r="BT385" i="12" s="1"/>
  <c r="BS384" i="12"/>
  <c r="CC390" i="12"/>
  <c r="CB391" i="12"/>
  <c r="CD391" i="12" s="1"/>
  <c r="CE389" i="12"/>
  <c r="AN389" i="12" s="1"/>
  <c r="BU384" i="12"/>
  <c r="AR384" i="12" s="1"/>
  <c r="AS384" i="12"/>
  <c r="AL384" i="12"/>
  <c r="AM385" i="12"/>
  <c r="AO385" i="12" s="1"/>
  <c r="BD383" i="12"/>
  <c r="BG383" i="12" s="1"/>
  <c r="BH383" i="12"/>
  <c r="BD125" i="12"/>
  <c r="BG125" i="12" s="1"/>
  <c r="AL126" i="12"/>
  <c r="AZ385" i="12" l="1"/>
  <c r="BA385" i="12" s="1"/>
  <c r="BR386" i="12"/>
  <c r="BT386" i="12" s="1"/>
  <c r="BS385" i="12"/>
  <c r="BW386" i="12"/>
  <c r="BY386" i="12" s="1"/>
  <c r="BZ386" i="12" s="1"/>
  <c r="AY386" i="12" s="1"/>
  <c r="BX385" i="12"/>
  <c r="CE390" i="12"/>
  <c r="AN390" i="12" s="1"/>
  <c r="CB392" i="12"/>
  <c r="CD392" i="12" s="1"/>
  <c r="CC391" i="12"/>
  <c r="BU385" i="12"/>
  <c r="AR385" i="12" s="1"/>
  <c r="AS385" i="12"/>
  <c r="AL385" i="12"/>
  <c r="AM386" i="12"/>
  <c r="AO386" i="12" s="1"/>
  <c r="BH384" i="12"/>
  <c r="BD384" i="12"/>
  <c r="BG384" i="12" s="1"/>
  <c r="BD126" i="12"/>
  <c r="BG126" i="12" s="1"/>
  <c r="AL127" i="12"/>
  <c r="BR387" i="12" l="1"/>
  <c r="BT387" i="12" s="1"/>
  <c r="BX386" i="12"/>
  <c r="BS386" i="12"/>
  <c r="BW387" i="12"/>
  <c r="BY387" i="12" s="1"/>
  <c r="BZ387" i="12" s="1"/>
  <c r="AY387" i="12" s="1"/>
  <c r="AZ386" i="12"/>
  <c r="BA386" i="12" s="1"/>
  <c r="CE391" i="12"/>
  <c r="AN391" i="12" s="1"/>
  <c r="CC392" i="12"/>
  <c r="CB393" i="12"/>
  <c r="CD393" i="12" s="1"/>
  <c r="BU386" i="12"/>
  <c r="AR386" i="12" s="1"/>
  <c r="AS386" i="12"/>
  <c r="AL386" i="12"/>
  <c r="AM387" i="12"/>
  <c r="AO387" i="12" s="1"/>
  <c r="BD385" i="12"/>
  <c r="BG385" i="12" s="1"/>
  <c r="BH385" i="12"/>
  <c r="BD127" i="12"/>
  <c r="BG127" i="12" s="1"/>
  <c r="AL128" i="12"/>
  <c r="BR388" i="12" l="1"/>
  <c r="BT388" i="12" s="1"/>
  <c r="BX387" i="12"/>
  <c r="BS387" i="12"/>
  <c r="BW388" i="12"/>
  <c r="BY388" i="12" s="1"/>
  <c r="BZ388" i="12" s="1"/>
  <c r="AY388" i="12" s="1"/>
  <c r="AZ387" i="12"/>
  <c r="BA387" i="12" s="1"/>
  <c r="CE392" i="12"/>
  <c r="AN392" i="12" s="1"/>
  <c r="BU387" i="12"/>
  <c r="AR387" i="12" s="1"/>
  <c r="AS387" i="12"/>
  <c r="CB394" i="12"/>
  <c r="CD394" i="12" s="1"/>
  <c r="CC393" i="12"/>
  <c r="AL387" i="12"/>
  <c r="AM388" i="12"/>
  <c r="AO388" i="12" s="1"/>
  <c r="BD386" i="12"/>
  <c r="BG386" i="12" s="1"/>
  <c r="BH386" i="12"/>
  <c r="BD128" i="12"/>
  <c r="BG128" i="12" s="1"/>
  <c r="AL129" i="12"/>
  <c r="BS388" i="12" l="1"/>
  <c r="BW389" i="12"/>
  <c r="BY389" i="12" s="1"/>
  <c r="BZ389" i="12" s="1"/>
  <c r="AY389" i="12" s="1"/>
  <c r="BX388" i="12"/>
  <c r="BR389" i="12"/>
  <c r="BT389" i="12" s="1"/>
  <c r="AZ388" i="12"/>
  <c r="BA388" i="12" s="1"/>
  <c r="CC394" i="12"/>
  <c r="CB395" i="12"/>
  <c r="CD395" i="12" s="1"/>
  <c r="BU388" i="12"/>
  <c r="AR388" i="12" s="1"/>
  <c r="AS388" i="12"/>
  <c r="CE393" i="12"/>
  <c r="AN393" i="12" s="1"/>
  <c r="BD387" i="12"/>
  <c r="BG387" i="12" s="1"/>
  <c r="BH387" i="12"/>
  <c r="AL388" i="12"/>
  <c r="AM389" i="12"/>
  <c r="AO389" i="12" s="1"/>
  <c r="BD129" i="12"/>
  <c r="BG129" i="12" s="1"/>
  <c r="AL130" i="12"/>
  <c r="AZ389" i="12" l="1"/>
  <c r="BA389" i="12" s="1"/>
  <c r="BS389" i="12"/>
  <c r="BW390" i="12"/>
  <c r="BY390" i="12" s="1"/>
  <c r="AZ390" i="12" s="1"/>
  <c r="BA390" i="12" s="1"/>
  <c r="BX389" i="12"/>
  <c r="BR390" i="12"/>
  <c r="BT390" i="12" s="1"/>
  <c r="BU389" i="12"/>
  <c r="AR389" i="12" s="1"/>
  <c r="AS389" i="12"/>
  <c r="CB396" i="12"/>
  <c r="CD396" i="12" s="1"/>
  <c r="CC395" i="12"/>
  <c r="CE394" i="12"/>
  <c r="AN394" i="12" s="1"/>
  <c r="AL389" i="12"/>
  <c r="AM390" i="12"/>
  <c r="AO390" i="12" s="1"/>
  <c r="BH388" i="12"/>
  <c r="BD388" i="12"/>
  <c r="BG388" i="12" s="1"/>
  <c r="BD130" i="12"/>
  <c r="BG130" i="12" s="1"/>
  <c r="AL131" i="12"/>
  <c r="BX390" i="12" l="1"/>
  <c r="BS390" i="12"/>
  <c r="BZ390" i="12"/>
  <c r="AY390" i="12" s="1"/>
  <c r="BW391" i="12"/>
  <c r="BY391" i="12" s="1"/>
  <c r="AZ391" i="12" s="1"/>
  <c r="BA391" i="12" s="1"/>
  <c r="BR391" i="12"/>
  <c r="BT391" i="12" s="1"/>
  <c r="CE395" i="12"/>
  <c r="AN395" i="12" s="1"/>
  <c r="CC396" i="12"/>
  <c r="CB397" i="12"/>
  <c r="CD397" i="12" s="1"/>
  <c r="BU390" i="12"/>
  <c r="AR390" i="12" s="1"/>
  <c r="AS390" i="12"/>
  <c r="AL390" i="12"/>
  <c r="AM391" i="12"/>
  <c r="AO391" i="12" s="1"/>
  <c r="BD389" i="12"/>
  <c r="BG389" i="12" s="1"/>
  <c r="BH389" i="12"/>
  <c r="BD131" i="12"/>
  <c r="BG131" i="12" s="1"/>
  <c r="AL132" i="12"/>
  <c r="BX391" i="12" l="1"/>
  <c r="BW392" i="12"/>
  <c r="BY392" i="12" s="1"/>
  <c r="AZ392" i="12" s="1"/>
  <c r="BA392" i="12" s="1"/>
  <c r="BS391" i="12"/>
  <c r="BZ391" i="12"/>
  <c r="AY391" i="12" s="1"/>
  <c r="BR392" i="12"/>
  <c r="BT392" i="12" s="1"/>
  <c r="CE396" i="12"/>
  <c r="AN396" i="12" s="1"/>
  <c r="CC397" i="12"/>
  <c r="CB398" i="12"/>
  <c r="CD398" i="12" s="1"/>
  <c r="BU391" i="12"/>
  <c r="AR391" i="12" s="1"/>
  <c r="AS391" i="12"/>
  <c r="AL391" i="12"/>
  <c r="AM392" i="12"/>
  <c r="AO392" i="12" s="1"/>
  <c r="BD390" i="12"/>
  <c r="BG390" i="12" s="1"/>
  <c r="BH390" i="12"/>
  <c r="BD132" i="12"/>
  <c r="BG132" i="12" s="1"/>
  <c r="AL133" i="12"/>
  <c r="BZ392" i="12" l="1"/>
  <c r="AY392" i="12" s="1"/>
  <c r="BS392" i="12"/>
  <c r="BW393" i="12"/>
  <c r="BY393" i="12" s="1"/>
  <c r="BZ393" i="12" s="1"/>
  <c r="AY393" i="12" s="1"/>
  <c r="BR393" i="12"/>
  <c r="BT393" i="12" s="1"/>
  <c r="BX392" i="12"/>
  <c r="BU392" i="12"/>
  <c r="AR392" i="12" s="1"/>
  <c r="AS392" i="12"/>
  <c r="CC398" i="12"/>
  <c r="CB399" i="12"/>
  <c r="CD399" i="12" s="1"/>
  <c r="CE397" i="12"/>
  <c r="AN397" i="12" s="1"/>
  <c r="BD391" i="12"/>
  <c r="BG391" i="12" s="1"/>
  <c r="BH391" i="12"/>
  <c r="AL392" i="12"/>
  <c r="AM393" i="12"/>
  <c r="AO393" i="12" s="1"/>
  <c r="BD133" i="12"/>
  <c r="BG133" i="12" s="1"/>
  <c r="AL134" i="12"/>
  <c r="BS393" i="12" l="1"/>
  <c r="BW394" i="12"/>
  <c r="BY394" i="12" s="1"/>
  <c r="BZ394" i="12" s="1"/>
  <c r="AY394" i="12" s="1"/>
  <c r="BX393" i="12"/>
  <c r="AZ393" i="12"/>
  <c r="BA393" i="12" s="1"/>
  <c r="BR394" i="12"/>
  <c r="BT394" i="12" s="1"/>
  <c r="CE398" i="12"/>
  <c r="AN398" i="12" s="1"/>
  <c r="BU393" i="12"/>
  <c r="AR393" i="12" s="1"/>
  <c r="AS393" i="12"/>
  <c r="CC399" i="12"/>
  <c r="CB400" i="12"/>
  <c r="CD400" i="12" s="1"/>
  <c r="AL393" i="12"/>
  <c r="AM394" i="12"/>
  <c r="AO394" i="12" s="1"/>
  <c r="BD392" i="12"/>
  <c r="BG392" i="12" s="1"/>
  <c r="BH392" i="12"/>
  <c r="BD134" i="12"/>
  <c r="BG134" i="12" s="1"/>
  <c r="AL135" i="12"/>
  <c r="AZ394" i="12" l="1"/>
  <c r="BA394" i="12" s="1"/>
  <c r="BR395" i="12"/>
  <c r="BT395" i="12" s="1"/>
  <c r="BS394" i="12"/>
  <c r="BW395" i="12"/>
  <c r="BY395" i="12" s="1"/>
  <c r="BZ395" i="12" s="1"/>
  <c r="AY395" i="12" s="1"/>
  <c r="BX394" i="12"/>
  <c r="CE399" i="12"/>
  <c r="AN399" i="12" s="1"/>
  <c r="CC400" i="12"/>
  <c r="CB401" i="12"/>
  <c r="CD401" i="12" s="1"/>
  <c r="BU394" i="12"/>
  <c r="AR394" i="12" s="1"/>
  <c r="AS394" i="12"/>
  <c r="AL394" i="12"/>
  <c r="AM395" i="12"/>
  <c r="AO395" i="12" s="1"/>
  <c r="BD393" i="12"/>
  <c r="BG393" i="12" s="1"/>
  <c r="BH393" i="12"/>
  <c r="BD135" i="12"/>
  <c r="BG135" i="12" s="1"/>
  <c r="AL136" i="12"/>
  <c r="BW396" i="12" l="1"/>
  <c r="BY396" i="12" s="1"/>
  <c r="BZ396" i="12" s="1"/>
  <c r="AY396" i="12" s="1"/>
  <c r="BX395" i="12"/>
  <c r="BS395" i="12"/>
  <c r="BR396" i="12"/>
  <c r="BT396" i="12" s="1"/>
  <c r="AZ395" i="12"/>
  <c r="BA395" i="12" s="1"/>
  <c r="CE400" i="12"/>
  <c r="AN400" i="12" s="1"/>
  <c r="BU395" i="12"/>
  <c r="AR395" i="12" s="1"/>
  <c r="AS395" i="12"/>
  <c r="CB402" i="12"/>
  <c r="CD402" i="12" s="1"/>
  <c r="CC401" i="12"/>
  <c r="AM396" i="12"/>
  <c r="AO396" i="12" s="1"/>
  <c r="AL395" i="12"/>
  <c r="BD394" i="12"/>
  <c r="BG394" i="12" s="1"/>
  <c r="BH394" i="12"/>
  <c r="BD136" i="12"/>
  <c r="BG136" i="12" s="1"/>
  <c r="AL137" i="12"/>
  <c r="AZ396" i="12" l="1"/>
  <c r="BA396" i="12" s="1"/>
  <c r="BW397" i="12"/>
  <c r="BY397" i="12" s="1"/>
  <c r="BZ397" i="12" s="1"/>
  <c r="AY397" i="12" s="1"/>
  <c r="BS396" i="12"/>
  <c r="BX396" i="12"/>
  <c r="BR397" i="12"/>
  <c r="BT397" i="12" s="1"/>
  <c r="CE401" i="12"/>
  <c r="AN401" i="12" s="1"/>
  <c r="CC402" i="12"/>
  <c r="CB403" i="12"/>
  <c r="CD403" i="12" s="1"/>
  <c r="BU396" i="12"/>
  <c r="AR396" i="12" s="1"/>
  <c r="AS396" i="12"/>
  <c r="BD395" i="12"/>
  <c r="BG395" i="12" s="1"/>
  <c r="BH395" i="12"/>
  <c r="AL396" i="12"/>
  <c r="AM397" i="12"/>
  <c r="AO397" i="12" s="1"/>
  <c r="BD137" i="12"/>
  <c r="BG137" i="12" s="1"/>
  <c r="AL138" i="12"/>
  <c r="BR398" i="12" l="1"/>
  <c r="BT398" i="12" s="1"/>
  <c r="BS397" i="12"/>
  <c r="AZ397" i="12"/>
  <c r="BA397" i="12" s="1"/>
  <c r="BW398" i="12"/>
  <c r="BY398" i="12" s="1"/>
  <c r="BZ398" i="12" s="1"/>
  <c r="AY398" i="12" s="1"/>
  <c r="BX397" i="12"/>
  <c r="CE402" i="12"/>
  <c r="AN402" i="12" s="1"/>
  <c r="BU397" i="12"/>
  <c r="AR397" i="12" s="1"/>
  <c r="AS397" i="12"/>
  <c r="CC403" i="12"/>
  <c r="CB404" i="12"/>
  <c r="CD404" i="12" s="1"/>
  <c r="AL397" i="12"/>
  <c r="AM398" i="12"/>
  <c r="AO398" i="12" s="1"/>
  <c r="BD396" i="12"/>
  <c r="BG396" i="12" s="1"/>
  <c r="BH396" i="12"/>
  <c r="BD138" i="12"/>
  <c r="BG138" i="12" s="1"/>
  <c r="AL139" i="12"/>
  <c r="BR399" i="12" l="1"/>
  <c r="BT399" i="12" s="1"/>
  <c r="BS398" i="12"/>
  <c r="BW399" i="12"/>
  <c r="BY399" i="12" s="1"/>
  <c r="AZ399" i="12" s="1"/>
  <c r="BA399" i="12" s="1"/>
  <c r="BX398" i="12"/>
  <c r="AZ398" i="12"/>
  <c r="BA398" i="12" s="1"/>
  <c r="BU398" i="12"/>
  <c r="AR398" i="12" s="1"/>
  <c r="AS398" i="12"/>
  <c r="CE403" i="12"/>
  <c r="AN403" i="12" s="1"/>
  <c r="CC404" i="12"/>
  <c r="CB405" i="12"/>
  <c r="CD405" i="12" s="1"/>
  <c r="AL398" i="12"/>
  <c r="AM399" i="12"/>
  <c r="AO399" i="12" s="1"/>
  <c r="BD397" i="12"/>
  <c r="BG397" i="12" s="1"/>
  <c r="BH397" i="12"/>
  <c r="BD139" i="12"/>
  <c r="BG139" i="12" s="1"/>
  <c r="AL140" i="12"/>
  <c r="BR400" i="12" l="1"/>
  <c r="BT400" i="12" s="1"/>
  <c r="BW400" i="12"/>
  <c r="BY400" i="12" s="1"/>
  <c r="AZ400" i="12" s="1"/>
  <c r="BA400" i="12" s="1"/>
  <c r="BZ399" i="12"/>
  <c r="AY399" i="12" s="1"/>
  <c r="BX399" i="12"/>
  <c r="BS399" i="12"/>
  <c r="BU399" i="12"/>
  <c r="AR399" i="12" s="1"/>
  <c r="AS399" i="12"/>
  <c r="CC405" i="12"/>
  <c r="CB406" i="12"/>
  <c r="CD406" i="12" s="1"/>
  <c r="CE404" i="12"/>
  <c r="AN404" i="12" s="1"/>
  <c r="AL399" i="12"/>
  <c r="AM400" i="12"/>
  <c r="AO400" i="12" s="1"/>
  <c r="BD398" i="12"/>
  <c r="BG398" i="12" s="1"/>
  <c r="BH398" i="12"/>
  <c r="BD140" i="12"/>
  <c r="BG140" i="12" s="1"/>
  <c r="AL141" i="12"/>
  <c r="BS400" i="12" l="1"/>
  <c r="BZ400" i="12"/>
  <c r="AY400" i="12" s="1"/>
  <c r="BR401" i="12"/>
  <c r="BT401" i="12" s="1"/>
  <c r="BW401" i="12"/>
  <c r="BY401" i="12" s="1"/>
  <c r="BZ401" i="12" s="1"/>
  <c r="AY401" i="12" s="1"/>
  <c r="BX400" i="12"/>
  <c r="CE405" i="12"/>
  <c r="AN405" i="12" s="1"/>
  <c r="BU400" i="12"/>
  <c r="AR400" i="12" s="1"/>
  <c r="AS400" i="12"/>
  <c r="CC406" i="12"/>
  <c r="CB407" i="12"/>
  <c r="CD407" i="12" s="1"/>
  <c r="AL400" i="12"/>
  <c r="AM401" i="12"/>
  <c r="AO401" i="12" s="1"/>
  <c r="BD399" i="12"/>
  <c r="BG399" i="12" s="1"/>
  <c r="BH399" i="12"/>
  <c r="BD141" i="12"/>
  <c r="BG141" i="12" s="1"/>
  <c r="AL142" i="12"/>
  <c r="BS401" i="12" l="1"/>
  <c r="BR402" i="12"/>
  <c r="BT402" i="12" s="1"/>
  <c r="BW402" i="12"/>
  <c r="BY402" i="12" s="1"/>
  <c r="AZ402" i="12" s="1"/>
  <c r="BA402" i="12" s="1"/>
  <c r="BX401" i="12"/>
  <c r="AZ401" i="12"/>
  <c r="BA401" i="12" s="1"/>
  <c r="CE406" i="12"/>
  <c r="AN406" i="12" s="1"/>
  <c r="CC407" i="12"/>
  <c r="CB408" i="12"/>
  <c r="CD408" i="12" s="1"/>
  <c r="BU401" i="12"/>
  <c r="AR401" i="12" s="1"/>
  <c r="AS401" i="12"/>
  <c r="AM402" i="12"/>
  <c r="AO402" i="12" s="1"/>
  <c r="AL401" i="12"/>
  <c r="BH400" i="12"/>
  <c r="BD400" i="12"/>
  <c r="BG400" i="12" s="1"/>
  <c r="BD142" i="12"/>
  <c r="BG142" i="12" s="1"/>
  <c r="AL143" i="12"/>
  <c r="BR403" i="12" l="1"/>
  <c r="BT403" i="12" s="1"/>
  <c r="BS402" i="12"/>
  <c r="BW403" i="12"/>
  <c r="BY403" i="12" s="1"/>
  <c r="AZ403" i="12" s="1"/>
  <c r="BA403" i="12" s="1"/>
  <c r="BX402" i="12"/>
  <c r="BZ402" i="12"/>
  <c r="AY402" i="12" s="1"/>
  <c r="BU402" i="12"/>
  <c r="AR402" i="12" s="1"/>
  <c r="AS402" i="12"/>
  <c r="CC408" i="12"/>
  <c r="CB409" i="12"/>
  <c r="CD409" i="12" s="1"/>
  <c r="CE407" i="12"/>
  <c r="AN407" i="12" s="1"/>
  <c r="AL402" i="12"/>
  <c r="AM403" i="12"/>
  <c r="AO403" i="12" s="1"/>
  <c r="BD401" i="12"/>
  <c r="BG401" i="12" s="1"/>
  <c r="BH401" i="12"/>
  <c r="BD143" i="12"/>
  <c r="BG143" i="12" s="1"/>
  <c r="AL144" i="12"/>
  <c r="BZ403" i="12" l="1"/>
  <c r="AY403" i="12" s="1"/>
  <c r="BX403" i="12"/>
  <c r="BR404" i="12"/>
  <c r="BT404" i="12" s="1"/>
  <c r="BW404" i="12"/>
  <c r="BY404" i="12" s="1"/>
  <c r="BZ404" i="12" s="1"/>
  <c r="AY404" i="12" s="1"/>
  <c r="BS403" i="12"/>
  <c r="BU403" i="12"/>
  <c r="AR403" i="12" s="1"/>
  <c r="AS403" i="12"/>
  <c r="CC409" i="12"/>
  <c r="CB410" i="12"/>
  <c r="CD410" i="12" s="1"/>
  <c r="CE408" i="12"/>
  <c r="AN408" i="12" s="1"/>
  <c r="AL403" i="12"/>
  <c r="AM404" i="12"/>
  <c r="AO404" i="12" s="1"/>
  <c r="BD402" i="12"/>
  <c r="BG402" i="12" s="1"/>
  <c r="BH402" i="12"/>
  <c r="BD144" i="12"/>
  <c r="BG144" i="12" s="1"/>
  <c r="AL145" i="12"/>
  <c r="AZ404" i="12" l="1"/>
  <c r="BA404" i="12" s="1"/>
  <c r="BW405" i="12"/>
  <c r="BY405" i="12" s="1"/>
  <c r="BZ405" i="12" s="1"/>
  <c r="AY405" i="12" s="1"/>
  <c r="BX404" i="12"/>
  <c r="BR405" i="12"/>
  <c r="BT405" i="12" s="1"/>
  <c r="BS404" i="12"/>
  <c r="CE409" i="12"/>
  <c r="AN409" i="12" s="1"/>
  <c r="BU404" i="12"/>
  <c r="AR404" i="12" s="1"/>
  <c r="AS404" i="12"/>
  <c r="CC410" i="12"/>
  <c r="CB411" i="12"/>
  <c r="CD411" i="12" s="1"/>
  <c r="BD403" i="12"/>
  <c r="BG403" i="12" s="1"/>
  <c r="BH403" i="12"/>
  <c r="AL404" i="12"/>
  <c r="AM405" i="12"/>
  <c r="AO405" i="12" s="1"/>
  <c r="BD145" i="12"/>
  <c r="BG145" i="12" s="1"/>
  <c r="AL146" i="12"/>
  <c r="BX405" i="12" l="1"/>
  <c r="BR406" i="12"/>
  <c r="BT406" i="12" s="1"/>
  <c r="AZ405" i="12"/>
  <c r="BA405" i="12" s="1"/>
  <c r="BS405" i="12"/>
  <c r="BW406" i="12"/>
  <c r="BY406" i="12" s="1"/>
  <c r="AZ406" i="12" s="1"/>
  <c r="BA406" i="12" s="1"/>
  <c r="BU405" i="12"/>
  <c r="AR405" i="12" s="1"/>
  <c r="AS405" i="12"/>
  <c r="CC411" i="12"/>
  <c r="CB412" i="12"/>
  <c r="CD412" i="12" s="1"/>
  <c r="CE410" i="12"/>
  <c r="AN410" i="12" s="1"/>
  <c r="AM406" i="12"/>
  <c r="AO406" i="12" s="1"/>
  <c r="AL405" i="12"/>
  <c r="BH404" i="12"/>
  <c r="BD404" i="12"/>
  <c r="BG404" i="12" s="1"/>
  <c r="BD146" i="12"/>
  <c r="BG146" i="12" s="1"/>
  <c r="AL147" i="12"/>
  <c r="BW407" i="12" l="1"/>
  <c r="BY407" i="12" s="1"/>
  <c r="AZ407" i="12" s="1"/>
  <c r="BA407" i="12" s="1"/>
  <c r="BR407" i="12"/>
  <c r="BT407" i="12" s="1"/>
  <c r="BX406" i="12"/>
  <c r="BS406" i="12"/>
  <c r="BZ406" i="12"/>
  <c r="AY406" i="12" s="1"/>
  <c r="CC412" i="12"/>
  <c r="CB413" i="12"/>
  <c r="CD413" i="12" s="1"/>
  <c r="CE411" i="12"/>
  <c r="AN411" i="12" s="1"/>
  <c r="BU406" i="12"/>
  <c r="AR406" i="12" s="1"/>
  <c r="AS406" i="12"/>
  <c r="AL406" i="12"/>
  <c r="AM407" i="12"/>
  <c r="AO407" i="12" s="1"/>
  <c r="BD405" i="12"/>
  <c r="BG405" i="12" s="1"/>
  <c r="BH405" i="12"/>
  <c r="BD147" i="12"/>
  <c r="BG147" i="12" s="1"/>
  <c r="AL148" i="12"/>
  <c r="BR408" i="12" l="1"/>
  <c r="BT408" i="12" s="1"/>
  <c r="BS407" i="12"/>
  <c r="BZ407" i="12"/>
  <c r="AY407" i="12" s="1"/>
  <c r="BW408" i="12"/>
  <c r="BY408" i="12" s="1"/>
  <c r="BZ408" i="12" s="1"/>
  <c r="AY408" i="12" s="1"/>
  <c r="BX407" i="12"/>
  <c r="BU407" i="12"/>
  <c r="AR407" i="12" s="1"/>
  <c r="AS407" i="12"/>
  <c r="CC413" i="12"/>
  <c r="CB414" i="12"/>
  <c r="CD414" i="12" s="1"/>
  <c r="CE412" i="12"/>
  <c r="AN412" i="12" s="1"/>
  <c r="AL407" i="12"/>
  <c r="AM408" i="12"/>
  <c r="AO408" i="12" s="1"/>
  <c r="BD406" i="12"/>
  <c r="BG406" i="12" s="1"/>
  <c r="BH406" i="12"/>
  <c r="BD148" i="12"/>
  <c r="BG148" i="12" s="1"/>
  <c r="AL149" i="12"/>
  <c r="BR409" i="12" l="1"/>
  <c r="BT409" i="12" s="1"/>
  <c r="BW409" i="12"/>
  <c r="BY409" i="12" s="1"/>
  <c r="AZ409" i="12" s="1"/>
  <c r="BA409" i="12" s="1"/>
  <c r="BX408" i="12"/>
  <c r="BS408" i="12"/>
  <c r="AZ408" i="12"/>
  <c r="BA408" i="12" s="1"/>
  <c r="BU408" i="12"/>
  <c r="AR408" i="12" s="1"/>
  <c r="AS408" i="12"/>
  <c r="CE413" i="12"/>
  <c r="AN413" i="12" s="1"/>
  <c r="CC414" i="12"/>
  <c r="CB415" i="12"/>
  <c r="CD415" i="12" s="1"/>
  <c r="BD407" i="12"/>
  <c r="BG407" i="12" s="1"/>
  <c r="BH407" i="12"/>
  <c r="AL408" i="12"/>
  <c r="AM409" i="12"/>
  <c r="AO409" i="12" s="1"/>
  <c r="BD149" i="12"/>
  <c r="BG149" i="12" s="1"/>
  <c r="AL150" i="12"/>
  <c r="BR410" i="12" l="1"/>
  <c r="BT410" i="12" s="1"/>
  <c r="BZ409" i="12"/>
  <c r="AY409" i="12" s="1"/>
  <c r="BW410" i="12"/>
  <c r="BY410" i="12" s="1"/>
  <c r="AZ410" i="12" s="1"/>
  <c r="BA410" i="12" s="1"/>
  <c r="BX409" i="12"/>
  <c r="BS409" i="12"/>
  <c r="CE414" i="12"/>
  <c r="AN414" i="12" s="1"/>
  <c r="CC415" i="12"/>
  <c r="CB416" i="12"/>
  <c r="CD416" i="12" s="1"/>
  <c r="AS409" i="12"/>
  <c r="BU409" i="12"/>
  <c r="AR409" i="12" s="1"/>
  <c r="AL409" i="12"/>
  <c r="AM410" i="12"/>
  <c r="AO410" i="12" s="1"/>
  <c r="BD408" i="12"/>
  <c r="BG408" i="12" s="1"/>
  <c r="BH408" i="12"/>
  <c r="BD150" i="12"/>
  <c r="BG150" i="12" s="1"/>
  <c r="AL151" i="12"/>
  <c r="BW411" i="12" l="1"/>
  <c r="BY411" i="12" s="1"/>
  <c r="AZ411" i="12" s="1"/>
  <c r="BA411" i="12" s="1"/>
  <c r="BX410" i="12"/>
  <c r="BR411" i="12"/>
  <c r="BT411" i="12" s="1"/>
  <c r="BS410" i="12"/>
  <c r="BZ410" i="12"/>
  <c r="AY410" i="12" s="1"/>
  <c r="CE415" i="12"/>
  <c r="AN415" i="12" s="1"/>
  <c r="BU410" i="12"/>
  <c r="AR410" i="12" s="1"/>
  <c r="AS410" i="12"/>
  <c r="CC416" i="12"/>
  <c r="CB417" i="12"/>
  <c r="CD417" i="12" s="1"/>
  <c r="AL410" i="12"/>
  <c r="AM411" i="12"/>
  <c r="AO411" i="12" s="1"/>
  <c r="BD409" i="12"/>
  <c r="BG409" i="12" s="1"/>
  <c r="BH409" i="12"/>
  <c r="BD151" i="12"/>
  <c r="BG151" i="12" s="1"/>
  <c r="AL152" i="12"/>
  <c r="BZ411" i="12" l="1"/>
  <c r="AY411" i="12" s="1"/>
  <c r="BW412" i="12"/>
  <c r="BY412" i="12" s="1"/>
  <c r="AZ412" i="12" s="1"/>
  <c r="BA412" i="12" s="1"/>
  <c r="BX411" i="12"/>
  <c r="BR412" i="12"/>
  <c r="BT412" i="12" s="1"/>
  <c r="BS411" i="12"/>
  <c r="BU411" i="12"/>
  <c r="AR411" i="12" s="1"/>
  <c r="AS411" i="12"/>
  <c r="CC417" i="12"/>
  <c r="CB418" i="12"/>
  <c r="CD418" i="12" s="1"/>
  <c r="CE416" i="12"/>
  <c r="AN416" i="12" s="1"/>
  <c r="BD410" i="12"/>
  <c r="BG410" i="12" s="1"/>
  <c r="BH410" i="12"/>
  <c r="AL411" i="12"/>
  <c r="AM412" i="12"/>
  <c r="AO412" i="12" s="1"/>
  <c r="BD152" i="12"/>
  <c r="BG152" i="12" s="1"/>
  <c r="AL153" i="12"/>
  <c r="BX412" i="12" l="1"/>
  <c r="BZ412" i="12"/>
  <c r="AY412" i="12" s="1"/>
  <c r="BW413" i="12"/>
  <c r="BY413" i="12" s="1"/>
  <c r="BZ413" i="12" s="1"/>
  <c r="AY413" i="12" s="1"/>
  <c r="BS412" i="12"/>
  <c r="BR413" i="12"/>
  <c r="BT413" i="12" s="1"/>
  <c r="CE417" i="12"/>
  <c r="AN417" i="12" s="1"/>
  <c r="BU412" i="12"/>
  <c r="AR412" i="12" s="1"/>
  <c r="AS412" i="12"/>
  <c r="CC418" i="12"/>
  <c r="CB419" i="12"/>
  <c r="CD419" i="12" s="1"/>
  <c r="AL412" i="12"/>
  <c r="AM413" i="12"/>
  <c r="AO413" i="12" s="1"/>
  <c r="BD411" i="12"/>
  <c r="BG411" i="12" s="1"/>
  <c r="BH411" i="12"/>
  <c r="BD153" i="12"/>
  <c r="BG153" i="12" s="1"/>
  <c r="AL154" i="12"/>
  <c r="BS413" i="12" l="1"/>
  <c r="BR414" i="12"/>
  <c r="BT414" i="12" s="1"/>
  <c r="AZ413" i="12"/>
  <c r="BA413" i="12" s="1"/>
  <c r="BX413" i="12"/>
  <c r="BW414" i="12"/>
  <c r="BY414" i="12" s="1"/>
  <c r="BZ414" i="12" s="1"/>
  <c r="AY414" i="12" s="1"/>
  <c r="AS413" i="12"/>
  <c r="BU413" i="12"/>
  <c r="AR413" i="12" s="1"/>
  <c r="CE418" i="12"/>
  <c r="AN418" i="12" s="1"/>
  <c r="CC419" i="12"/>
  <c r="CB420" i="12"/>
  <c r="CD420" i="12" s="1"/>
  <c r="AL413" i="12"/>
  <c r="AM414" i="12"/>
  <c r="AO414" i="12" s="1"/>
  <c r="BD412" i="12"/>
  <c r="BG412" i="12" s="1"/>
  <c r="BH412" i="12"/>
  <c r="BD154" i="12"/>
  <c r="BG154" i="12" s="1"/>
  <c r="AL155" i="12"/>
  <c r="BR415" i="12" l="1"/>
  <c r="BT415" i="12" s="1"/>
  <c r="BW415" i="12"/>
  <c r="BY415" i="12" s="1"/>
  <c r="AZ415" i="12" s="1"/>
  <c r="BA415" i="12" s="1"/>
  <c r="BX414" i="12"/>
  <c r="BS414" i="12"/>
  <c r="AZ414" i="12"/>
  <c r="BA414" i="12" s="1"/>
  <c r="CC420" i="12"/>
  <c r="CB421" i="12"/>
  <c r="CD421" i="12" s="1"/>
  <c r="BU414" i="12"/>
  <c r="AR414" i="12" s="1"/>
  <c r="AS414" i="12"/>
  <c r="CE419" i="12"/>
  <c r="AN419" i="12" s="1"/>
  <c r="AM415" i="12"/>
  <c r="AO415" i="12" s="1"/>
  <c r="AL414" i="12"/>
  <c r="BD413" i="12"/>
  <c r="BG413" i="12" s="1"/>
  <c r="BH413" i="12"/>
  <c r="BD155" i="12"/>
  <c r="BG155" i="12" s="1"/>
  <c r="AL156" i="12"/>
  <c r="BR416" i="12" l="1"/>
  <c r="BT416" i="12" s="1"/>
  <c r="BW416" i="12"/>
  <c r="BY416" i="12" s="1"/>
  <c r="AZ416" i="12" s="1"/>
  <c r="BA416" i="12" s="1"/>
  <c r="BX415" i="12"/>
  <c r="BS415" i="12"/>
  <c r="BZ415" i="12"/>
  <c r="AY415" i="12" s="1"/>
  <c r="CC421" i="12"/>
  <c r="CB422" i="12"/>
  <c r="CD422" i="12" s="1"/>
  <c r="BU415" i="12"/>
  <c r="AR415" i="12" s="1"/>
  <c r="AS415" i="12"/>
  <c r="CE420" i="12"/>
  <c r="AN420" i="12" s="1"/>
  <c r="AL415" i="12"/>
  <c r="AM416" i="12"/>
  <c r="AO416" i="12" s="1"/>
  <c r="BD414" i="12"/>
  <c r="BG414" i="12" s="1"/>
  <c r="BH414" i="12"/>
  <c r="BD156" i="12"/>
  <c r="BG156" i="12" s="1"/>
  <c r="AL157" i="12"/>
  <c r="BX416" i="12" l="1"/>
  <c r="BS416" i="12"/>
  <c r="BZ416" i="12"/>
  <c r="AY416" i="12" s="1"/>
  <c r="BW417" i="12"/>
  <c r="BY417" i="12" s="1"/>
  <c r="BZ417" i="12" s="1"/>
  <c r="AY417" i="12" s="1"/>
  <c r="BR417" i="12"/>
  <c r="BT417" i="12" s="1"/>
  <c r="CE421" i="12"/>
  <c r="AN421" i="12" s="1"/>
  <c r="BU416" i="12"/>
  <c r="AR416" i="12" s="1"/>
  <c r="AS416" i="12"/>
  <c r="CC422" i="12"/>
  <c r="CB423" i="12"/>
  <c r="CD423" i="12" s="1"/>
  <c r="AL416" i="12"/>
  <c r="AM417" i="12"/>
  <c r="AO417" i="12" s="1"/>
  <c r="BH415" i="12"/>
  <c r="BD415" i="12"/>
  <c r="BG415" i="12" s="1"/>
  <c r="BD157" i="12"/>
  <c r="BG157" i="12" s="1"/>
  <c r="AL158" i="12"/>
  <c r="BS417" i="12" l="1"/>
  <c r="BX417" i="12"/>
  <c r="BW418" i="12"/>
  <c r="BY418" i="12" s="1"/>
  <c r="BZ418" i="12" s="1"/>
  <c r="AY418" i="12" s="1"/>
  <c r="BR418" i="12"/>
  <c r="BT418" i="12" s="1"/>
  <c r="AZ417" i="12"/>
  <c r="BA417" i="12" s="1"/>
  <c r="CC423" i="12"/>
  <c r="CB424" i="12"/>
  <c r="CD424" i="12" s="1"/>
  <c r="CE422" i="12"/>
  <c r="AN422" i="12" s="1"/>
  <c r="AS417" i="12"/>
  <c r="BU417" i="12"/>
  <c r="AR417" i="12" s="1"/>
  <c r="BD416" i="12"/>
  <c r="BG416" i="12" s="1"/>
  <c r="BH416" i="12"/>
  <c r="AL417" i="12"/>
  <c r="AM418" i="12"/>
  <c r="AO418" i="12" s="1"/>
  <c r="BD158" i="12"/>
  <c r="BG158" i="12" s="1"/>
  <c r="AL159" i="12"/>
  <c r="AZ418" i="12" l="1"/>
  <c r="BA418" i="12" s="1"/>
  <c r="BR419" i="12"/>
  <c r="BT419" i="12" s="1"/>
  <c r="BW419" i="12"/>
  <c r="BY419" i="12" s="1"/>
  <c r="BZ419" i="12" s="1"/>
  <c r="AY419" i="12" s="1"/>
  <c r="BX418" i="12"/>
  <c r="BS418" i="12"/>
  <c r="CC424" i="12"/>
  <c r="CB425" i="12"/>
  <c r="CD425" i="12" s="1"/>
  <c r="CE423" i="12"/>
  <c r="AN423" i="12" s="1"/>
  <c r="BU418" i="12"/>
  <c r="AR418" i="12" s="1"/>
  <c r="AS418" i="12"/>
  <c r="AL418" i="12"/>
  <c r="AM419" i="12"/>
  <c r="AO419" i="12" s="1"/>
  <c r="BD417" i="12"/>
  <c r="BG417" i="12" s="1"/>
  <c r="BH417" i="12"/>
  <c r="BD159" i="12"/>
  <c r="BG159" i="12" s="1"/>
  <c r="AL160" i="12"/>
  <c r="BW420" i="12" l="1"/>
  <c r="BY420" i="12" s="1"/>
  <c r="BZ420" i="12" s="1"/>
  <c r="AY420" i="12" s="1"/>
  <c r="BX419" i="12"/>
  <c r="BS419" i="12"/>
  <c r="BR420" i="12"/>
  <c r="BT420" i="12" s="1"/>
  <c r="AZ419" i="12"/>
  <c r="BA419" i="12" s="1"/>
  <c r="CC425" i="12"/>
  <c r="CB426" i="12"/>
  <c r="CD426" i="12" s="1"/>
  <c r="CE424" i="12"/>
  <c r="AN424" i="12" s="1"/>
  <c r="BU419" i="12"/>
  <c r="AR419" i="12" s="1"/>
  <c r="AS419" i="12"/>
  <c r="AL419" i="12"/>
  <c r="AM420" i="12"/>
  <c r="AO420" i="12" s="1"/>
  <c r="BD418" i="12"/>
  <c r="BG418" i="12" s="1"/>
  <c r="BH418" i="12"/>
  <c r="BD160" i="12"/>
  <c r="BG160" i="12" s="1"/>
  <c r="AL161" i="12"/>
  <c r="BR421" i="12" l="1"/>
  <c r="BT421" i="12" s="1"/>
  <c r="BX420" i="12"/>
  <c r="BS420" i="12"/>
  <c r="AZ420" i="12"/>
  <c r="BA420" i="12" s="1"/>
  <c r="BW421" i="12"/>
  <c r="BY421" i="12" s="1"/>
  <c r="BZ421" i="12" s="1"/>
  <c r="AY421" i="12" s="1"/>
  <c r="BU420" i="12"/>
  <c r="AR420" i="12" s="1"/>
  <c r="AS420" i="12"/>
  <c r="CE425" i="12"/>
  <c r="AN425" i="12" s="1"/>
  <c r="CC426" i="12"/>
  <c r="CB427" i="12"/>
  <c r="CD427" i="12" s="1"/>
  <c r="AL420" i="12"/>
  <c r="AM421" i="12"/>
  <c r="AO421" i="12" s="1"/>
  <c r="BH419" i="12"/>
  <c r="BD419" i="12"/>
  <c r="BG419" i="12" s="1"/>
  <c r="BD161" i="12"/>
  <c r="BG161" i="12" s="1"/>
  <c r="AL162" i="12"/>
  <c r="BS421" i="12" l="1"/>
  <c r="BR422" i="12"/>
  <c r="BT422" i="12" s="1"/>
  <c r="BX421" i="12"/>
  <c r="BW422" i="12"/>
  <c r="BY422" i="12" s="1"/>
  <c r="AZ422" i="12" s="1"/>
  <c r="BA422" i="12" s="1"/>
  <c r="AZ421" i="12"/>
  <c r="BA421" i="12" s="1"/>
  <c r="AS421" i="12"/>
  <c r="BU421" i="12"/>
  <c r="AR421" i="12" s="1"/>
  <c r="CC427" i="12"/>
  <c r="CB428" i="12"/>
  <c r="CD428" i="12" s="1"/>
  <c r="CE426" i="12"/>
  <c r="AN426" i="12" s="1"/>
  <c r="AL421" i="12"/>
  <c r="AM422" i="12"/>
  <c r="AO422" i="12" s="1"/>
  <c r="BD420" i="12"/>
  <c r="BG420" i="12" s="1"/>
  <c r="BH420" i="12"/>
  <c r="BD162" i="12"/>
  <c r="BG162" i="12" s="1"/>
  <c r="AL163" i="12"/>
  <c r="BX422" i="12" l="1"/>
  <c r="BS422" i="12"/>
  <c r="BW423" i="12"/>
  <c r="BY423" i="12" s="1"/>
  <c r="BZ423" i="12" s="1"/>
  <c r="AY423" i="12" s="1"/>
  <c r="BR423" i="12"/>
  <c r="BT423" i="12" s="1"/>
  <c r="BZ422" i="12"/>
  <c r="AY422" i="12" s="1"/>
  <c r="CC428" i="12"/>
  <c r="CB429" i="12"/>
  <c r="CD429" i="12" s="1"/>
  <c r="CE427" i="12"/>
  <c r="AN427" i="12" s="1"/>
  <c r="BU422" i="12"/>
  <c r="AR422" i="12" s="1"/>
  <c r="AS422" i="12"/>
  <c r="AL422" i="12"/>
  <c r="AM423" i="12"/>
  <c r="AO423" i="12" s="1"/>
  <c r="BD421" i="12"/>
  <c r="BG421" i="12" s="1"/>
  <c r="BH421" i="12"/>
  <c r="BD163" i="12"/>
  <c r="BG163" i="12" s="1"/>
  <c r="AL164" i="12"/>
  <c r="BW424" i="12" l="1"/>
  <c r="BY424" i="12" s="1"/>
  <c r="BZ424" i="12" s="1"/>
  <c r="AY424" i="12" s="1"/>
  <c r="AZ423" i="12"/>
  <c r="BA423" i="12" s="1"/>
  <c r="BR424" i="12"/>
  <c r="BT424" i="12" s="1"/>
  <c r="BX423" i="12"/>
  <c r="BS423" i="12"/>
  <c r="CC429" i="12"/>
  <c r="CB430" i="12"/>
  <c r="CD430" i="12" s="1"/>
  <c r="BU423" i="12"/>
  <c r="AR423" i="12" s="1"/>
  <c r="AS423" i="12"/>
  <c r="CE428" i="12"/>
  <c r="AN428" i="12" s="1"/>
  <c r="AL423" i="12"/>
  <c r="AM424" i="12"/>
  <c r="AO424" i="12" s="1"/>
  <c r="BD422" i="12"/>
  <c r="BG422" i="12" s="1"/>
  <c r="BH422" i="12"/>
  <c r="BD164" i="12"/>
  <c r="BG164" i="12" s="1"/>
  <c r="AL165" i="12"/>
  <c r="AZ424" i="12" l="1"/>
  <c r="BA424" i="12" s="1"/>
  <c r="BR425" i="12"/>
  <c r="BT425" i="12" s="1"/>
  <c r="BX424" i="12"/>
  <c r="BW425" i="12"/>
  <c r="BY425" i="12" s="1"/>
  <c r="BZ425" i="12" s="1"/>
  <c r="AY425" i="12" s="1"/>
  <c r="BS424" i="12"/>
  <c r="BU424" i="12"/>
  <c r="AR424" i="12" s="1"/>
  <c r="AS424" i="12"/>
  <c r="CC430" i="12"/>
  <c r="CB431" i="12"/>
  <c r="CD431" i="12" s="1"/>
  <c r="CE429" i="12"/>
  <c r="AN429" i="12" s="1"/>
  <c r="AL424" i="12"/>
  <c r="AM425" i="12"/>
  <c r="AO425" i="12" s="1"/>
  <c r="BD423" i="12"/>
  <c r="BG423" i="12" s="1"/>
  <c r="BH423" i="12"/>
  <c r="BD165" i="12"/>
  <c r="BG165" i="12" s="1"/>
  <c r="AL166" i="12"/>
  <c r="BS425" i="12" l="1"/>
  <c r="BW426" i="12"/>
  <c r="BY426" i="12" s="1"/>
  <c r="BZ426" i="12" s="1"/>
  <c r="AY426" i="12" s="1"/>
  <c r="BR426" i="12"/>
  <c r="BT426" i="12" s="1"/>
  <c r="BX425" i="12"/>
  <c r="AZ425" i="12"/>
  <c r="BA425" i="12" s="1"/>
  <c r="CE430" i="12"/>
  <c r="AN430" i="12" s="1"/>
  <c r="AS425" i="12"/>
  <c r="BU425" i="12"/>
  <c r="AR425" i="12" s="1"/>
  <c r="CC431" i="12"/>
  <c r="CB432" i="12"/>
  <c r="CD432" i="12" s="1"/>
  <c r="AL425" i="12"/>
  <c r="AM426" i="12"/>
  <c r="AO426" i="12" s="1"/>
  <c r="BD424" i="12"/>
  <c r="BG424" i="12" s="1"/>
  <c r="BH424" i="12"/>
  <c r="BD166" i="12"/>
  <c r="BG166" i="12" s="1"/>
  <c r="AL167" i="12"/>
  <c r="BS426" i="12" l="1"/>
  <c r="BW427" i="12"/>
  <c r="BY427" i="12" s="1"/>
  <c r="AZ427" i="12" s="1"/>
  <c r="BA427" i="12" s="1"/>
  <c r="BR427" i="12"/>
  <c r="BT427" i="12" s="1"/>
  <c r="BX426" i="12"/>
  <c r="AZ426" i="12"/>
  <c r="BA426" i="12" s="1"/>
  <c r="BU426" i="12"/>
  <c r="AR426" i="12" s="1"/>
  <c r="AS426" i="12"/>
  <c r="CE431" i="12"/>
  <c r="AN431" i="12" s="1"/>
  <c r="CC432" i="12"/>
  <c r="CB433" i="12"/>
  <c r="CD433" i="12" s="1"/>
  <c r="AM427" i="12"/>
  <c r="AO427" i="12" s="1"/>
  <c r="AL426" i="12"/>
  <c r="BD425" i="12"/>
  <c r="BG425" i="12" s="1"/>
  <c r="BH425" i="12"/>
  <c r="BD167" i="12"/>
  <c r="BG167" i="12" s="1"/>
  <c r="AL168" i="12"/>
  <c r="BZ427" i="12" l="1"/>
  <c r="AY427" i="12" s="1"/>
  <c r="BR428" i="12"/>
  <c r="BT428" i="12" s="1"/>
  <c r="BW428" i="12"/>
  <c r="BY428" i="12" s="1"/>
  <c r="BZ428" i="12" s="1"/>
  <c r="AY428" i="12" s="1"/>
  <c r="BX427" i="12"/>
  <c r="BS427" i="12"/>
  <c r="CE432" i="12"/>
  <c r="AN432" i="12" s="1"/>
  <c r="BU427" i="12"/>
  <c r="AR427" i="12" s="1"/>
  <c r="AS427" i="12"/>
  <c r="CC433" i="12"/>
  <c r="CB434" i="12"/>
  <c r="CD434" i="12" s="1"/>
  <c r="BD426" i="12"/>
  <c r="BG426" i="12" s="1"/>
  <c r="BH426" i="12"/>
  <c r="AL427" i="12"/>
  <c r="AM428" i="12"/>
  <c r="AO428" i="12" s="1"/>
  <c r="BD168" i="12"/>
  <c r="BG168" i="12" s="1"/>
  <c r="AL169" i="12"/>
  <c r="BS428" i="12" l="1"/>
  <c r="BW429" i="12"/>
  <c r="BY429" i="12" s="1"/>
  <c r="AZ429" i="12" s="1"/>
  <c r="BA429" i="12" s="1"/>
  <c r="BR429" i="12"/>
  <c r="BT429" i="12" s="1"/>
  <c r="BX428" i="12"/>
  <c r="AZ428" i="12"/>
  <c r="BA428" i="12" s="1"/>
  <c r="CC434" i="12"/>
  <c r="CB435" i="12"/>
  <c r="CD435" i="12" s="1"/>
  <c r="BU428" i="12"/>
  <c r="AR428" i="12" s="1"/>
  <c r="AS428" i="12"/>
  <c r="CE433" i="12"/>
  <c r="AN433" i="12" s="1"/>
  <c r="AL428" i="12"/>
  <c r="AM429" i="12"/>
  <c r="AO429" i="12" s="1"/>
  <c r="BD427" i="12"/>
  <c r="BG427" i="12" s="1"/>
  <c r="BH427" i="12"/>
  <c r="BD169" i="12"/>
  <c r="BG169" i="12" s="1"/>
  <c r="AL170" i="12"/>
  <c r="BZ429" i="12" l="1"/>
  <c r="AY429" i="12" s="1"/>
  <c r="BR430" i="12"/>
  <c r="BT430" i="12" s="1"/>
  <c r="BW430" i="12"/>
  <c r="BY430" i="12" s="1"/>
  <c r="BZ430" i="12" s="1"/>
  <c r="AY430" i="12" s="1"/>
  <c r="BX429" i="12"/>
  <c r="BS429" i="12"/>
  <c r="CC435" i="12"/>
  <c r="CB436" i="12"/>
  <c r="CD436" i="12" s="1"/>
  <c r="CE434" i="12"/>
  <c r="AN434" i="12" s="1"/>
  <c r="AS429" i="12"/>
  <c r="BU429" i="12"/>
  <c r="AR429" i="12" s="1"/>
  <c r="AL429" i="12"/>
  <c r="AM430" i="12"/>
  <c r="AO430" i="12" s="1"/>
  <c r="BD428" i="12"/>
  <c r="BG428" i="12" s="1"/>
  <c r="BH428" i="12"/>
  <c r="BD170" i="12"/>
  <c r="BG170" i="12" s="1"/>
  <c r="AL171" i="12"/>
  <c r="BS430" i="12" l="1"/>
  <c r="BW431" i="12"/>
  <c r="BY431" i="12" s="1"/>
  <c r="AZ431" i="12" s="1"/>
  <c r="BA431" i="12" s="1"/>
  <c r="BR431" i="12"/>
  <c r="BT431" i="12" s="1"/>
  <c r="BX430" i="12"/>
  <c r="AZ430" i="12"/>
  <c r="BA430" i="12" s="1"/>
  <c r="CC436" i="12"/>
  <c r="CB437" i="12"/>
  <c r="CD437" i="12" s="1"/>
  <c r="BU430" i="12"/>
  <c r="AR430" i="12" s="1"/>
  <c r="AS430" i="12"/>
  <c r="CE435" i="12"/>
  <c r="AN435" i="12" s="1"/>
  <c r="AL430" i="12"/>
  <c r="AM431" i="12"/>
  <c r="AO431" i="12" s="1"/>
  <c r="BD429" i="12"/>
  <c r="BG429" i="12" s="1"/>
  <c r="BH429" i="12"/>
  <c r="BD171" i="12"/>
  <c r="BG171" i="12" s="1"/>
  <c r="AL172" i="12"/>
  <c r="BZ431" i="12" l="1"/>
  <c r="AY431" i="12" s="1"/>
  <c r="BR432" i="12"/>
  <c r="BT432" i="12" s="1"/>
  <c r="BW432" i="12"/>
  <c r="BY432" i="12" s="1"/>
  <c r="BZ432" i="12" s="1"/>
  <c r="AY432" i="12" s="1"/>
  <c r="BX431" i="12"/>
  <c r="BS431" i="12"/>
  <c r="CC437" i="12"/>
  <c r="CB438" i="12"/>
  <c r="CD438" i="12" s="1"/>
  <c r="CE436" i="12"/>
  <c r="AN436" i="12" s="1"/>
  <c r="BU431" i="12"/>
  <c r="AR431" i="12" s="1"/>
  <c r="AS431" i="12"/>
  <c r="BD430" i="12"/>
  <c r="BG430" i="12" s="1"/>
  <c r="BH430" i="12"/>
  <c r="AL431" i="12"/>
  <c r="AM432" i="12"/>
  <c r="AO432" i="12" s="1"/>
  <c r="BD172" i="12"/>
  <c r="BG172" i="12" s="1"/>
  <c r="AL173" i="12"/>
  <c r="BX432" i="12" l="1"/>
  <c r="BS432" i="12"/>
  <c r="AZ432" i="12"/>
  <c r="BA432" i="12" s="1"/>
  <c r="BW433" i="12"/>
  <c r="BY433" i="12" s="1"/>
  <c r="AZ433" i="12" s="1"/>
  <c r="BA433" i="12" s="1"/>
  <c r="BR433" i="12"/>
  <c r="BT433" i="12" s="1"/>
  <c r="CC438" i="12"/>
  <c r="CB439" i="12"/>
  <c r="CD439" i="12" s="1"/>
  <c r="CE437" i="12"/>
  <c r="AN437" i="12" s="1"/>
  <c r="BU432" i="12"/>
  <c r="AR432" i="12" s="1"/>
  <c r="AS432" i="12"/>
  <c r="AL432" i="12"/>
  <c r="AM433" i="12"/>
  <c r="AO433" i="12" s="1"/>
  <c r="BH431" i="12"/>
  <c r="BD431" i="12"/>
  <c r="BG431" i="12" s="1"/>
  <c r="BD173" i="12"/>
  <c r="BG173" i="12" s="1"/>
  <c r="AL174" i="12"/>
  <c r="BR434" i="12" l="1"/>
  <c r="BT434" i="12" s="1"/>
  <c r="BW434" i="12"/>
  <c r="BY434" i="12" s="1"/>
  <c r="AZ434" i="12" s="1"/>
  <c r="BA434" i="12" s="1"/>
  <c r="BS433" i="12"/>
  <c r="BZ433" i="12"/>
  <c r="AY433" i="12" s="1"/>
  <c r="BX433" i="12"/>
  <c r="CC439" i="12"/>
  <c r="CB440" i="12"/>
  <c r="CD440" i="12" s="1"/>
  <c r="BU433" i="12"/>
  <c r="AR433" i="12" s="1"/>
  <c r="AS433" i="12"/>
  <c r="CE438" i="12"/>
  <c r="AN438" i="12" s="1"/>
  <c r="AL433" i="12"/>
  <c r="AM434" i="12"/>
  <c r="AO434" i="12" s="1"/>
  <c r="BD432" i="12"/>
  <c r="BG432" i="12" s="1"/>
  <c r="BH432" i="12"/>
  <c r="BD174" i="12"/>
  <c r="BG174" i="12" s="1"/>
  <c r="AL175" i="12"/>
  <c r="BR435" i="12" l="1"/>
  <c r="BT435" i="12" s="1"/>
  <c r="BW435" i="12"/>
  <c r="BY435" i="12" s="1"/>
  <c r="AZ435" i="12" s="1"/>
  <c r="BA435" i="12" s="1"/>
  <c r="BS434" i="12"/>
  <c r="BZ434" i="12"/>
  <c r="AY434" i="12" s="1"/>
  <c r="BX434" i="12"/>
  <c r="BU434" i="12"/>
  <c r="AR434" i="12" s="1"/>
  <c r="AS434" i="12"/>
  <c r="CC440" i="12"/>
  <c r="CB441" i="12"/>
  <c r="CD441" i="12" s="1"/>
  <c r="CE439" i="12"/>
  <c r="AN439" i="12" s="1"/>
  <c r="AL434" i="12"/>
  <c r="AM435" i="12"/>
  <c r="AO435" i="12" s="1"/>
  <c r="BD433" i="12"/>
  <c r="BG433" i="12" s="1"/>
  <c r="BH433" i="12"/>
  <c r="BD175" i="12"/>
  <c r="BG175" i="12" s="1"/>
  <c r="AL176" i="12"/>
  <c r="BR436" i="12" l="1"/>
  <c r="BT436" i="12" s="1"/>
  <c r="BW436" i="12"/>
  <c r="BY436" i="12" s="1"/>
  <c r="BZ436" i="12" s="1"/>
  <c r="AY436" i="12" s="1"/>
  <c r="BX435" i="12"/>
  <c r="BS435" i="12"/>
  <c r="BZ435" i="12"/>
  <c r="AY435" i="12" s="1"/>
  <c r="CC441" i="12"/>
  <c r="CB442" i="12"/>
  <c r="CD442" i="12" s="1"/>
  <c r="CE440" i="12"/>
  <c r="AN440" i="12" s="1"/>
  <c r="BU435" i="12"/>
  <c r="AR435" i="12" s="1"/>
  <c r="AS435" i="12"/>
  <c r="AL435" i="12"/>
  <c r="AM436" i="12"/>
  <c r="AO436" i="12" s="1"/>
  <c r="BD434" i="12"/>
  <c r="BG434" i="12" s="1"/>
  <c r="BH434" i="12"/>
  <c r="BD176" i="12"/>
  <c r="BG176" i="12" s="1"/>
  <c r="AL177" i="12"/>
  <c r="BS436" i="12" l="1"/>
  <c r="BX436" i="12"/>
  <c r="BR437" i="12"/>
  <c r="BT437" i="12" s="1"/>
  <c r="BW437" i="12"/>
  <c r="BY437" i="12" s="1"/>
  <c r="BZ437" i="12" s="1"/>
  <c r="AY437" i="12" s="1"/>
  <c r="AZ436" i="12"/>
  <c r="BA436" i="12" s="1"/>
  <c r="BU436" i="12"/>
  <c r="AR436" i="12" s="1"/>
  <c r="AS436" i="12"/>
  <c r="CC442" i="12"/>
  <c r="CB443" i="12"/>
  <c r="CD443" i="12" s="1"/>
  <c r="CE441" i="12"/>
  <c r="AN441" i="12" s="1"/>
  <c r="AL436" i="12"/>
  <c r="AM437" i="12"/>
  <c r="AO437" i="12" s="1"/>
  <c r="BD435" i="12"/>
  <c r="BG435" i="12" s="1"/>
  <c r="BH435" i="12"/>
  <c r="BD177" i="12"/>
  <c r="BG177" i="12" s="1"/>
  <c r="AL178" i="12"/>
  <c r="BS437" i="12" l="1"/>
  <c r="BR438" i="12"/>
  <c r="BT438" i="12" s="1"/>
  <c r="BX437" i="12"/>
  <c r="AZ437" i="12"/>
  <c r="BA437" i="12" s="1"/>
  <c r="BW438" i="12"/>
  <c r="BY438" i="12" s="1"/>
  <c r="AZ438" i="12" s="1"/>
  <c r="BA438" i="12" s="1"/>
  <c r="CE442" i="12"/>
  <c r="AN442" i="12" s="1"/>
  <c r="BU437" i="12"/>
  <c r="AR437" i="12" s="1"/>
  <c r="AS437" i="12"/>
  <c r="CC443" i="12"/>
  <c r="CB444" i="12"/>
  <c r="CD444" i="12" s="1"/>
  <c r="AL437" i="12"/>
  <c r="AM438" i="12"/>
  <c r="AO438" i="12" s="1"/>
  <c r="BD436" i="12"/>
  <c r="BG436" i="12" s="1"/>
  <c r="BH436" i="12"/>
  <c r="BD178" i="12"/>
  <c r="BG178" i="12" s="1"/>
  <c r="AL179" i="12"/>
  <c r="BS438" i="12" l="1"/>
  <c r="BW439" i="12"/>
  <c r="BY439" i="12" s="1"/>
  <c r="AZ439" i="12" s="1"/>
  <c r="BA439" i="12" s="1"/>
  <c r="BR439" i="12"/>
  <c r="BT439" i="12" s="1"/>
  <c r="BX438" i="12"/>
  <c r="BZ438" i="12"/>
  <c r="AY438" i="12" s="1"/>
  <c r="CE443" i="12"/>
  <c r="AN443" i="12" s="1"/>
  <c r="BU438" i="12"/>
  <c r="AR438" i="12" s="1"/>
  <c r="AS438" i="12"/>
  <c r="CC444" i="12"/>
  <c r="CB445" i="12"/>
  <c r="CD445" i="12" s="1"/>
  <c r="AL438" i="12"/>
  <c r="AM439" i="12"/>
  <c r="AO439" i="12" s="1"/>
  <c r="BD437" i="12"/>
  <c r="BG437" i="12" s="1"/>
  <c r="BH437" i="12"/>
  <c r="BD179" i="12"/>
  <c r="BG179" i="12" s="1"/>
  <c r="AL180" i="12"/>
  <c r="BS439" i="12" l="1"/>
  <c r="BZ439" i="12"/>
  <c r="AY439" i="12" s="1"/>
  <c r="BR440" i="12"/>
  <c r="BT440" i="12" s="1"/>
  <c r="BW440" i="12"/>
  <c r="BY440" i="12" s="1"/>
  <c r="BZ440" i="12" s="1"/>
  <c r="AY440" i="12" s="1"/>
  <c r="BX439" i="12"/>
  <c r="BU439" i="12"/>
  <c r="AR439" i="12" s="1"/>
  <c r="AS439" i="12"/>
  <c r="CE444" i="12"/>
  <c r="AN444" i="12" s="1"/>
  <c r="CC445" i="12"/>
  <c r="CB446" i="12"/>
  <c r="CD446" i="12" s="1"/>
  <c r="BD438" i="12"/>
  <c r="BG438" i="12" s="1"/>
  <c r="BH438" i="12"/>
  <c r="AL439" i="12"/>
  <c r="AM440" i="12"/>
  <c r="AO440" i="12" s="1"/>
  <c r="BD180" i="12"/>
  <c r="BG180" i="12" s="1"/>
  <c r="AL181" i="12"/>
  <c r="BW441" i="12" l="1"/>
  <c r="BY441" i="12" s="1"/>
  <c r="AZ441" i="12" s="1"/>
  <c r="BA441" i="12" s="1"/>
  <c r="BS440" i="12"/>
  <c r="BR441" i="12"/>
  <c r="BT441" i="12" s="1"/>
  <c r="BX440" i="12"/>
  <c r="AZ440" i="12"/>
  <c r="BA440" i="12" s="1"/>
  <c r="CE445" i="12"/>
  <c r="AN445" i="12" s="1"/>
  <c r="BU440" i="12"/>
  <c r="AR440" i="12" s="1"/>
  <c r="AS440" i="12"/>
  <c r="CC446" i="12"/>
  <c r="CB447" i="12"/>
  <c r="CD447" i="12" s="1"/>
  <c r="AL440" i="12"/>
  <c r="AM441" i="12"/>
  <c r="AO441" i="12" s="1"/>
  <c r="BH439" i="12"/>
  <c r="BD439" i="12"/>
  <c r="BG439" i="12" s="1"/>
  <c r="BD181" i="12"/>
  <c r="BG181" i="12" s="1"/>
  <c r="AL182" i="12"/>
  <c r="BZ441" i="12" l="1"/>
  <c r="AY441" i="12" s="1"/>
  <c r="BS441" i="12"/>
  <c r="BR442" i="12"/>
  <c r="BT442" i="12" s="1"/>
  <c r="BW442" i="12"/>
  <c r="BY442" i="12" s="1"/>
  <c r="AZ442" i="12" s="1"/>
  <c r="BA442" i="12" s="1"/>
  <c r="BX441" i="12"/>
  <c r="CE446" i="12"/>
  <c r="AN446" i="12" s="1"/>
  <c r="AS441" i="12"/>
  <c r="BU441" i="12"/>
  <c r="AR441" i="12" s="1"/>
  <c r="CC447" i="12"/>
  <c r="CB448" i="12"/>
  <c r="CD448" i="12" s="1"/>
  <c r="AL441" i="12"/>
  <c r="AM442" i="12"/>
  <c r="AO442" i="12" s="1"/>
  <c r="BH440" i="12"/>
  <c r="BD440" i="12"/>
  <c r="BG440" i="12" s="1"/>
  <c r="BD182" i="12"/>
  <c r="BG182" i="12" s="1"/>
  <c r="AL183" i="12"/>
  <c r="BW443" i="12" l="1"/>
  <c r="BY443" i="12" s="1"/>
  <c r="AZ443" i="12" s="1"/>
  <c r="BA443" i="12" s="1"/>
  <c r="BS442" i="12"/>
  <c r="BR443" i="12"/>
  <c r="BT443" i="12" s="1"/>
  <c r="BX442" i="12"/>
  <c r="BZ442" i="12"/>
  <c r="AY442" i="12" s="1"/>
  <c r="CC448" i="12"/>
  <c r="CB449" i="12"/>
  <c r="CD449" i="12" s="1"/>
  <c r="CE447" i="12"/>
  <c r="AN447" i="12" s="1"/>
  <c r="BU442" i="12"/>
  <c r="AR442" i="12" s="1"/>
  <c r="AS442" i="12"/>
  <c r="AM443" i="12"/>
  <c r="AO443" i="12" s="1"/>
  <c r="AL442" i="12"/>
  <c r="BH441" i="12"/>
  <c r="BD441" i="12"/>
  <c r="BG441" i="12" s="1"/>
  <c r="BD183" i="12"/>
  <c r="BG183" i="12" s="1"/>
  <c r="AL184" i="12"/>
  <c r="BZ443" i="12" l="1"/>
  <c r="AY443" i="12" s="1"/>
  <c r="BR444" i="12"/>
  <c r="BT444" i="12" s="1"/>
  <c r="BW444" i="12"/>
  <c r="BY444" i="12" s="1"/>
  <c r="BZ444" i="12" s="1"/>
  <c r="AY444" i="12" s="1"/>
  <c r="BX443" i="12"/>
  <c r="BS443" i="12"/>
  <c r="CC449" i="12"/>
  <c r="CB450" i="12"/>
  <c r="CD450" i="12" s="1"/>
  <c r="BU443" i="12"/>
  <c r="AR443" i="12" s="1"/>
  <c r="AS443" i="12"/>
  <c r="CE448" i="12"/>
  <c r="AN448" i="12" s="1"/>
  <c r="AL443" i="12"/>
  <c r="BD443" i="12" s="1"/>
  <c r="BG443" i="12" s="1"/>
  <c r="AM444" i="12"/>
  <c r="AO444" i="12" s="1"/>
  <c r="BD442" i="12"/>
  <c r="BG442" i="12" s="1"/>
  <c r="BH442" i="12"/>
  <c r="BD184" i="12"/>
  <c r="BG184" i="12" s="1"/>
  <c r="AL185" i="12"/>
  <c r="BS444" i="12" l="1"/>
  <c r="BX444" i="12"/>
  <c r="BW445" i="12"/>
  <c r="BY445" i="12" s="1"/>
  <c r="BZ445" i="12" s="1"/>
  <c r="AY445" i="12" s="1"/>
  <c r="BR445" i="12"/>
  <c r="BT445" i="12" s="1"/>
  <c r="AZ444" i="12"/>
  <c r="BA444" i="12" s="1"/>
  <c r="BH443" i="12"/>
  <c r="BU444" i="12"/>
  <c r="AR444" i="12" s="1"/>
  <c r="AS444" i="12"/>
  <c r="CE449" i="12"/>
  <c r="AN449" i="12" s="1"/>
  <c r="CC450" i="12"/>
  <c r="CB451" i="12"/>
  <c r="CD451" i="12" s="1"/>
  <c r="AL444" i="12"/>
  <c r="AM445" i="12"/>
  <c r="AO445" i="12" s="1"/>
  <c r="BD185" i="12"/>
  <c r="BG185" i="12" s="1"/>
  <c r="AL186" i="12"/>
  <c r="BR446" i="12" l="1"/>
  <c r="BT446" i="12" s="1"/>
  <c r="BW446" i="12"/>
  <c r="BY446" i="12" s="1"/>
  <c r="BZ446" i="12" s="1"/>
  <c r="AY446" i="12" s="1"/>
  <c r="BS445" i="12"/>
  <c r="AZ445" i="12"/>
  <c r="BA445" i="12" s="1"/>
  <c r="BX445" i="12"/>
  <c r="CE450" i="12"/>
  <c r="AN450" i="12" s="1"/>
  <c r="BU445" i="12"/>
  <c r="AR445" i="12" s="1"/>
  <c r="AS445" i="12"/>
  <c r="CC451" i="12"/>
  <c r="CB452" i="12"/>
  <c r="CD452" i="12" s="1"/>
  <c r="BD444" i="12"/>
  <c r="BG444" i="12" s="1"/>
  <c r="BH444" i="12"/>
  <c r="AL445" i="12"/>
  <c r="AM446" i="12"/>
  <c r="AO446" i="12" s="1"/>
  <c r="BD186" i="12"/>
  <c r="BG186" i="12" s="1"/>
  <c r="AL187" i="12"/>
  <c r="BR447" i="12" l="1"/>
  <c r="BT447" i="12" s="1"/>
  <c r="BW447" i="12"/>
  <c r="BY447" i="12" s="1"/>
  <c r="BZ447" i="12" s="1"/>
  <c r="AY447" i="12" s="1"/>
  <c r="BS446" i="12"/>
  <c r="BX446" i="12"/>
  <c r="AZ446" i="12"/>
  <c r="BA446" i="12" s="1"/>
  <c r="CC452" i="12"/>
  <c r="CB453" i="12"/>
  <c r="CD453" i="12" s="1"/>
  <c r="CE451" i="12"/>
  <c r="AN451" i="12" s="1"/>
  <c r="BU446" i="12"/>
  <c r="AR446" i="12" s="1"/>
  <c r="AS446" i="12"/>
  <c r="BD445" i="12"/>
  <c r="BG445" i="12" s="1"/>
  <c r="BH445" i="12"/>
  <c r="AL446" i="12"/>
  <c r="AM447" i="12"/>
  <c r="AO447" i="12" s="1"/>
  <c r="BD187" i="12"/>
  <c r="BG187" i="12" s="1"/>
  <c r="AL188" i="12"/>
  <c r="BS447" i="12" l="1"/>
  <c r="BR448" i="12"/>
  <c r="BT448" i="12" s="1"/>
  <c r="BW448" i="12"/>
  <c r="BY448" i="12" s="1"/>
  <c r="AZ448" i="12" s="1"/>
  <c r="BA448" i="12" s="1"/>
  <c r="BX447" i="12"/>
  <c r="AZ447" i="12"/>
  <c r="BA447" i="12" s="1"/>
  <c r="BU447" i="12"/>
  <c r="AR447" i="12" s="1"/>
  <c r="AS447" i="12"/>
  <c r="CC453" i="12"/>
  <c r="CB454" i="12"/>
  <c r="CD454" i="12" s="1"/>
  <c r="CE452" i="12"/>
  <c r="AN452" i="12" s="1"/>
  <c r="AL447" i="12"/>
  <c r="AM448" i="12"/>
  <c r="AO448" i="12" s="1"/>
  <c r="BD446" i="12"/>
  <c r="BG446" i="12" s="1"/>
  <c r="BH446" i="12"/>
  <c r="BD188" i="12"/>
  <c r="BG188" i="12" s="1"/>
  <c r="AL189" i="12"/>
  <c r="BW449" i="12" l="1"/>
  <c r="BY449" i="12" s="1"/>
  <c r="BZ449" i="12" s="1"/>
  <c r="AY449" i="12" s="1"/>
  <c r="BR449" i="12"/>
  <c r="BT449" i="12" s="1"/>
  <c r="BS448" i="12"/>
  <c r="BX448" i="12"/>
  <c r="BZ448" i="12"/>
  <c r="AY448" i="12" s="1"/>
  <c r="CE453" i="12"/>
  <c r="AN453" i="12" s="1"/>
  <c r="BU448" i="12"/>
  <c r="AR448" i="12" s="1"/>
  <c r="AS448" i="12"/>
  <c r="CC454" i="12"/>
  <c r="CB455" i="12"/>
  <c r="CD455" i="12" s="1"/>
  <c r="AL448" i="12"/>
  <c r="AM449" i="12"/>
  <c r="AO449" i="12" s="1"/>
  <c r="BD447" i="12"/>
  <c r="BG447" i="12" s="1"/>
  <c r="BH447" i="12"/>
  <c r="BD189" i="12"/>
  <c r="BG189" i="12" s="1"/>
  <c r="AL190" i="12"/>
  <c r="AZ449" i="12" l="1"/>
  <c r="BA449" i="12" s="1"/>
  <c r="BS449" i="12"/>
  <c r="BR450" i="12"/>
  <c r="BT450" i="12" s="1"/>
  <c r="BW450" i="12"/>
  <c r="BY450" i="12" s="1"/>
  <c r="BZ450" i="12" s="1"/>
  <c r="AY450" i="12" s="1"/>
  <c r="BX449" i="12"/>
  <c r="CE454" i="12"/>
  <c r="AN454" i="12" s="1"/>
  <c r="CC455" i="12"/>
  <c r="CB456" i="12"/>
  <c r="CD456" i="12" s="1"/>
  <c r="BU449" i="12"/>
  <c r="AR449" i="12" s="1"/>
  <c r="AS449" i="12"/>
  <c r="AL449" i="12"/>
  <c r="AM450" i="12"/>
  <c r="AO450" i="12" s="1"/>
  <c r="BD448" i="12"/>
  <c r="BG448" i="12" s="1"/>
  <c r="BH448" i="12"/>
  <c r="BD190" i="12"/>
  <c r="BG190" i="12" s="1"/>
  <c r="AL191" i="12"/>
  <c r="BX450" i="12" l="1"/>
  <c r="BS450" i="12"/>
  <c r="BW451" i="12"/>
  <c r="BY451" i="12" s="1"/>
  <c r="AZ451" i="12" s="1"/>
  <c r="BA451" i="12" s="1"/>
  <c r="BR451" i="12"/>
  <c r="BT451" i="12" s="1"/>
  <c r="AZ450" i="12"/>
  <c r="BA450" i="12" s="1"/>
  <c r="CC456" i="12"/>
  <c r="CB457" i="12"/>
  <c r="CD457" i="12" s="1"/>
  <c r="BU450" i="12"/>
  <c r="AR450" i="12" s="1"/>
  <c r="AS450" i="12"/>
  <c r="CE455" i="12"/>
  <c r="AN455" i="12" s="1"/>
  <c r="AL450" i="12"/>
  <c r="AM451" i="12"/>
  <c r="AO451" i="12" s="1"/>
  <c r="BD449" i="12"/>
  <c r="BG449" i="12" s="1"/>
  <c r="BH449" i="12"/>
  <c r="BD191" i="12"/>
  <c r="BG191" i="12" s="1"/>
  <c r="AL192" i="12"/>
  <c r="BZ451" i="12" l="1"/>
  <c r="AY451" i="12" s="1"/>
  <c r="BR452" i="12"/>
  <c r="BT452" i="12" s="1"/>
  <c r="BW452" i="12"/>
  <c r="BY452" i="12" s="1"/>
  <c r="BZ452" i="12" s="1"/>
  <c r="AY452" i="12" s="1"/>
  <c r="BX451" i="12"/>
  <c r="BS451" i="12"/>
  <c r="CC457" i="12"/>
  <c r="CB458" i="12"/>
  <c r="CD458" i="12" s="1"/>
  <c r="CE456" i="12"/>
  <c r="AN456" i="12" s="1"/>
  <c r="AS451" i="12"/>
  <c r="BU451" i="12"/>
  <c r="AR451" i="12" s="1"/>
  <c r="AL451" i="12"/>
  <c r="AM452" i="12"/>
  <c r="AO452" i="12" s="1"/>
  <c r="BH450" i="12"/>
  <c r="BD450" i="12"/>
  <c r="BG450" i="12" s="1"/>
  <c r="BD192" i="12"/>
  <c r="BG192" i="12" s="1"/>
  <c r="AL193" i="12"/>
  <c r="BR453" i="12" l="1"/>
  <c r="BT453" i="12" s="1"/>
  <c r="BW453" i="12"/>
  <c r="BY453" i="12" s="1"/>
  <c r="BZ453" i="12" s="1"/>
  <c r="AY453" i="12" s="1"/>
  <c r="BX452" i="12"/>
  <c r="BS452" i="12"/>
  <c r="AZ452" i="12"/>
  <c r="BA452" i="12" s="1"/>
  <c r="CE457" i="12"/>
  <c r="AN457" i="12" s="1"/>
  <c r="AS452" i="12"/>
  <c r="BU452" i="12"/>
  <c r="AR452" i="12" s="1"/>
  <c r="CC458" i="12"/>
  <c r="CB459" i="12"/>
  <c r="CD459" i="12" s="1"/>
  <c r="BD451" i="12"/>
  <c r="BG451" i="12" s="1"/>
  <c r="BH451" i="12"/>
  <c r="AL452" i="12"/>
  <c r="AM453" i="12"/>
  <c r="AO453" i="12" s="1"/>
  <c r="BD193" i="12"/>
  <c r="BG193" i="12" s="1"/>
  <c r="AL194" i="12"/>
  <c r="BR454" i="12" l="1"/>
  <c r="BT454" i="12" s="1"/>
  <c r="BW454" i="12"/>
  <c r="BY454" i="12" s="1"/>
  <c r="BZ454" i="12" s="1"/>
  <c r="AY454" i="12" s="1"/>
  <c r="BX453" i="12"/>
  <c r="BS453" i="12"/>
  <c r="AZ453" i="12"/>
  <c r="BA453" i="12" s="1"/>
  <c r="CE458" i="12"/>
  <c r="AN458" i="12" s="1"/>
  <c r="CC459" i="12"/>
  <c r="CB460" i="12"/>
  <c r="CD460" i="12" s="1"/>
  <c r="BU453" i="12"/>
  <c r="AR453" i="12" s="1"/>
  <c r="AS453" i="12"/>
  <c r="BD452" i="12"/>
  <c r="BG452" i="12" s="1"/>
  <c r="BH452" i="12"/>
  <c r="AL453" i="12"/>
  <c r="AM454" i="12"/>
  <c r="AO454" i="12" s="1"/>
  <c r="BD194" i="12"/>
  <c r="BG194" i="12" s="1"/>
  <c r="AL195" i="12"/>
  <c r="BS454" i="12" l="1"/>
  <c r="BX454" i="12"/>
  <c r="AZ454" i="12"/>
  <c r="BA454" i="12" s="1"/>
  <c r="BW455" i="12"/>
  <c r="BY455" i="12" s="1"/>
  <c r="AZ455" i="12" s="1"/>
  <c r="BA455" i="12" s="1"/>
  <c r="BR455" i="12"/>
  <c r="BT455" i="12" s="1"/>
  <c r="CC460" i="12"/>
  <c r="CB461" i="12"/>
  <c r="CD461" i="12" s="1"/>
  <c r="CE459" i="12"/>
  <c r="AN459" i="12" s="1"/>
  <c r="BU454" i="12"/>
  <c r="AR454" i="12" s="1"/>
  <c r="AS454" i="12"/>
  <c r="BD453" i="12"/>
  <c r="BG453" i="12" s="1"/>
  <c r="BH453" i="12"/>
  <c r="AL454" i="12"/>
  <c r="AM455" i="12"/>
  <c r="AO455" i="12" s="1"/>
  <c r="BD195" i="12"/>
  <c r="BG195" i="12" s="1"/>
  <c r="AL196" i="12"/>
  <c r="BZ455" i="12" l="1"/>
  <c r="AY455" i="12" s="1"/>
  <c r="BR456" i="12"/>
  <c r="BT456" i="12" s="1"/>
  <c r="BW456" i="12"/>
  <c r="BY456" i="12" s="1"/>
  <c r="BZ456" i="12" s="1"/>
  <c r="AY456" i="12" s="1"/>
  <c r="BX455" i="12"/>
  <c r="BS455" i="12"/>
  <c r="CC461" i="12"/>
  <c r="CB462" i="12"/>
  <c r="CD462" i="12" s="1"/>
  <c r="CE460" i="12"/>
  <c r="AN460" i="12" s="1"/>
  <c r="AS455" i="12"/>
  <c r="BU455" i="12"/>
  <c r="AR455" i="12" s="1"/>
  <c r="AL455" i="12"/>
  <c r="AM456" i="12"/>
  <c r="AO456" i="12" s="1"/>
  <c r="BD454" i="12"/>
  <c r="BG454" i="12" s="1"/>
  <c r="BH454" i="12"/>
  <c r="BD196" i="12"/>
  <c r="BG196" i="12" s="1"/>
  <c r="AL197" i="12"/>
  <c r="BX456" i="12" l="1"/>
  <c r="BS456" i="12"/>
  <c r="BR457" i="12"/>
  <c r="BT457" i="12" s="1"/>
  <c r="BW457" i="12"/>
  <c r="BY457" i="12" s="1"/>
  <c r="AZ457" i="12" s="1"/>
  <c r="BA457" i="12" s="1"/>
  <c r="AZ456" i="12"/>
  <c r="BA456" i="12" s="1"/>
  <c r="CE461" i="12"/>
  <c r="AN461" i="12" s="1"/>
  <c r="AS456" i="12"/>
  <c r="BU456" i="12"/>
  <c r="AR456" i="12" s="1"/>
  <c r="CC462" i="12"/>
  <c r="CB463" i="12"/>
  <c r="CD463" i="12" s="1"/>
  <c r="BD455" i="12"/>
  <c r="BG455" i="12" s="1"/>
  <c r="BH455" i="12"/>
  <c r="AL456" i="12"/>
  <c r="AM457" i="12"/>
  <c r="AO457" i="12" s="1"/>
  <c r="BD197" i="12"/>
  <c r="BG197" i="12" s="1"/>
  <c r="AL198" i="12"/>
  <c r="BW458" i="12" l="1"/>
  <c r="BY458" i="12" s="1"/>
  <c r="AZ458" i="12" s="1"/>
  <c r="BA458" i="12" s="1"/>
  <c r="BX457" i="12"/>
  <c r="BS457" i="12"/>
  <c r="BZ457" i="12"/>
  <c r="AY457" i="12" s="1"/>
  <c r="BR458" i="12"/>
  <c r="BT458" i="12" s="1"/>
  <c r="CC463" i="12"/>
  <c r="CB464" i="12"/>
  <c r="CD464" i="12" s="1"/>
  <c r="CE462" i="12"/>
  <c r="AN462" i="12" s="1"/>
  <c r="BU457" i="12"/>
  <c r="AR457" i="12" s="1"/>
  <c r="AS457" i="12"/>
  <c r="AL457" i="12"/>
  <c r="AM458" i="12"/>
  <c r="AO458" i="12" s="1"/>
  <c r="BD456" i="12"/>
  <c r="BG456" i="12" s="1"/>
  <c r="BH456" i="12"/>
  <c r="BD198" i="12"/>
  <c r="BG198" i="12" s="1"/>
  <c r="AL199" i="12"/>
  <c r="BZ458" i="12" l="1"/>
  <c r="AY458" i="12" s="1"/>
  <c r="BX458" i="12"/>
  <c r="BR459" i="12"/>
  <c r="BT459" i="12" s="1"/>
  <c r="BS458" i="12"/>
  <c r="BW459" i="12"/>
  <c r="BY459" i="12" s="1"/>
  <c r="BZ459" i="12" s="1"/>
  <c r="AY459" i="12" s="1"/>
  <c r="AS458" i="12"/>
  <c r="BU458" i="12"/>
  <c r="AR458" i="12" s="1"/>
  <c r="CC464" i="12"/>
  <c r="CB465" i="12"/>
  <c r="CD465" i="12" s="1"/>
  <c r="CE463" i="12"/>
  <c r="AN463" i="12" s="1"/>
  <c r="AL458" i="12"/>
  <c r="AM459" i="12"/>
  <c r="AO459" i="12" s="1"/>
  <c r="BD457" i="12"/>
  <c r="BG457" i="12" s="1"/>
  <c r="BH457" i="12"/>
  <c r="BD199" i="12"/>
  <c r="BG199" i="12" s="1"/>
  <c r="AL200" i="12"/>
  <c r="BW460" i="12" l="1"/>
  <c r="BY460" i="12" s="1"/>
  <c r="AZ460" i="12" s="1"/>
  <c r="BA460" i="12" s="1"/>
  <c r="BR460" i="12"/>
  <c r="BT460" i="12" s="1"/>
  <c r="BS459" i="12"/>
  <c r="AZ459" i="12"/>
  <c r="BA459" i="12" s="1"/>
  <c r="BX459" i="12"/>
  <c r="CE464" i="12"/>
  <c r="AN464" i="12" s="1"/>
  <c r="BU459" i="12"/>
  <c r="AR459" i="12" s="1"/>
  <c r="AS459" i="12"/>
  <c r="CC465" i="12"/>
  <c r="CB466" i="12"/>
  <c r="CD466" i="12" s="1"/>
  <c r="AL459" i="12"/>
  <c r="AM460" i="12"/>
  <c r="AO460" i="12" s="1"/>
  <c r="BH458" i="12"/>
  <c r="BD458" i="12"/>
  <c r="BG458" i="12" s="1"/>
  <c r="BD200" i="12"/>
  <c r="BG200" i="12" s="1"/>
  <c r="AL201" i="12"/>
  <c r="BZ460" i="12" l="1"/>
  <c r="AY460" i="12" s="1"/>
  <c r="BS460" i="12"/>
  <c r="BR461" i="12"/>
  <c r="BT461" i="12" s="1"/>
  <c r="BW461" i="12"/>
  <c r="BY461" i="12" s="1"/>
  <c r="BZ461" i="12" s="1"/>
  <c r="AY461" i="12" s="1"/>
  <c r="BX460" i="12"/>
  <c r="BU460" i="12"/>
  <c r="AR460" i="12" s="1"/>
  <c r="AS460" i="12"/>
  <c r="CC466" i="12"/>
  <c r="CB467" i="12"/>
  <c r="CD467" i="12" s="1"/>
  <c r="CE465" i="12"/>
  <c r="AN465" i="12" s="1"/>
  <c r="BD459" i="12"/>
  <c r="BG459" i="12" s="1"/>
  <c r="BH459" i="12"/>
  <c r="AL460" i="12"/>
  <c r="AM461" i="12"/>
  <c r="AO461" i="12" s="1"/>
  <c r="BD201" i="12"/>
  <c r="BG201" i="12" s="1"/>
  <c r="AL202" i="12"/>
  <c r="BW462" i="12" l="1"/>
  <c r="BY462" i="12" s="1"/>
  <c r="BZ462" i="12" s="1"/>
  <c r="AY462" i="12" s="1"/>
  <c r="AZ461" i="12"/>
  <c r="BA461" i="12" s="1"/>
  <c r="BR462" i="12"/>
  <c r="BT462" i="12" s="1"/>
  <c r="BS461" i="12"/>
  <c r="BX461" i="12"/>
  <c r="BU461" i="12"/>
  <c r="AR461" i="12" s="1"/>
  <c r="AS461" i="12"/>
  <c r="CE466" i="12"/>
  <c r="AN466" i="12" s="1"/>
  <c r="CC467" i="12"/>
  <c r="CB468" i="12"/>
  <c r="CD468" i="12" s="1"/>
  <c r="AM462" i="12"/>
  <c r="AO462" i="12" s="1"/>
  <c r="AL461" i="12"/>
  <c r="BD460" i="12"/>
  <c r="BG460" i="12" s="1"/>
  <c r="BH460" i="12"/>
  <c r="BD202" i="12"/>
  <c r="BG202" i="12" s="1"/>
  <c r="AL203" i="12"/>
  <c r="AZ462" i="12" l="1"/>
  <c r="BA462" i="12" s="1"/>
  <c r="BW463" i="12"/>
  <c r="BY463" i="12" s="1"/>
  <c r="BZ463" i="12" s="1"/>
  <c r="AY463" i="12" s="1"/>
  <c r="BR463" i="12"/>
  <c r="BT463" i="12" s="1"/>
  <c r="BX462" i="12"/>
  <c r="BS462" i="12"/>
  <c r="BU462" i="12"/>
  <c r="AR462" i="12" s="1"/>
  <c r="AS462" i="12"/>
  <c r="CE467" i="12"/>
  <c r="AN467" i="12" s="1"/>
  <c r="CC468" i="12"/>
  <c r="CB469" i="12"/>
  <c r="CD469" i="12" s="1"/>
  <c r="BD461" i="12"/>
  <c r="BG461" i="12" s="1"/>
  <c r="BH461" i="12"/>
  <c r="AL462" i="12"/>
  <c r="AM463" i="12"/>
  <c r="AO463" i="12" s="1"/>
  <c r="BD203" i="12"/>
  <c r="BG203" i="12" s="1"/>
  <c r="AL204" i="12"/>
  <c r="AZ463" i="12" l="1"/>
  <c r="BA463" i="12" s="1"/>
  <c r="BR464" i="12"/>
  <c r="BT464" i="12" s="1"/>
  <c r="BW464" i="12"/>
  <c r="BY464" i="12" s="1"/>
  <c r="BZ464" i="12" s="1"/>
  <c r="AY464" i="12" s="1"/>
  <c r="BX463" i="12"/>
  <c r="BS463" i="12"/>
  <c r="CC469" i="12"/>
  <c r="CB470" i="12"/>
  <c r="CD470" i="12" s="1"/>
  <c r="CE468" i="12"/>
  <c r="AN468" i="12" s="1"/>
  <c r="BU463" i="12"/>
  <c r="AR463" i="12" s="1"/>
  <c r="AS463" i="12"/>
  <c r="AL463" i="12"/>
  <c r="AM464" i="12"/>
  <c r="AO464" i="12" s="1"/>
  <c r="BD462" i="12"/>
  <c r="BG462" i="12" s="1"/>
  <c r="BH462" i="12"/>
  <c r="BD204" i="12"/>
  <c r="BG204" i="12" s="1"/>
  <c r="AL205" i="12"/>
  <c r="BS464" i="12" l="1"/>
  <c r="BX464" i="12"/>
  <c r="BR465" i="12"/>
  <c r="BT465" i="12" s="1"/>
  <c r="BW465" i="12"/>
  <c r="BY465" i="12" s="1"/>
  <c r="AZ465" i="12" s="1"/>
  <c r="BA465" i="12" s="1"/>
  <c r="AZ464" i="12"/>
  <c r="BA464" i="12" s="1"/>
  <c r="BU464" i="12"/>
  <c r="AR464" i="12" s="1"/>
  <c r="AS464" i="12"/>
  <c r="CC470" i="12"/>
  <c r="CB471" i="12"/>
  <c r="CD471" i="12" s="1"/>
  <c r="CE469" i="12"/>
  <c r="AN469" i="12" s="1"/>
  <c r="AL464" i="12"/>
  <c r="AM465" i="12"/>
  <c r="AO465" i="12" s="1"/>
  <c r="BH463" i="12"/>
  <c r="BD463" i="12"/>
  <c r="BG463" i="12" s="1"/>
  <c r="BD205" i="12"/>
  <c r="BG205" i="12" s="1"/>
  <c r="AL206" i="12"/>
  <c r="BS465" i="12" l="1"/>
  <c r="BW466" i="12"/>
  <c r="BY466" i="12" s="1"/>
  <c r="AZ466" i="12" s="1"/>
  <c r="BA466" i="12" s="1"/>
  <c r="BR466" i="12"/>
  <c r="BT466" i="12" s="1"/>
  <c r="BX465" i="12"/>
  <c r="BZ465" i="12"/>
  <c r="AY465" i="12" s="1"/>
  <c r="CC471" i="12"/>
  <c r="CB472" i="12"/>
  <c r="CD472" i="12" s="1"/>
  <c r="CE470" i="12"/>
  <c r="AN470" i="12" s="1"/>
  <c r="BU465" i="12"/>
  <c r="AR465" i="12" s="1"/>
  <c r="AS465" i="12"/>
  <c r="BH464" i="12"/>
  <c r="BD464" i="12"/>
  <c r="BG464" i="12" s="1"/>
  <c r="AL465" i="12"/>
  <c r="AM466" i="12"/>
  <c r="AO466" i="12" s="1"/>
  <c r="BD206" i="12"/>
  <c r="BG206" i="12" s="1"/>
  <c r="AL207" i="12"/>
  <c r="BZ466" i="12" l="1"/>
  <c r="AY466" i="12" s="1"/>
  <c r="BW467" i="12"/>
  <c r="BY467" i="12" s="1"/>
  <c r="AZ467" i="12" s="1"/>
  <c r="BA467" i="12" s="1"/>
  <c r="BR467" i="12"/>
  <c r="BT467" i="12" s="1"/>
  <c r="BS466" i="12"/>
  <c r="BX466" i="12"/>
  <c r="BU466" i="12"/>
  <c r="AR466" i="12" s="1"/>
  <c r="AS466" i="12"/>
  <c r="CC472" i="12"/>
  <c r="CB473" i="12"/>
  <c r="CD473" i="12" s="1"/>
  <c r="CE471" i="12"/>
  <c r="AN471" i="12" s="1"/>
  <c r="AL466" i="12"/>
  <c r="AM467" i="12"/>
  <c r="AO467" i="12" s="1"/>
  <c r="BD465" i="12"/>
  <c r="BG465" i="12" s="1"/>
  <c r="BH465" i="12"/>
  <c r="BD207" i="12"/>
  <c r="BG207" i="12" s="1"/>
  <c r="AL208" i="12"/>
  <c r="BS467" i="12" l="1"/>
  <c r="BW468" i="12"/>
  <c r="BY468" i="12" s="1"/>
  <c r="BZ468" i="12" s="1"/>
  <c r="AY468" i="12" s="1"/>
  <c r="BR468" i="12"/>
  <c r="BT468" i="12" s="1"/>
  <c r="BX467" i="12"/>
  <c r="BZ467" i="12"/>
  <c r="AY467" i="12" s="1"/>
  <c r="BU467" i="12"/>
  <c r="AR467" i="12" s="1"/>
  <c r="AS467" i="12"/>
  <c r="CE472" i="12"/>
  <c r="AN472" i="12" s="1"/>
  <c r="CC473" i="12"/>
  <c r="CB474" i="12"/>
  <c r="CD474" i="12" s="1"/>
  <c r="AL467" i="12"/>
  <c r="AM468" i="12"/>
  <c r="AO468" i="12" s="1"/>
  <c r="BD466" i="12"/>
  <c r="BG466" i="12" s="1"/>
  <c r="BH466" i="12"/>
  <c r="BD208" i="12"/>
  <c r="BG208" i="12" s="1"/>
  <c r="AL209" i="12"/>
  <c r="AZ468" i="12" l="1"/>
  <c r="BA468" i="12" s="1"/>
  <c r="BX468" i="12"/>
  <c r="BS468" i="12"/>
  <c r="BR469" i="12"/>
  <c r="BT469" i="12" s="1"/>
  <c r="BW469" i="12"/>
  <c r="BY469" i="12" s="1"/>
  <c r="AZ469" i="12" s="1"/>
  <c r="BA469" i="12" s="1"/>
  <c r="BU468" i="12"/>
  <c r="AR468" i="12" s="1"/>
  <c r="AS468" i="12"/>
  <c r="CC474" i="12"/>
  <c r="CB475" i="12"/>
  <c r="CD475" i="12" s="1"/>
  <c r="CE473" i="12"/>
  <c r="AN473" i="12" s="1"/>
  <c r="AM469" i="12"/>
  <c r="AO469" i="12" s="1"/>
  <c r="AL468" i="12"/>
  <c r="BD467" i="12"/>
  <c r="BG467" i="12" s="1"/>
  <c r="BH467" i="12"/>
  <c r="BA204" i="12"/>
  <c r="BD209" i="12"/>
  <c r="BG209" i="12" s="1"/>
  <c r="AL210" i="12"/>
  <c r="BW470" i="12" l="1"/>
  <c r="BY470" i="12" s="1"/>
  <c r="BZ470" i="12" s="1"/>
  <c r="AY470" i="12" s="1"/>
  <c r="BX469" i="12"/>
  <c r="BS469" i="12"/>
  <c r="BR470" i="12"/>
  <c r="BT470" i="12" s="1"/>
  <c r="BZ469" i="12"/>
  <c r="AY469" i="12" s="1"/>
  <c r="CC475" i="12"/>
  <c r="CB476" i="12"/>
  <c r="CD476" i="12" s="1"/>
  <c r="BU469" i="12"/>
  <c r="AR469" i="12" s="1"/>
  <c r="AS469" i="12"/>
  <c r="CE474" i="12"/>
  <c r="AN474" i="12" s="1"/>
  <c r="AL469" i="12"/>
  <c r="AM470" i="12"/>
  <c r="AO470" i="12" s="1"/>
  <c r="BD468" i="12"/>
  <c r="BG468" i="12" s="1"/>
  <c r="BH468" i="12"/>
  <c r="BD210" i="12"/>
  <c r="BG210" i="12" s="1"/>
  <c r="AL211" i="12"/>
  <c r="AZ470" i="12" l="1"/>
  <c r="BA470" i="12" s="1"/>
  <c r="BR471" i="12"/>
  <c r="BT471" i="12" s="1"/>
  <c r="BW471" i="12"/>
  <c r="BY471" i="12" s="1"/>
  <c r="AZ471" i="12" s="1"/>
  <c r="BA471" i="12" s="1"/>
  <c r="BS470" i="12"/>
  <c r="BX470" i="12"/>
  <c r="CC476" i="12"/>
  <c r="CB477" i="12"/>
  <c r="CD477" i="12" s="1"/>
  <c r="CE475" i="12"/>
  <c r="AN475" i="12" s="1"/>
  <c r="BU470" i="12"/>
  <c r="AR470" i="12" s="1"/>
  <c r="AS470" i="12"/>
  <c r="AL470" i="12"/>
  <c r="AM471" i="12"/>
  <c r="AO471" i="12" s="1"/>
  <c r="BD469" i="12"/>
  <c r="BG469" i="12" s="1"/>
  <c r="BH469" i="12"/>
  <c r="BD211" i="12"/>
  <c r="BG211" i="12" s="1"/>
  <c r="AL212" i="12"/>
  <c r="BX471" i="12" l="1"/>
  <c r="BS471" i="12"/>
  <c r="BZ471" i="12"/>
  <c r="AY471" i="12" s="1"/>
  <c r="BR472" i="12"/>
  <c r="BT472" i="12" s="1"/>
  <c r="BW472" i="12"/>
  <c r="BY472" i="12" s="1"/>
  <c r="BZ472" i="12" s="1"/>
  <c r="AY472" i="12" s="1"/>
  <c r="AS471" i="12"/>
  <c r="BU471" i="12"/>
  <c r="AR471" i="12" s="1"/>
  <c r="CC477" i="12"/>
  <c r="CB478" i="12"/>
  <c r="CD478" i="12" s="1"/>
  <c r="CE476" i="12"/>
  <c r="AN476" i="12" s="1"/>
  <c r="AL471" i="12"/>
  <c r="AM472" i="12"/>
  <c r="AO472" i="12" s="1"/>
  <c r="BD470" i="12"/>
  <c r="BG470" i="12" s="1"/>
  <c r="BH470" i="12"/>
  <c r="BD212" i="12"/>
  <c r="BG212" i="12" s="1"/>
  <c r="AL213" i="12"/>
  <c r="AZ472" i="12" l="1"/>
  <c r="BA472" i="12" s="1"/>
  <c r="BR473" i="12"/>
  <c r="BT473" i="12" s="1"/>
  <c r="BX472" i="12"/>
  <c r="BW473" i="12"/>
  <c r="BY473" i="12" s="1"/>
  <c r="AZ473" i="12" s="1"/>
  <c r="BA473" i="12" s="1"/>
  <c r="BS472" i="12"/>
  <c r="BU472" i="12"/>
  <c r="AR472" i="12" s="1"/>
  <c r="AS472" i="12"/>
  <c r="CC478" i="12"/>
  <c r="CB479" i="12"/>
  <c r="CD479" i="12" s="1"/>
  <c r="CE477" i="12"/>
  <c r="AN477" i="12" s="1"/>
  <c r="AL472" i="12"/>
  <c r="AM473" i="12"/>
  <c r="AO473" i="12" s="1"/>
  <c r="BD471" i="12"/>
  <c r="BG471" i="12" s="1"/>
  <c r="BH471" i="12"/>
  <c r="BD213" i="12"/>
  <c r="BG213" i="12" s="1"/>
  <c r="AL214" i="12"/>
  <c r="BS473" i="12" l="1"/>
  <c r="BZ473" i="12"/>
  <c r="AY473" i="12" s="1"/>
  <c r="BW474" i="12"/>
  <c r="BY474" i="12" s="1"/>
  <c r="AZ474" i="12" s="1"/>
  <c r="BA474" i="12" s="1"/>
  <c r="BR474" i="12"/>
  <c r="BT474" i="12" s="1"/>
  <c r="BX473" i="12"/>
  <c r="CC479" i="12"/>
  <c r="CB480" i="12"/>
  <c r="CD480" i="12" s="1"/>
  <c r="BU473" i="12"/>
  <c r="AR473" i="12" s="1"/>
  <c r="AS473" i="12"/>
  <c r="CE478" i="12"/>
  <c r="AN478" i="12" s="1"/>
  <c r="BD472" i="12"/>
  <c r="BG472" i="12" s="1"/>
  <c r="BH472" i="12"/>
  <c r="AL473" i="12"/>
  <c r="AM474" i="12"/>
  <c r="AO474" i="12" s="1"/>
  <c r="BD214" i="12"/>
  <c r="BG214" i="12" s="1"/>
  <c r="AL215" i="12"/>
  <c r="BX474" i="12" l="1"/>
  <c r="BZ474" i="12"/>
  <c r="AY474" i="12" s="1"/>
  <c r="BS474" i="12"/>
  <c r="BW475" i="12"/>
  <c r="BY475" i="12" s="1"/>
  <c r="BZ475" i="12" s="1"/>
  <c r="AY475" i="12" s="1"/>
  <c r="BR475" i="12"/>
  <c r="BT475" i="12" s="1"/>
  <c r="BU474" i="12"/>
  <c r="AR474" i="12" s="1"/>
  <c r="AS474" i="12"/>
  <c r="CC480" i="12"/>
  <c r="CB481" i="12"/>
  <c r="CD481" i="12" s="1"/>
  <c r="CE479" i="12"/>
  <c r="AN479" i="12" s="1"/>
  <c r="AM475" i="12"/>
  <c r="AO475" i="12" s="1"/>
  <c r="AL474" i="12"/>
  <c r="BH473" i="12"/>
  <c r="BD473" i="12"/>
  <c r="BG473" i="12" s="1"/>
  <c r="BD215" i="12"/>
  <c r="BG215" i="12" s="1"/>
  <c r="AL216" i="12"/>
  <c r="BR476" i="12" l="1"/>
  <c r="BT476" i="12" s="1"/>
  <c r="BX475" i="12"/>
  <c r="BS475" i="12"/>
  <c r="AZ475" i="12"/>
  <c r="BA475" i="12" s="1"/>
  <c r="BW476" i="12"/>
  <c r="BY476" i="12" s="1"/>
  <c r="BZ476" i="12" s="1"/>
  <c r="AY476" i="12" s="1"/>
  <c r="CE480" i="12"/>
  <c r="AN480" i="12" s="1"/>
  <c r="BU475" i="12"/>
  <c r="AR475" i="12" s="1"/>
  <c r="AS475" i="12"/>
  <c r="CC481" i="12"/>
  <c r="CB482" i="12"/>
  <c r="CD482" i="12" s="1"/>
  <c r="AL475" i="12"/>
  <c r="AM476" i="12"/>
  <c r="AO476" i="12" s="1"/>
  <c r="BD474" i="12"/>
  <c r="BG474" i="12" s="1"/>
  <c r="BH474" i="12"/>
  <c r="BD216" i="12"/>
  <c r="BG216" i="12" s="1"/>
  <c r="AL217" i="12"/>
  <c r="BR477" i="12" l="1"/>
  <c r="BT477" i="12" s="1"/>
  <c r="BW477" i="12"/>
  <c r="BY477" i="12" s="1"/>
  <c r="AZ477" i="12" s="1"/>
  <c r="BA477" i="12" s="1"/>
  <c r="BX476" i="12"/>
  <c r="BS476" i="12"/>
  <c r="AZ476" i="12"/>
  <c r="BA476" i="12" s="1"/>
  <c r="CC482" i="12"/>
  <c r="CB483" i="12"/>
  <c r="CD483" i="12" s="1"/>
  <c r="BU476" i="12"/>
  <c r="AR476" i="12" s="1"/>
  <c r="AS476" i="12"/>
  <c r="CE481" i="12"/>
  <c r="AN481" i="12" s="1"/>
  <c r="AL476" i="12"/>
  <c r="AM477" i="12"/>
  <c r="AO477" i="12" s="1"/>
  <c r="BD475" i="12"/>
  <c r="BG475" i="12" s="1"/>
  <c r="BH475" i="12"/>
  <c r="BD217" i="12"/>
  <c r="BG217" i="12" s="1"/>
  <c r="AL218" i="12"/>
  <c r="BZ477" i="12" l="1"/>
  <c r="AY477" i="12" s="1"/>
  <c r="BX477" i="12"/>
  <c r="BS477" i="12"/>
  <c r="BW478" i="12"/>
  <c r="BY478" i="12" s="1"/>
  <c r="AZ478" i="12" s="1"/>
  <c r="BA478" i="12" s="1"/>
  <c r="BR478" i="12"/>
  <c r="BT478" i="12" s="1"/>
  <c r="CC483" i="12"/>
  <c r="CB484" i="12"/>
  <c r="CD484" i="12" s="1"/>
  <c r="CE482" i="12"/>
  <c r="AN482" i="12" s="1"/>
  <c r="BU477" i="12"/>
  <c r="AR477" i="12" s="1"/>
  <c r="AS477" i="12"/>
  <c r="BD476" i="12"/>
  <c r="BG476" i="12" s="1"/>
  <c r="BH476" i="12"/>
  <c r="AL477" i="12"/>
  <c r="AM478" i="12"/>
  <c r="AO478" i="12" s="1"/>
  <c r="BD218" i="12"/>
  <c r="BG218" i="12" s="1"/>
  <c r="AL219" i="12"/>
  <c r="BX478" i="12" l="1"/>
  <c r="BZ478" i="12"/>
  <c r="AY478" i="12" s="1"/>
  <c r="BS478" i="12"/>
  <c r="BW479" i="12"/>
  <c r="BY479" i="12" s="1"/>
  <c r="BZ479" i="12" s="1"/>
  <c r="AY479" i="12" s="1"/>
  <c r="BR479" i="12"/>
  <c r="BT479" i="12" s="1"/>
  <c r="CE483" i="12"/>
  <c r="AN483" i="12" s="1"/>
  <c r="BU478" i="12"/>
  <c r="AR478" i="12" s="1"/>
  <c r="AS478" i="12"/>
  <c r="CC484" i="12"/>
  <c r="CB485" i="12"/>
  <c r="CD485" i="12" s="1"/>
  <c r="AL478" i="12"/>
  <c r="AM479" i="12"/>
  <c r="AO479" i="12" s="1"/>
  <c r="BD477" i="12"/>
  <c r="BG477" i="12" s="1"/>
  <c r="BH477" i="12"/>
  <c r="BD219" i="12"/>
  <c r="BG219" i="12" s="1"/>
  <c r="AL220" i="12"/>
  <c r="BR480" i="12" l="1"/>
  <c r="BT480" i="12" s="1"/>
  <c r="AZ479" i="12"/>
  <c r="BA479" i="12" s="1"/>
  <c r="BX479" i="12"/>
  <c r="BW480" i="12"/>
  <c r="BY480" i="12" s="1"/>
  <c r="BZ480" i="12" s="1"/>
  <c r="AY480" i="12" s="1"/>
  <c r="BS479" i="12"/>
  <c r="CC485" i="12"/>
  <c r="CB486" i="12"/>
  <c r="CD486" i="12" s="1"/>
  <c r="AS479" i="12"/>
  <c r="BU479" i="12"/>
  <c r="AR479" i="12" s="1"/>
  <c r="CE484" i="12"/>
  <c r="AN484" i="12" s="1"/>
  <c r="BD478" i="12"/>
  <c r="BG478" i="12" s="1"/>
  <c r="BH478" i="12"/>
  <c r="AL479" i="12"/>
  <c r="AM480" i="12"/>
  <c r="AO480" i="12" s="1"/>
  <c r="BD220" i="12"/>
  <c r="BG220" i="12" s="1"/>
  <c r="AL221" i="12"/>
  <c r="BR481" i="12" l="1"/>
  <c r="BT481" i="12" s="1"/>
  <c r="BW481" i="12"/>
  <c r="BY481" i="12" s="1"/>
  <c r="AZ481" i="12" s="1"/>
  <c r="BA481" i="12" s="1"/>
  <c r="BS480" i="12"/>
  <c r="AZ480" i="12"/>
  <c r="BA480" i="12" s="1"/>
  <c r="BX480" i="12"/>
  <c r="CE485" i="12"/>
  <c r="AN485" i="12" s="1"/>
  <c r="AS480" i="12"/>
  <c r="BU480" i="12"/>
  <c r="AR480" i="12" s="1"/>
  <c r="CC486" i="12"/>
  <c r="CB487" i="12"/>
  <c r="CD487" i="12" s="1"/>
  <c r="BD479" i="12"/>
  <c r="BG479" i="12" s="1"/>
  <c r="BH479" i="12"/>
  <c r="AL480" i="12"/>
  <c r="AM481" i="12"/>
  <c r="AO481" i="12" s="1"/>
  <c r="BD221" i="12"/>
  <c r="BG221" i="12" s="1"/>
  <c r="AL222" i="12"/>
  <c r="BR482" i="12" l="1"/>
  <c r="BT482" i="12" s="1"/>
  <c r="BW482" i="12"/>
  <c r="BY482" i="12" s="1"/>
  <c r="BZ482" i="12" s="1"/>
  <c r="AY482" i="12" s="1"/>
  <c r="BX481" i="12"/>
  <c r="BS481" i="12"/>
  <c r="BZ481" i="12"/>
  <c r="AY481" i="12" s="1"/>
  <c r="CC487" i="12"/>
  <c r="CB488" i="12"/>
  <c r="CD488" i="12" s="1"/>
  <c r="CE486" i="12"/>
  <c r="AN486" i="12" s="1"/>
  <c r="BU481" i="12"/>
  <c r="AR481" i="12" s="1"/>
  <c r="AS481" i="12"/>
  <c r="AL481" i="12"/>
  <c r="AM482" i="12"/>
  <c r="AO482" i="12" s="1"/>
  <c r="BD480" i="12"/>
  <c r="BG480" i="12" s="1"/>
  <c r="BH480" i="12"/>
  <c r="BD222" i="12"/>
  <c r="BG222" i="12" s="1"/>
  <c r="AL223" i="12"/>
  <c r="BW483" i="12" l="1"/>
  <c r="BY483" i="12" s="1"/>
  <c r="BZ483" i="12" s="1"/>
  <c r="AY483" i="12" s="1"/>
  <c r="BR483" i="12"/>
  <c r="BT483" i="12" s="1"/>
  <c r="BX482" i="12"/>
  <c r="BS482" i="12"/>
  <c r="AZ482" i="12"/>
  <c r="BA482" i="12" s="1"/>
  <c r="CB489" i="12"/>
  <c r="CD489" i="12" s="1"/>
  <c r="CC488" i="12"/>
  <c r="BU482" i="12"/>
  <c r="AR482" i="12" s="1"/>
  <c r="AS482" i="12"/>
  <c r="CE487" i="12"/>
  <c r="AN487" i="12" s="1"/>
  <c r="AL482" i="12"/>
  <c r="AM483" i="12"/>
  <c r="AO483" i="12" s="1"/>
  <c r="BD481" i="12"/>
  <c r="BG481" i="12" s="1"/>
  <c r="BH481" i="12"/>
  <c r="BD223" i="12"/>
  <c r="BG223" i="12" s="1"/>
  <c r="AL224" i="12"/>
  <c r="AZ483" i="12" l="1"/>
  <c r="BA483" i="12" s="1"/>
  <c r="BS483" i="12"/>
  <c r="BR484" i="12"/>
  <c r="BT484" i="12" s="1"/>
  <c r="BW484" i="12"/>
  <c r="BY484" i="12" s="1"/>
  <c r="BZ484" i="12" s="1"/>
  <c r="AY484" i="12" s="1"/>
  <c r="BX483" i="12"/>
  <c r="CB490" i="12"/>
  <c r="CD490" i="12" s="1"/>
  <c r="CC489" i="12"/>
  <c r="CE488" i="12"/>
  <c r="AN488" i="12" s="1"/>
  <c r="BU483" i="12"/>
  <c r="AR483" i="12" s="1"/>
  <c r="AS483" i="12"/>
  <c r="AL483" i="12"/>
  <c r="BD483" i="12" s="1"/>
  <c r="BG483" i="12" s="1"/>
  <c r="AM484" i="12"/>
  <c r="AO484" i="12" s="1"/>
  <c r="BD482" i="12"/>
  <c r="BG482" i="12" s="1"/>
  <c r="BH482" i="12"/>
  <c r="BD224" i="12"/>
  <c r="BG224" i="12" s="1"/>
  <c r="AL225" i="12"/>
  <c r="AZ484" i="12" l="1"/>
  <c r="BA484" i="12" s="1"/>
  <c r="BR485" i="12"/>
  <c r="BT485" i="12" s="1"/>
  <c r="BW485" i="12"/>
  <c r="BY485" i="12" s="1"/>
  <c r="BZ485" i="12" s="1"/>
  <c r="AY485" i="12" s="1"/>
  <c r="BX484" i="12"/>
  <c r="BS484" i="12"/>
  <c r="BH483" i="12"/>
  <c r="CB491" i="12"/>
  <c r="CD491" i="12" s="1"/>
  <c r="CC490" i="12"/>
  <c r="AS484" i="12"/>
  <c r="BU484" i="12"/>
  <c r="AR484" i="12" s="1"/>
  <c r="CE489" i="12"/>
  <c r="AN489" i="12" s="1"/>
  <c r="AL484" i="12"/>
  <c r="AM485" i="12"/>
  <c r="AO485" i="12" s="1"/>
  <c r="BD225" i="12"/>
  <c r="BG225" i="12" s="1"/>
  <c r="AL226" i="12"/>
  <c r="BW486" i="12" l="1"/>
  <c r="BY486" i="12" s="1"/>
  <c r="BZ486" i="12" s="1"/>
  <c r="AY486" i="12" s="1"/>
  <c r="BX485" i="12"/>
  <c r="BS485" i="12"/>
  <c r="BR486" i="12"/>
  <c r="BT486" i="12" s="1"/>
  <c r="AZ485" i="12"/>
  <c r="BA485" i="12" s="1"/>
  <c r="CB492" i="12"/>
  <c r="CD492" i="12" s="1"/>
  <c r="CC491" i="12"/>
  <c r="BU485" i="12"/>
  <c r="AR485" i="12" s="1"/>
  <c r="AS485" i="12"/>
  <c r="CE490" i="12"/>
  <c r="AN490" i="12" s="1"/>
  <c r="AL485" i="12"/>
  <c r="AM486" i="12"/>
  <c r="AO486" i="12" s="1"/>
  <c r="BD484" i="12"/>
  <c r="BG484" i="12" s="1"/>
  <c r="BH484" i="12"/>
  <c r="BA221" i="12"/>
  <c r="BD226" i="12"/>
  <c r="BG226" i="12" s="1"/>
  <c r="AL227" i="12"/>
  <c r="AZ486" i="12" l="1"/>
  <c r="BA486" i="12" s="1"/>
  <c r="BW487" i="12"/>
  <c r="BY487" i="12" s="1"/>
  <c r="BZ487" i="12" s="1"/>
  <c r="AY487" i="12" s="1"/>
  <c r="BS486" i="12"/>
  <c r="BR487" i="12"/>
  <c r="BT487" i="12" s="1"/>
  <c r="BX486" i="12"/>
  <c r="CE491" i="12"/>
  <c r="AN491" i="12" s="1"/>
  <c r="AS486" i="12"/>
  <c r="BU486" i="12"/>
  <c r="AR486" i="12" s="1"/>
  <c r="CB493" i="12"/>
  <c r="CD493" i="12" s="1"/>
  <c r="CC492" i="12"/>
  <c r="AL486" i="12"/>
  <c r="AM487" i="12"/>
  <c r="AO487" i="12" s="1"/>
  <c r="BD485" i="12"/>
  <c r="BG485" i="12" s="1"/>
  <c r="BH485" i="12"/>
  <c r="BD227" i="12"/>
  <c r="BG227" i="12" s="1"/>
  <c r="AL228" i="12"/>
  <c r="AZ487" i="12" l="1"/>
  <c r="BA487" i="12" s="1"/>
  <c r="BR488" i="12"/>
  <c r="BT488" i="12" s="1"/>
  <c r="BW488" i="12"/>
  <c r="BY488" i="12" s="1"/>
  <c r="AZ488" i="12" s="1"/>
  <c r="BA488" i="12" s="1"/>
  <c r="BX487" i="12"/>
  <c r="BS487" i="12"/>
  <c r="CE492" i="12"/>
  <c r="AN492" i="12" s="1"/>
  <c r="BU487" i="12"/>
  <c r="AR487" i="12" s="1"/>
  <c r="AS487" i="12"/>
  <c r="CB494" i="12"/>
  <c r="CD494" i="12" s="1"/>
  <c r="CC493" i="12"/>
  <c r="AL487" i="12"/>
  <c r="AM488" i="12"/>
  <c r="AO488" i="12" s="1"/>
  <c r="BH486" i="12"/>
  <c r="BD486" i="12"/>
  <c r="BG486" i="12" s="1"/>
  <c r="BD228" i="12"/>
  <c r="BG228" i="12" s="1"/>
  <c r="AL229" i="12"/>
  <c r="BS488" i="12" l="1"/>
  <c r="BX488" i="12"/>
  <c r="BR489" i="12"/>
  <c r="BT489" i="12" s="1"/>
  <c r="BW489" i="12"/>
  <c r="BY489" i="12" s="1"/>
  <c r="BZ489" i="12" s="1"/>
  <c r="AY489" i="12" s="1"/>
  <c r="BZ488" i="12"/>
  <c r="AY488" i="12" s="1"/>
  <c r="CB495" i="12"/>
  <c r="CD495" i="12" s="1"/>
  <c r="CC494" i="12"/>
  <c r="AS488" i="12"/>
  <c r="BU488" i="12"/>
  <c r="AR488" i="12" s="1"/>
  <c r="CE493" i="12"/>
  <c r="AN493" i="12" s="1"/>
  <c r="BD487" i="12"/>
  <c r="BG487" i="12" s="1"/>
  <c r="BH487" i="12"/>
  <c r="AL488" i="12"/>
  <c r="AM489" i="12"/>
  <c r="AO489" i="12" s="1"/>
  <c r="BD229" i="12"/>
  <c r="BG229" i="12" s="1"/>
  <c r="AL230" i="12"/>
  <c r="AZ489" i="12" l="1"/>
  <c r="BA489" i="12" s="1"/>
  <c r="BX489" i="12"/>
  <c r="BS489" i="12"/>
  <c r="BW490" i="12"/>
  <c r="BY490" i="12" s="1"/>
  <c r="AZ490" i="12" s="1"/>
  <c r="BA490" i="12" s="1"/>
  <c r="BR490" i="12"/>
  <c r="BT490" i="12" s="1"/>
  <c r="CE494" i="12"/>
  <c r="AN494" i="12" s="1"/>
  <c r="CB496" i="12"/>
  <c r="CD496" i="12" s="1"/>
  <c r="CC495" i="12"/>
  <c r="BU489" i="12"/>
  <c r="AR489" i="12" s="1"/>
  <c r="AS489" i="12"/>
  <c r="BD488" i="12"/>
  <c r="BG488" i="12" s="1"/>
  <c r="BH488" i="12"/>
  <c r="AL489" i="12"/>
  <c r="AM490" i="12"/>
  <c r="AO490" i="12" s="1"/>
  <c r="BD230" i="12"/>
  <c r="BG230" i="12" s="1"/>
  <c r="AL231" i="12"/>
  <c r="BW491" i="12" l="1"/>
  <c r="BY491" i="12" s="1"/>
  <c r="BZ491" i="12" s="1"/>
  <c r="AY491" i="12" s="1"/>
  <c r="BR491" i="12"/>
  <c r="BT491" i="12" s="1"/>
  <c r="BX490" i="12"/>
  <c r="BZ490" i="12"/>
  <c r="AY490" i="12" s="1"/>
  <c r="BS490" i="12"/>
  <c r="AS490" i="12"/>
  <c r="BU490" i="12"/>
  <c r="AR490" i="12" s="1"/>
  <c r="CE495" i="12"/>
  <c r="AN495" i="12" s="1"/>
  <c r="CB497" i="12"/>
  <c r="CD497" i="12" s="1"/>
  <c r="CC496" i="12"/>
  <c r="BD489" i="12"/>
  <c r="BG489" i="12" s="1"/>
  <c r="BH489" i="12"/>
  <c r="AL490" i="12"/>
  <c r="AM491" i="12"/>
  <c r="AO491" i="12" s="1"/>
  <c r="BD231" i="12"/>
  <c r="BG231" i="12" s="1"/>
  <c r="AL232" i="12"/>
  <c r="AZ491" i="12" l="1"/>
  <c r="BA491" i="12" s="1"/>
  <c r="BX491" i="12"/>
  <c r="BW492" i="12"/>
  <c r="BY492" i="12" s="1"/>
  <c r="BZ492" i="12" s="1"/>
  <c r="AY492" i="12" s="1"/>
  <c r="BR492" i="12"/>
  <c r="BT492" i="12" s="1"/>
  <c r="BS491" i="12"/>
  <c r="CE496" i="12"/>
  <c r="AN496" i="12" s="1"/>
  <c r="CB498" i="12"/>
  <c r="CD498" i="12" s="1"/>
  <c r="CC497" i="12"/>
  <c r="AS491" i="12"/>
  <c r="BU491" i="12"/>
  <c r="AR491" i="12" s="1"/>
  <c r="AL491" i="12"/>
  <c r="AM492" i="12"/>
  <c r="AO492" i="12" s="1"/>
  <c r="BD490" i="12"/>
  <c r="BG490" i="12" s="1"/>
  <c r="BH490" i="12"/>
  <c r="BD232" i="12"/>
  <c r="BG232" i="12" s="1"/>
  <c r="AL233" i="12"/>
  <c r="BR493" i="12" l="1"/>
  <c r="BT493" i="12" s="1"/>
  <c r="AZ492" i="12"/>
  <c r="BA492" i="12" s="1"/>
  <c r="BX492" i="12"/>
  <c r="BS492" i="12"/>
  <c r="BW493" i="12"/>
  <c r="BY493" i="12" s="1"/>
  <c r="BZ493" i="12" s="1"/>
  <c r="AY493" i="12" s="1"/>
  <c r="CE497" i="12"/>
  <c r="AN497" i="12" s="1"/>
  <c r="AS492" i="12"/>
  <c r="BU492" i="12"/>
  <c r="AR492" i="12" s="1"/>
  <c r="CB499" i="12"/>
  <c r="CD499" i="12" s="1"/>
  <c r="CC498" i="12"/>
  <c r="BD491" i="12"/>
  <c r="BG491" i="12" s="1"/>
  <c r="BH491" i="12"/>
  <c r="AL492" i="12"/>
  <c r="AM493" i="12"/>
  <c r="AO493" i="12" s="1"/>
  <c r="BD233" i="12"/>
  <c r="BG233" i="12" s="1"/>
  <c r="AL234" i="12"/>
  <c r="BR494" i="12" l="1"/>
  <c r="BT494" i="12" s="1"/>
  <c r="BX493" i="12"/>
  <c r="BW494" i="12"/>
  <c r="BY494" i="12" s="1"/>
  <c r="AZ494" i="12" s="1"/>
  <c r="BA494" i="12" s="1"/>
  <c r="BS493" i="12"/>
  <c r="AZ493" i="12"/>
  <c r="BA493" i="12" s="1"/>
  <c r="CE498" i="12"/>
  <c r="AN498" i="12" s="1"/>
  <c r="CB500" i="12"/>
  <c r="CD500" i="12" s="1"/>
  <c r="CC499" i="12"/>
  <c r="AS493" i="12"/>
  <c r="BU493" i="12"/>
  <c r="AR493" i="12" s="1"/>
  <c r="AL493" i="12"/>
  <c r="AM494" i="12"/>
  <c r="AO494" i="12" s="1"/>
  <c r="BD492" i="12"/>
  <c r="BG492" i="12" s="1"/>
  <c r="BH492" i="12"/>
  <c r="BD234" i="12"/>
  <c r="BG234" i="12" s="1"/>
  <c r="AL235" i="12"/>
  <c r="BS494" i="12" l="1"/>
  <c r="BR495" i="12"/>
  <c r="BT495" i="12" s="1"/>
  <c r="BW495" i="12"/>
  <c r="BY495" i="12" s="1"/>
  <c r="AZ495" i="12" s="1"/>
  <c r="BA495" i="12" s="1"/>
  <c r="BX494" i="12"/>
  <c r="BZ494" i="12"/>
  <c r="AY494" i="12" s="1"/>
  <c r="CB501" i="12"/>
  <c r="CD501" i="12" s="1"/>
  <c r="CC500" i="12"/>
  <c r="AS494" i="12"/>
  <c r="BU494" i="12"/>
  <c r="AR494" i="12" s="1"/>
  <c r="CE499" i="12"/>
  <c r="AN499" i="12" s="1"/>
  <c r="BD493" i="12"/>
  <c r="BG493" i="12" s="1"/>
  <c r="BH493" i="12"/>
  <c r="AL494" i="12"/>
  <c r="AM495" i="12"/>
  <c r="AO495" i="12" s="1"/>
  <c r="BD235" i="12"/>
  <c r="BG235" i="12" s="1"/>
  <c r="AL236" i="12"/>
  <c r="BR496" i="12" l="1"/>
  <c r="BT496" i="12" s="1"/>
  <c r="BW496" i="12"/>
  <c r="BY496" i="12" s="1"/>
  <c r="AZ496" i="12" s="1"/>
  <c r="BA496" i="12" s="1"/>
  <c r="BZ495" i="12"/>
  <c r="AY495" i="12" s="1"/>
  <c r="BX495" i="12"/>
  <c r="BS495" i="12"/>
  <c r="BU495" i="12"/>
  <c r="AR495" i="12" s="1"/>
  <c r="AS495" i="12"/>
  <c r="CE500" i="12"/>
  <c r="AN500" i="12" s="1"/>
  <c r="CB502" i="12"/>
  <c r="CD502" i="12" s="1"/>
  <c r="CC501" i="12"/>
  <c r="AL495" i="12"/>
  <c r="AM496" i="12"/>
  <c r="AO496" i="12" s="1"/>
  <c r="BD494" i="12"/>
  <c r="BG494" i="12" s="1"/>
  <c r="BH494" i="12"/>
  <c r="BD236" i="12"/>
  <c r="BG236" i="12" s="1"/>
  <c r="AL237" i="12"/>
  <c r="BX496" i="12" l="1"/>
  <c r="BS496" i="12"/>
  <c r="BW497" i="12"/>
  <c r="BY497" i="12" s="1"/>
  <c r="AZ497" i="12" s="1"/>
  <c r="BA497" i="12" s="1"/>
  <c r="BR497" i="12"/>
  <c r="BT497" i="12" s="1"/>
  <c r="BZ496" i="12"/>
  <c r="AY496" i="12" s="1"/>
  <c r="CE501" i="12"/>
  <c r="AN501" i="12" s="1"/>
  <c r="AS496" i="12"/>
  <c r="BU496" i="12"/>
  <c r="AR496" i="12" s="1"/>
  <c r="CB503" i="12"/>
  <c r="CD503" i="12" s="1"/>
  <c r="CC502" i="12"/>
  <c r="AL496" i="12"/>
  <c r="AM497" i="12"/>
  <c r="AO497" i="12" s="1"/>
  <c r="BD495" i="12"/>
  <c r="BG495" i="12" s="1"/>
  <c r="BH495" i="12"/>
  <c r="BD237" i="12"/>
  <c r="BG237" i="12" s="1"/>
  <c r="AL238" i="12"/>
  <c r="BZ497" i="12" l="1"/>
  <c r="AY497" i="12" s="1"/>
  <c r="BW498" i="12"/>
  <c r="BY498" i="12" s="1"/>
  <c r="BZ498" i="12" s="1"/>
  <c r="AY498" i="12" s="1"/>
  <c r="BR498" i="12"/>
  <c r="BT498" i="12" s="1"/>
  <c r="BX497" i="12"/>
  <c r="BS497" i="12"/>
  <c r="BU497" i="12"/>
  <c r="AR497" i="12" s="1"/>
  <c r="AS497" i="12"/>
  <c r="CE502" i="12"/>
  <c r="AN502" i="12" s="1"/>
  <c r="CB504" i="12"/>
  <c r="CD504" i="12" s="1"/>
  <c r="CC503" i="12"/>
  <c r="AL497" i="12"/>
  <c r="AM498" i="12"/>
  <c r="AO498" i="12" s="1"/>
  <c r="BD496" i="12"/>
  <c r="BG496" i="12" s="1"/>
  <c r="BH496" i="12"/>
  <c r="BA233" i="12"/>
  <c r="BD238" i="12"/>
  <c r="BG238" i="12" s="1"/>
  <c r="AL239" i="12"/>
  <c r="AZ498" i="12" l="1"/>
  <c r="BA498" i="12" s="1"/>
  <c r="BX498" i="12"/>
  <c r="BS498" i="12"/>
  <c r="BW499" i="12"/>
  <c r="BY499" i="12" s="1"/>
  <c r="AZ499" i="12" s="1"/>
  <c r="BA499" i="12" s="1"/>
  <c r="BR499" i="12"/>
  <c r="BT499" i="12" s="1"/>
  <c r="CB505" i="12"/>
  <c r="CD505" i="12" s="1"/>
  <c r="CC504" i="12"/>
  <c r="AS498" i="12"/>
  <c r="BU498" i="12"/>
  <c r="AR498" i="12" s="1"/>
  <c r="CE503" i="12"/>
  <c r="AN503" i="12" s="1"/>
  <c r="BD497" i="12"/>
  <c r="BG497" i="12" s="1"/>
  <c r="BH497" i="12"/>
  <c r="AL498" i="12"/>
  <c r="AM499" i="12"/>
  <c r="AO499" i="12" s="1"/>
  <c r="BD239" i="12"/>
  <c r="BG239" i="12" s="1"/>
  <c r="AL240" i="12"/>
  <c r="BR500" i="12" l="1"/>
  <c r="BT500" i="12" s="1"/>
  <c r="BZ499" i="12"/>
  <c r="AY499" i="12" s="1"/>
  <c r="BX499" i="12"/>
  <c r="BS499" i="12"/>
  <c r="BW500" i="12"/>
  <c r="BY500" i="12" s="1"/>
  <c r="AZ500" i="12" s="1"/>
  <c r="BA500" i="12" s="1"/>
  <c r="CB506" i="12"/>
  <c r="CD506" i="12" s="1"/>
  <c r="CC505" i="12"/>
  <c r="AS499" i="12"/>
  <c r="BU499" i="12"/>
  <c r="AR499" i="12" s="1"/>
  <c r="CE504" i="12"/>
  <c r="AN504" i="12" s="1"/>
  <c r="AL499" i="12"/>
  <c r="AM500" i="12"/>
  <c r="AO500" i="12" s="1"/>
  <c r="BH498" i="12"/>
  <c r="BD498" i="12"/>
  <c r="BG498" i="12" s="1"/>
  <c r="BD240" i="12"/>
  <c r="BG240" i="12" s="1"/>
  <c r="AL241" i="12"/>
  <c r="BS500" i="12" l="1"/>
  <c r="BX500" i="12"/>
  <c r="BW501" i="12"/>
  <c r="BY501" i="12" s="1"/>
  <c r="BZ501" i="12" s="1"/>
  <c r="AY501" i="12" s="1"/>
  <c r="BR501" i="12"/>
  <c r="BT501" i="12" s="1"/>
  <c r="BZ500" i="12"/>
  <c r="AY500" i="12" s="1"/>
  <c r="CE505" i="12"/>
  <c r="AN505" i="12" s="1"/>
  <c r="CB507" i="12"/>
  <c r="CD507" i="12" s="1"/>
  <c r="CC506" i="12"/>
  <c r="AS500" i="12"/>
  <c r="BU500" i="12"/>
  <c r="AR500" i="12" s="1"/>
  <c r="AL500" i="12"/>
  <c r="AM501" i="12"/>
  <c r="AO501" i="12" s="1"/>
  <c r="BD499" i="12"/>
  <c r="BG499" i="12" s="1"/>
  <c r="BH499" i="12"/>
  <c r="AL242" i="12"/>
  <c r="BD241" i="12"/>
  <c r="BG241" i="12" s="1"/>
  <c r="BX501" i="12" l="1"/>
  <c r="BW502" i="12"/>
  <c r="BY502" i="12" s="1"/>
  <c r="BZ502" i="12" s="1"/>
  <c r="AY502" i="12" s="1"/>
  <c r="AZ501" i="12"/>
  <c r="BA501" i="12" s="1"/>
  <c r="BS501" i="12"/>
  <c r="BR502" i="12"/>
  <c r="BT502" i="12" s="1"/>
  <c r="CB508" i="12"/>
  <c r="CD508" i="12" s="1"/>
  <c r="CC507" i="12"/>
  <c r="AS501" i="12"/>
  <c r="BU501" i="12"/>
  <c r="AR501" i="12" s="1"/>
  <c r="CE506" i="12"/>
  <c r="AN506" i="12" s="1"/>
  <c r="AL501" i="12"/>
  <c r="AM502" i="12"/>
  <c r="AO502" i="12" s="1"/>
  <c r="BD500" i="12"/>
  <c r="BG500" i="12" s="1"/>
  <c r="BH500" i="12"/>
  <c r="AL243" i="12"/>
  <c r="BD242" i="12"/>
  <c r="BG242" i="12" s="1"/>
  <c r="BR503" i="12" l="1"/>
  <c r="BT503" i="12" s="1"/>
  <c r="AZ502" i="12"/>
  <c r="BA502" i="12" s="1"/>
  <c r="BX502" i="12"/>
  <c r="BS502" i="12"/>
  <c r="BW503" i="12"/>
  <c r="BY503" i="12" s="1"/>
  <c r="BZ503" i="12" s="1"/>
  <c r="AY503" i="12" s="1"/>
  <c r="CE507" i="12"/>
  <c r="AN507" i="12" s="1"/>
  <c r="AS502" i="12"/>
  <c r="BU502" i="12"/>
  <c r="AR502" i="12" s="1"/>
  <c r="CB509" i="12"/>
  <c r="CD509" i="12" s="1"/>
  <c r="CC508" i="12"/>
  <c r="AL502" i="12"/>
  <c r="AM503" i="12"/>
  <c r="AO503" i="12" s="1"/>
  <c r="BD501" i="12"/>
  <c r="BG501" i="12" s="1"/>
  <c r="BH501" i="12"/>
  <c r="BD243" i="12"/>
  <c r="BG243" i="12" s="1"/>
  <c r="AL244" i="12"/>
  <c r="BR504" i="12" l="1"/>
  <c r="BT504" i="12" s="1"/>
  <c r="BW504" i="12"/>
  <c r="BY504" i="12" s="1"/>
  <c r="AZ504" i="12" s="1"/>
  <c r="BA504" i="12" s="1"/>
  <c r="BX503" i="12"/>
  <c r="BS503" i="12"/>
  <c r="AZ503" i="12"/>
  <c r="BA503" i="12" s="1"/>
  <c r="CE508" i="12"/>
  <c r="AN508" i="12" s="1"/>
  <c r="BU503" i="12"/>
  <c r="AR503" i="12" s="1"/>
  <c r="AS503" i="12"/>
  <c r="CB510" i="12"/>
  <c r="CD510" i="12" s="1"/>
  <c r="CC509" i="12"/>
  <c r="AL503" i="12"/>
  <c r="AM504" i="12"/>
  <c r="AO504" i="12" s="1"/>
  <c r="BH502" i="12"/>
  <c r="BD502" i="12"/>
  <c r="BG502" i="12" s="1"/>
  <c r="AL245" i="12"/>
  <c r="BD244" i="12"/>
  <c r="BG244" i="12" s="1"/>
  <c r="BR505" i="12" l="1"/>
  <c r="BT505" i="12" s="1"/>
  <c r="BW505" i="12"/>
  <c r="BY505" i="12" s="1"/>
  <c r="AZ505" i="12" s="1"/>
  <c r="BA505" i="12" s="1"/>
  <c r="BS504" i="12"/>
  <c r="BX504" i="12"/>
  <c r="BZ504" i="12"/>
  <c r="AY504" i="12" s="1"/>
  <c r="AS504" i="12"/>
  <c r="BU504" i="12"/>
  <c r="AR504" i="12" s="1"/>
  <c r="CE509" i="12"/>
  <c r="AN509" i="12" s="1"/>
  <c r="CC510" i="12"/>
  <c r="AL504" i="12"/>
  <c r="AM505" i="12"/>
  <c r="AO505" i="12" s="1"/>
  <c r="BD503" i="12"/>
  <c r="BG503" i="12" s="1"/>
  <c r="BH503" i="12"/>
  <c r="BD245" i="12"/>
  <c r="BG245" i="12" s="1"/>
  <c r="AL246" i="12"/>
  <c r="BS505" i="12" l="1"/>
  <c r="BW506" i="12"/>
  <c r="BY506" i="12" s="1"/>
  <c r="AZ506" i="12" s="1"/>
  <c r="BA506" i="12" s="1"/>
  <c r="BR506" i="12"/>
  <c r="BT506" i="12" s="1"/>
  <c r="BX505" i="12"/>
  <c r="BZ505" i="12"/>
  <c r="AY505" i="12" s="1"/>
  <c r="CE510" i="12"/>
  <c r="AN510" i="12" s="1"/>
  <c r="BU505" i="12"/>
  <c r="AR505" i="12" s="1"/>
  <c r="AS505" i="12"/>
  <c r="AL505" i="12"/>
  <c r="AM506" i="12"/>
  <c r="AO506" i="12" s="1"/>
  <c r="BD504" i="12"/>
  <c r="BG504" i="12" s="1"/>
  <c r="BH504" i="12"/>
  <c r="AL247" i="12"/>
  <c r="BD246" i="12"/>
  <c r="BG246" i="12" s="1"/>
  <c r="BR507" i="12" l="1"/>
  <c r="BT507" i="12" s="1"/>
  <c r="BZ506" i="12"/>
  <c r="AY506" i="12" s="1"/>
  <c r="BX506" i="12"/>
  <c r="BS506" i="12"/>
  <c r="BW507" i="12"/>
  <c r="BY507" i="12" s="1"/>
  <c r="AZ507" i="12" s="1"/>
  <c r="BA507" i="12" s="1"/>
  <c r="AS506" i="12"/>
  <c r="BU506" i="12"/>
  <c r="AR506" i="12" s="1"/>
  <c r="AL506" i="12"/>
  <c r="AM507" i="12"/>
  <c r="AO507" i="12" s="1"/>
  <c r="BD505" i="12"/>
  <c r="BG505" i="12" s="1"/>
  <c r="BH505" i="12"/>
  <c r="BD247" i="12"/>
  <c r="BG247" i="12" s="1"/>
  <c r="AL248" i="12"/>
  <c r="BW508" i="12" l="1"/>
  <c r="BY508" i="12" s="1"/>
  <c r="AZ508" i="12" s="1"/>
  <c r="BA508" i="12" s="1"/>
  <c r="BR508" i="12"/>
  <c r="BT508" i="12" s="1"/>
  <c r="BX507" i="12"/>
  <c r="BS507" i="12"/>
  <c r="BZ507" i="12"/>
  <c r="AY507" i="12" s="1"/>
  <c r="AS507" i="12"/>
  <c r="BU507" i="12"/>
  <c r="AR507" i="12" s="1"/>
  <c r="AM508" i="12"/>
  <c r="AO508" i="12" s="1"/>
  <c r="BD506" i="12"/>
  <c r="BG506" i="12" s="1"/>
  <c r="BH506" i="12"/>
  <c r="AL507" i="12"/>
  <c r="BD248" i="12"/>
  <c r="BG248" i="12" s="1"/>
  <c r="AL249" i="12"/>
  <c r="BZ508" i="12" l="1"/>
  <c r="AY508" i="12" s="1"/>
  <c r="BX508" i="12"/>
  <c r="BR509" i="12"/>
  <c r="BT509" i="12" s="1"/>
  <c r="BS508" i="12"/>
  <c r="BW509" i="12"/>
  <c r="BY509" i="12" s="1"/>
  <c r="BZ509" i="12" s="1"/>
  <c r="AY509" i="12" s="1"/>
  <c r="AS508" i="12"/>
  <c r="BU508" i="12"/>
  <c r="AR508" i="12" s="1"/>
  <c r="AL508" i="12"/>
  <c r="AM509" i="12"/>
  <c r="AO509" i="12" s="1"/>
  <c r="BH507" i="12"/>
  <c r="BD507" i="12"/>
  <c r="BG507" i="12" s="1"/>
  <c r="AL250" i="12"/>
  <c r="BD249" i="12"/>
  <c r="BG249" i="12" s="1"/>
  <c r="BR510" i="12" l="1"/>
  <c r="BT510" i="12" s="1"/>
  <c r="BW510" i="12"/>
  <c r="BY510" i="12" s="1"/>
  <c r="BZ510" i="12" s="1"/>
  <c r="AY510" i="12" s="1"/>
  <c r="BX509" i="12"/>
  <c r="BS509" i="12"/>
  <c r="AZ509" i="12"/>
  <c r="BA509" i="12" s="1"/>
  <c r="BU509" i="12"/>
  <c r="AR509" i="12" s="1"/>
  <c r="AS509" i="12"/>
  <c r="AL509" i="12"/>
  <c r="AM510" i="12"/>
  <c r="AO510" i="12" s="1"/>
  <c r="AV2" i="12" s="1"/>
  <c r="BD508" i="12"/>
  <c r="BG508" i="12" s="1"/>
  <c r="BH508" i="12"/>
  <c r="AL251" i="12"/>
  <c r="BD250" i="12"/>
  <c r="BG250" i="12" s="1"/>
  <c r="BS510" i="12" l="1"/>
  <c r="BX510" i="12"/>
  <c r="AZ510" i="12"/>
  <c r="BA510" i="12" s="1"/>
  <c r="AP510" i="12"/>
  <c r="BK1" i="12"/>
  <c r="AS510" i="12"/>
  <c r="BU510" i="12"/>
  <c r="AR510" i="12" s="1"/>
  <c r="BD509" i="12"/>
  <c r="BG509" i="12" s="1"/>
  <c r="BH509" i="12"/>
  <c r="AL510" i="12"/>
  <c r="BD251" i="12"/>
  <c r="BG251" i="12" s="1"/>
  <c r="AL252" i="12"/>
  <c r="AP7" i="12" l="1"/>
  <c r="AP8" i="12"/>
  <c r="AP9" i="12"/>
  <c r="AP10" i="12"/>
  <c r="AP11" i="12"/>
  <c r="AP12" i="12"/>
  <c r="AP13" i="12"/>
  <c r="AP14" i="12"/>
  <c r="AP15" i="12"/>
  <c r="AP16" i="12"/>
  <c r="AP17" i="12"/>
  <c r="AP18" i="12"/>
  <c r="AP19" i="12"/>
  <c r="AP20" i="12"/>
  <c r="AP21" i="12"/>
  <c r="AP22" i="12"/>
  <c r="AP23" i="12"/>
  <c r="AP24" i="12"/>
  <c r="AP25" i="12"/>
  <c r="AP26" i="12"/>
  <c r="AP27" i="12"/>
  <c r="AP28" i="12"/>
  <c r="AP29" i="12"/>
  <c r="AP30" i="12"/>
  <c r="AP31" i="12"/>
  <c r="AP32" i="12"/>
  <c r="AP33" i="12"/>
  <c r="AP34" i="12"/>
  <c r="AP35" i="12"/>
  <c r="AP36" i="12"/>
  <c r="AP37" i="12"/>
  <c r="AP38" i="12"/>
  <c r="AP39" i="12"/>
  <c r="AP40" i="12"/>
  <c r="AP41" i="12"/>
  <c r="AP42" i="12"/>
  <c r="AP43" i="12"/>
  <c r="AP44" i="12"/>
  <c r="AP45" i="12"/>
  <c r="AP46" i="12"/>
  <c r="AP47" i="12"/>
  <c r="AP48" i="12"/>
  <c r="AP49" i="12"/>
  <c r="AP50" i="12"/>
  <c r="AP51" i="12"/>
  <c r="AP52" i="12"/>
  <c r="AP53" i="12"/>
  <c r="AP54" i="12"/>
  <c r="AP55" i="12"/>
  <c r="AP56" i="12"/>
  <c r="AP57" i="12"/>
  <c r="AP58" i="12"/>
  <c r="AP59" i="12"/>
  <c r="AP60" i="12"/>
  <c r="AP61" i="12"/>
  <c r="AP62" i="12"/>
  <c r="AP63" i="12"/>
  <c r="AP64" i="12"/>
  <c r="AP65" i="12"/>
  <c r="AP66" i="12"/>
  <c r="AP67" i="12"/>
  <c r="AP68" i="12"/>
  <c r="AP69" i="12"/>
  <c r="AP70" i="12"/>
  <c r="AP71" i="12"/>
  <c r="AP72" i="12"/>
  <c r="AP73" i="12"/>
  <c r="AP74" i="12"/>
  <c r="AP75" i="12"/>
  <c r="AP76" i="12"/>
  <c r="AP77" i="12"/>
  <c r="AP78" i="12"/>
  <c r="AP79" i="12"/>
  <c r="AP80" i="12"/>
  <c r="AP81" i="12"/>
  <c r="AP82" i="12"/>
  <c r="AP83" i="12"/>
  <c r="AP84" i="12"/>
  <c r="AP85" i="12"/>
  <c r="AP86" i="12"/>
  <c r="AP87" i="12"/>
  <c r="AP88" i="12"/>
  <c r="AP89" i="12"/>
  <c r="AP90" i="12"/>
  <c r="AP91" i="12"/>
  <c r="AP92" i="12"/>
  <c r="AP93" i="12"/>
  <c r="AP94" i="12"/>
  <c r="AP95" i="12"/>
  <c r="AP96" i="12"/>
  <c r="AP97" i="12"/>
  <c r="AP98" i="12"/>
  <c r="AP99" i="12"/>
  <c r="AP100" i="12"/>
  <c r="AP101" i="12"/>
  <c r="AP102" i="12"/>
  <c r="AP103" i="12"/>
  <c r="AP104" i="12"/>
  <c r="AP105" i="12"/>
  <c r="AP106" i="12"/>
  <c r="AP107" i="12"/>
  <c r="AP108" i="12"/>
  <c r="AP109" i="12"/>
  <c r="AP110" i="12"/>
  <c r="AP111" i="12"/>
  <c r="AP112" i="12"/>
  <c r="AP113" i="12"/>
  <c r="AP114" i="12"/>
  <c r="AP115" i="12"/>
  <c r="AP116" i="12"/>
  <c r="AP117" i="12"/>
  <c r="AP118" i="12"/>
  <c r="AP119" i="12"/>
  <c r="AP120" i="12"/>
  <c r="AP121" i="12"/>
  <c r="AP122" i="12"/>
  <c r="AP123" i="12"/>
  <c r="AP124" i="12"/>
  <c r="AP125" i="12"/>
  <c r="AP126" i="12"/>
  <c r="AP127" i="12"/>
  <c r="AP128" i="12"/>
  <c r="AP129" i="12"/>
  <c r="AP130" i="12"/>
  <c r="AP131" i="12"/>
  <c r="AP132" i="12"/>
  <c r="AP133" i="12"/>
  <c r="AP134" i="12"/>
  <c r="AP135" i="12"/>
  <c r="AP136" i="12"/>
  <c r="AP137" i="12"/>
  <c r="AP138" i="12"/>
  <c r="AP139" i="12"/>
  <c r="AP140" i="12"/>
  <c r="AP141" i="12"/>
  <c r="AP142" i="12"/>
  <c r="AP143" i="12"/>
  <c r="AP144" i="12"/>
  <c r="AP145" i="12"/>
  <c r="AP146" i="12"/>
  <c r="AP147" i="12"/>
  <c r="AP148" i="12"/>
  <c r="AP149" i="12"/>
  <c r="AP150" i="12"/>
  <c r="AP151" i="12"/>
  <c r="AP152" i="12"/>
  <c r="AP153" i="12"/>
  <c r="AP154" i="12"/>
  <c r="AP155" i="12"/>
  <c r="AP156" i="12"/>
  <c r="AP157" i="12"/>
  <c r="AP158" i="12"/>
  <c r="AP159" i="12"/>
  <c r="AP160" i="12"/>
  <c r="AP161" i="12"/>
  <c r="AP162" i="12"/>
  <c r="AP163" i="12"/>
  <c r="AP164" i="12"/>
  <c r="AP165" i="12"/>
  <c r="AP166" i="12"/>
  <c r="AP167" i="12"/>
  <c r="AP168" i="12"/>
  <c r="AP169" i="12"/>
  <c r="AP170" i="12"/>
  <c r="AP171" i="12"/>
  <c r="AP172" i="12"/>
  <c r="AP173" i="12"/>
  <c r="AP174" i="12"/>
  <c r="AP175" i="12"/>
  <c r="AP176" i="12"/>
  <c r="AP177" i="12"/>
  <c r="AP178" i="12"/>
  <c r="AP179" i="12"/>
  <c r="AP180" i="12"/>
  <c r="AP181" i="12"/>
  <c r="AP182" i="12"/>
  <c r="AP183" i="12"/>
  <c r="AP184" i="12"/>
  <c r="AP185" i="12"/>
  <c r="AP186" i="12"/>
  <c r="AP187" i="12"/>
  <c r="AP188" i="12"/>
  <c r="AP189" i="12"/>
  <c r="AP190" i="12"/>
  <c r="AP191" i="12"/>
  <c r="AP192" i="12"/>
  <c r="AP193" i="12"/>
  <c r="AP194" i="12"/>
  <c r="AP195" i="12"/>
  <c r="AP196" i="12"/>
  <c r="AP197" i="12"/>
  <c r="AP198" i="12"/>
  <c r="AP199" i="12"/>
  <c r="AP200" i="12"/>
  <c r="AP201" i="12"/>
  <c r="AP202" i="12"/>
  <c r="AP203" i="12"/>
  <c r="AP204" i="12"/>
  <c r="AP205" i="12"/>
  <c r="AP206" i="12"/>
  <c r="AP207" i="12"/>
  <c r="AP208" i="12"/>
  <c r="AP209" i="12"/>
  <c r="AP210" i="12"/>
  <c r="AP211" i="12"/>
  <c r="AP212" i="12"/>
  <c r="AP213" i="12"/>
  <c r="AP214" i="12"/>
  <c r="AP215" i="12"/>
  <c r="AP216" i="12"/>
  <c r="AP217" i="12"/>
  <c r="AP218" i="12"/>
  <c r="AP219" i="12"/>
  <c r="AP220" i="12"/>
  <c r="AP221" i="12"/>
  <c r="AP222" i="12"/>
  <c r="AP223" i="12"/>
  <c r="AP224" i="12"/>
  <c r="AP225" i="12"/>
  <c r="AP226" i="12"/>
  <c r="AP227" i="12"/>
  <c r="AP228" i="12"/>
  <c r="AP229" i="12"/>
  <c r="AP230" i="12"/>
  <c r="AP231" i="12"/>
  <c r="AP232" i="12"/>
  <c r="AP233" i="12"/>
  <c r="AP234" i="12"/>
  <c r="AP235" i="12"/>
  <c r="AP236" i="12"/>
  <c r="AP237" i="12"/>
  <c r="AP238" i="12"/>
  <c r="AP239" i="12"/>
  <c r="AP240" i="12"/>
  <c r="AP241" i="12"/>
  <c r="AP242" i="12"/>
  <c r="AP243" i="12"/>
  <c r="AP244" i="12"/>
  <c r="AP245" i="12"/>
  <c r="AP246" i="12"/>
  <c r="AP247" i="12"/>
  <c r="AP248" i="12"/>
  <c r="AP249" i="12"/>
  <c r="AP250" i="12"/>
  <c r="AP251" i="12"/>
  <c r="AP252" i="12"/>
  <c r="AP253" i="12"/>
  <c r="AP254" i="12"/>
  <c r="AP255" i="12"/>
  <c r="AP256" i="12"/>
  <c r="AP257" i="12"/>
  <c r="AP258" i="12"/>
  <c r="AP259" i="12"/>
  <c r="AP260" i="12"/>
  <c r="AP261" i="12"/>
  <c r="AP262" i="12"/>
  <c r="AP263" i="12"/>
  <c r="AP264" i="12"/>
  <c r="AP265" i="12"/>
  <c r="AP266" i="12"/>
  <c r="AP267" i="12"/>
  <c r="AP268" i="12"/>
  <c r="AP269" i="12"/>
  <c r="AP270" i="12"/>
  <c r="AP271" i="12"/>
  <c r="AP272" i="12"/>
  <c r="AP273" i="12"/>
  <c r="AP274" i="12"/>
  <c r="AP275" i="12"/>
  <c r="AP276" i="12"/>
  <c r="AP277" i="12"/>
  <c r="AP278" i="12"/>
  <c r="AP279" i="12"/>
  <c r="AP280" i="12"/>
  <c r="AP281" i="12"/>
  <c r="AP282" i="12"/>
  <c r="AP283" i="12"/>
  <c r="AP284" i="12"/>
  <c r="AP285" i="12"/>
  <c r="AP286" i="12"/>
  <c r="AP287" i="12"/>
  <c r="AP288" i="12"/>
  <c r="AP289" i="12"/>
  <c r="AP290" i="12"/>
  <c r="AP291" i="12"/>
  <c r="AP292" i="12"/>
  <c r="AP293" i="12"/>
  <c r="AP294" i="12"/>
  <c r="AP295" i="12"/>
  <c r="AP296" i="12"/>
  <c r="AP297" i="12"/>
  <c r="AP298" i="12"/>
  <c r="AP299" i="12"/>
  <c r="AP300" i="12"/>
  <c r="AP301" i="12"/>
  <c r="AP302" i="12"/>
  <c r="AP303" i="12"/>
  <c r="AP304" i="12"/>
  <c r="AP305" i="12"/>
  <c r="AP306" i="12"/>
  <c r="AP307" i="12"/>
  <c r="AP308" i="12"/>
  <c r="AP309" i="12"/>
  <c r="AP310" i="12"/>
  <c r="AP311" i="12"/>
  <c r="AP312" i="12"/>
  <c r="AP313" i="12"/>
  <c r="AP314" i="12"/>
  <c r="AP315" i="12"/>
  <c r="AP316" i="12"/>
  <c r="AP317" i="12"/>
  <c r="AP318" i="12"/>
  <c r="AP319" i="12"/>
  <c r="AP320" i="12"/>
  <c r="AP321" i="12"/>
  <c r="AP322" i="12"/>
  <c r="AP323" i="12"/>
  <c r="AP324" i="12"/>
  <c r="AP325" i="12"/>
  <c r="AP326" i="12"/>
  <c r="AP327" i="12"/>
  <c r="AP328" i="12"/>
  <c r="AP329" i="12"/>
  <c r="AP330" i="12"/>
  <c r="AP331" i="12"/>
  <c r="AP332" i="12"/>
  <c r="AP333" i="12"/>
  <c r="AP334" i="12"/>
  <c r="AP335" i="12"/>
  <c r="AP336" i="12"/>
  <c r="AP337" i="12"/>
  <c r="AP338" i="12"/>
  <c r="AP339" i="12"/>
  <c r="AP340" i="12"/>
  <c r="AP341" i="12"/>
  <c r="AP342" i="12"/>
  <c r="AP343" i="12"/>
  <c r="AP344" i="12"/>
  <c r="AP345" i="12"/>
  <c r="AP346" i="12"/>
  <c r="AP347" i="12"/>
  <c r="AP348" i="12"/>
  <c r="AP349" i="12"/>
  <c r="AP350" i="12"/>
  <c r="AP351" i="12"/>
  <c r="AP352" i="12"/>
  <c r="AP353" i="12"/>
  <c r="AP354" i="12"/>
  <c r="AP355" i="12"/>
  <c r="AP356" i="12"/>
  <c r="AP357" i="12"/>
  <c r="AP358" i="12"/>
  <c r="AP359" i="12"/>
  <c r="AP360" i="12"/>
  <c r="AP361" i="12"/>
  <c r="AP362" i="12"/>
  <c r="AP363" i="12"/>
  <c r="AP364" i="12"/>
  <c r="AP365" i="12"/>
  <c r="AP366" i="12"/>
  <c r="AP367" i="12"/>
  <c r="AP368" i="12"/>
  <c r="AP369" i="12"/>
  <c r="AP370" i="12"/>
  <c r="AP371" i="12"/>
  <c r="AP372" i="12"/>
  <c r="AP373" i="12"/>
  <c r="AP374" i="12"/>
  <c r="AP375" i="12"/>
  <c r="AP376" i="12"/>
  <c r="AP377" i="12"/>
  <c r="AP378" i="12"/>
  <c r="AP379" i="12"/>
  <c r="AP380" i="12"/>
  <c r="AP381" i="12"/>
  <c r="AP382" i="12"/>
  <c r="AP383" i="12"/>
  <c r="AP384" i="12"/>
  <c r="AP385" i="12"/>
  <c r="AP386" i="12"/>
  <c r="AP387" i="12"/>
  <c r="AP388" i="12"/>
  <c r="AP389" i="12"/>
  <c r="AP390" i="12"/>
  <c r="AP391" i="12"/>
  <c r="AP392" i="12"/>
  <c r="AP393" i="12"/>
  <c r="AP394" i="12"/>
  <c r="AP395" i="12"/>
  <c r="AP396" i="12"/>
  <c r="AP397" i="12"/>
  <c r="AP398" i="12"/>
  <c r="AP399" i="12"/>
  <c r="AP400" i="12"/>
  <c r="AP401" i="12"/>
  <c r="AP402" i="12"/>
  <c r="AP403" i="12"/>
  <c r="AP404" i="12"/>
  <c r="AP405" i="12"/>
  <c r="AP406" i="12"/>
  <c r="AP407" i="12"/>
  <c r="AP408" i="12"/>
  <c r="AP409" i="12"/>
  <c r="AP410" i="12"/>
  <c r="AP411" i="12"/>
  <c r="AP412" i="12"/>
  <c r="AP413" i="12"/>
  <c r="AP414" i="12"/>
  <c r="AP415" i="12"/>
  <c r="AP416" i="12"/>
  <c r="AP417" i="12"/>
  <c r="AP418" i="12"/>
  <c r="AP419" i="12"/>
  <c r="AP420" i="12"/>
  <c r="AP421" i="12"/>
  <c r="AP422" i="12"/>
  <c r="AP423" i="12"/>
  <c r="AP424" i="12"/>
  <c r="AP425" i="12"/>
  <c r="AP426" i="12"/>
  <c r="AP427" i="12"/>
  <c r="AP428" i="12"/>
  <c r="AP429" i="12"/>
  <c r="AP430" i="12"/>
  <c r="AP431" i="12"/>
  <c r="AP432" i="12"/>
  <c r="AP433" i="12"/>
  <c r="AP434" i="12"/>
  <c r="AP435" i="12"/>
  <c r="AP436" i="12"/>
  <c r="AP437" i="12"/>
  <c r="AP438" i="12"/>
  <c r="AP439" i="12"/>
  <c r="AP440" i="12"/>
  <c r="AP441" i="12"/>
  <c r="AP442" i="12"/>
  <c r="AP443" i="12"/>
  <c r="AP444" i="12"/>
  <c r="AP445" i="12"/>
  <c r="AP446" i="12"/>
  <c r="AP447" i="12"/>
  <c r="AP448" i="12"/>
  <c r="AP449" i="12"/>
  <c r="AP450" i="12"/>
  <c r="AP451" i="12"/>
  <c r="AP452" i="12"/>
  <c r="AP453" i="12"/>
  <c r="AP454" i="12"/>
  <c r="AP455" i="12"/>
  <c r="AP456" i="12"/>
  <c r="AP457" i="12"/>
  <c r="AP458" i="12"/>
  <c r="AP459" i="12"/>
  <c r="AP460" i="12"/>
  <c r="AP461" i="12"/>
  <c r="AP462" i="12"/>
  <c r="AP463" i="12"/>
  <c r="AP464" i="12"/>
  <c r="AP465" i="12"/>
  <c r="AP466" i="12"/>
  <c r="AP467" i="12"/>
  <c r="AP468" i="12"/>
  <c r="AP469" i="12"/>
  <c r="AP470" i="12"/>
  <c r="AP471" i="12"/>
  <c r="AP472" i="12"/>
  <c r="AP473" i="12"/>
  <c r="AP474" i="12"/>
  <c r="AP475" i="12"/>
  <c r="AP476" i="12"/>
  <c r="AP477" i="12"/>
  <c r="AP478" i="12"/>
  <c r="AP479" i="12"/>
  <c r="AP480" i="12"/>
  <c r="AP481" i="12"/>
  <c r="AP482" i="12"/>
  <c r="AP483" i="12"/>
  <c r="AP484" i="12"/>
  <c r="AP485" i="12"/>
  <c r="AP486" i="12"/>
  <c r="AP487" i="12"/>
  <c r="AP488" i="12"/>
  <c r="AP489" i="12"/>
  <c r="AP490" i="12"/>
  <c r="AP491" i="12"/>
  <c r="AP492" i="12"/>
  <c r="AP493" i="12"/>
  <c r="AP494" i="12"/>
  <c r="AP495" i="12"/>
  <c r="AP496" i="12"/>
  <c r="AP497" i="12"/>
  <c r="AP498" i="12"/>
  <c r="AP499" i="12"/>
  <c r="AP500" i="12"/>
  <c r="AP501" i="12"/>
  <c r="AP502" i="12"/>
  <c r="AP503" i="12"/>
  <c r="AP504" i="12"/>
  <c r="AP505" i="12"/>
  <c r="AP506" i="12"/>
  <c r="AP507" i="12"/>
  <c r="AP508" i="12"/>
  <c r="AP509" i="12"/>
  <c r="BI1" i="12"/>
  <c r="BI2" i="12" s="1"/>
  <c r="BD510" i="12"/>
  <c r="BG510" i="12" s="1"/>
  <c r="BH510" i="12"/>
  <c r="AL253" i="12"/>
  <c r="BD252" i="12"/>
  <c r="BG252" i="12" s="1"/>
  <c r="AT37" i="12" l="1"/>
  <c r="AT38" i="12"/>
  <c r="AT39" i="12"/>
  <c r="AT40" i="12"/>
  <c r="AT41" i="12"/>
  <c r="AT42" i="12"/>
  <c r="AT43" i="12"/>
  <c r="AT44" i="12"/>
  <c r="AT45" i="12"/>
  <c r="AT46" i="12"/>
  <c r="AT47" i="12"/>
  <c r="AT48" i="12"/>
  <c r="AT49" i="12"/>
  <c r="AT50" i="12"/>
  <c r="AT51" i="12"/>
  <c r="AT52" i="12"/>
  <c r="AT53" i="12"/>
  <c r="AT54" i="12"/>
  <c r="AT55" i="12"/>
  <c r="AT56" i="12"/>
  <c r="AT57" i="12"/>
  <c r="AT58" i="12"/>
  <c r="AT59" i="12"/>
  <c r="AT60" i="12"/>
  <c r="AT61" i="12"/>
  <c r="AT62" i="12"/>
  <c r="AT63" i="12"/>
  <c r="AT64" i="12"/>
  <c r="AT65" i="12"/>
  <c r="AT66" i="12"/>
  <c r="AT67" i="12"/>
  <c r="AT68" i="12"/>
  <c r="AT69" i="12"/>
  <c r="AT70" i="12"/>
  <c r="AT71" i="12"/>
  <c r="AT72" i="12"/>
  <c r="AT73" i="12"/>
  <c r="AT74" i="12"/>
  <c r="AT75" i="12"/>
  <c r="AT76" i="12"/>
  <c r="AT77" i="12"/>
  <c r="AT78" i="12"/>
  <c r="AT79" i="12"/>
  <c r="AT80" i="12"/>
  <c r="AT81" i="12"/>
  <c r="AT82" i="12"/>
  <c r="AT83" i="12"/>
  <c r="AT84" i="12"/>
  <c r="AT85" i="12"/>
  <c r="AT86" i="12"/>
  <c r="AT87" i="12"/>
  <c r="AT88" i="12"/>
  <c r="AT89" i="12"/>
  <c r="AT90" i="12"/>
  <c r="AT91" i="12"/>
  <c r="AT92" i="12"/>
  <c r="AT93" i="12"/>
  <c r="AT94" i="12"/>
  <c r="AT95" i="12"/>
  <c r="AT96" i="12"/>
  <c r="AT97" i="12"/>
  <c r="AT98" i="12"/>
  <c r="AT99" i="12"/>
  <c r="AT100" i="12"/>
  <c r="AT101" i="12"/>
  <c r="AT102" i="12"/>
  <c r="AT103" i="12"/>
  <c r="AT104" i="12"/>
  <c r="AT105" i="12"/>
  <c r="AT106" i="12"/>
  <c r="AT107" i="12"/>
  <c r="AT108" i="12"/>
  <c r="AT109" i="12"/>
  <c r="AT110" i="12"/>
  <c r="AT111" i="12"/>
  <c r="AT112" i="12"/>
  <c r="AT113" i="12"/>
  <c r="AT114" i="12"/>
  <c r="AT115" i="12"/>
  <c r="AT116" i="12"/>
  <c r="AT117" i="12"/>
  <c r="AT118" i="12"/>
  <c r="AT119" i="12"/>
  <c r="AT120" i="12"/>
  <c r="AT121" i="12"/>
  <c r="AT122" i="12"/>
  <c r="AT123" i="12"/>
  <c r="AT124" i="12"/>
  <c r="AT125" i="12"/>
  <c r="AT126" i="12"/>
  <c r="AT127" i="12"/>
  <c r="AT128" i="12"/>
  <c r="AT129" i="12"/>
  <c r="AT130" i="12"/>
  <c r="AT131" i="12"/>
  <c r="AT132" i="12"/>
  <c r="AT133" i="12"/>
  <c r="AT134" i="12"/>
  <c r="AT135" i="12"/>
  <c r="AT136" i="12"/>
  <c r="AT137" i="12"/>
  <c r="AT138" i="12"/>
  <c r="AT139" i="12"/>
  <c r="AT140" i="12"/>
  <c r="AT141" i="12"/>
  <c r="AT142" i="12"/>
  <c r="AT143" i="12"/>
  <c r="AT144" i="12"/>
  <c r="AT145" i="12"/>
  <c r="AT146" i="12"/>
  <c r="AT147" i="12"/>
  <c r="AT148" i="12"/>
  <c r="AT149" i="12"/>
  <c r="AT150" i="12"/>
  <c r="AT151" i="12"/>
  <c r="AT152" i="12"/>
  <c r="AT153" i="12"/>
  <c r="AT154" i="12"/>
  <c r="AT155" i="12"/>
  <c r="AT156" i="12"/>
  <c r="AT157" i="12"/>
  <c r="AT158" i="12"/>
  <c r="AT159" i="12"/>
  <c r="AT160" i="12"/>
  <c r="AT161" i="12"/>
  <c r="AT162" i="12"/>
  <c r="AT163" i="12"/>
  <c r="AT164" i="12"/>
  <c r="AT165" i="12"/>
  <c r="AT166" i="12"/>
  <c r="AT167" i="12"/>
  <c r="AT168" i="12"/>
  <c r="AT169" i="12"/>
  <c r="AT170" i="12"/>
  <c r="AT171" i="12"/>
  <c r="AT172" i="12"/>
  <c r="AT173" i="12"/>
  <c r="AT174" i="12"/>
  <c r="AT175" i="12"/>
  <c r="AT176" i="12"/>
  <c r="AT177" i="12"/>
  <c r="AT178" i="12"/>
  <c r="AT179" i="12"/>
  <c r="AT180" i="12"/>
  <c r="AT181" i="12"/>
  <c r="AT182" i="12"/>
  <c r="AT183" i="12"/>
  <c r="AT184" i="12"/>
  <c r="AT185" i="12"/>
  <c r="AT186" i="12"/>
  <c r="AT187" i="12"/>
  <c r="AT188" i="12"/>
  <c r="AT189" i="12"/>
  <c r="AT190" i="12"/>
  <c r="AT191" i="12"/>
  <c r="AT192" i="12"/>
  <c r="AT193" i="12"/>
  <c r="AT194" i="12"/>
  <c r="AT195" i="12"/>
  <c r="AT196" i="12"/>
  <c r="AT197" i="12"/>
  <c r="AT198" i="12"/>
  <c r="AT199" i="12"/>
  <c r="AT200" i="12"/>
  <c r="AT201" i="12"/>
  <c r="AT202" i="12"/>
  <c r="AT203" i="12"/>
  <c r="AT204" i="12"/>
  <c r="AT205" i="12"/>
  <c r="AT206" i="12"/>
  <c r="AT207" i="12"/>
  <c r="AT208" i="12"/>
  <c r="AT209" i="12"/>
  <c r="AT210" i="12"/>
  <c r="AT211" i="12"/>
  <c r="AT212" i="12"/>
  <c r="AT213" i="12"/>
  <c r="AT214" i="12"/>
  <c r="AT215" i="12"/>
  <c r="AT216" i="12"/>
  <c r="AT217" i="12"/>
  <c r="AT218" i="12"/>
  <c r="AT219" i="12"/>
  <c r="AT220" i="12"/>
  <c r="AT221" i="12"/>
  <c r="AT222" i="12"/>
  <c r="AT223" i="12"/>
  <c r="AT224" i="12"/>
  <c r="AT225" i="12"/>
  <c r="AT226" i="12"/>
  <c r="AT227" i="12"/>
  <c r="AT228" i="12"/>
  <c r="AT229" i="12"/>
  <c r="AT230" i="12"/>
  <c r="AT231" i="12"/>
  <c r="AT232" i="12"/>
  <c r="AT233" i="12"/>
  <c r="AT234" i="12"/>
  <c r="AT235" i="12"/>
  <c r="AT236" i="12"/>
  <c r="AT237" i="12"/>
  <c r="AT238" i="12"/>
  <c r="AT239" i="12"/>
  <c r="AT240" i="12"/>
  <c r="AT241" i="12"/>
  <c r="AT242" i="12"/>
  <c r="AT244" i="12"/>
  <c r="AT245" i="12"/>
  <c r="AT243" i="12"/>
  <c r="AT246" i="12"/>
  <c r="AT247" i="12"/>
  <c r="AT249" i="12"/>
  <c r="AT248" i="12"/>
  <c r="AT250" i="12"/>
  <c r="AT251" i="12"/>
  <c r="AT252" i="12"/>
  <c r="AT253" i="12"/>
  <c r="AT254" i="12"/>
  <c r="AT255" i="12"/>
  <c r="AT257" i="12"/>
  <c r="AT256" i="12"/>
  <c r="AT258" i="12"/>
  <c r="AT259" i="12"/>
  <c r="AT260" i="12"/>
  <c r="AT261" i="12"/>
  <c r="AT23" i="12"/>
  <c r="AT7" i="12"/>
  <c r="AT19" i="12"/>
  <c r="AT11" i="12"/>
  <c r="AT17" i="12"/>
  <c r="AT21" i="12"/>
  <c r="AT30" i="12"/>
  <c r="AT15" i="12"/>
  <c r="AT20" i="12"/>
  <c r="AT31" i="12"/>
  <c r="AT26" i="12"/>
  <c r="AT25" i="12"/>
  <c r="AT27" i="12"/>
  <c r="AT9" i="12"/>
  <c r="AT35" i="12"/>
  <c r="AT29" i="12"/>
  <c r="AT18" i="12"/>
  <c r="AT262" i="12"/>
  <c r="AT14" i="12"/>
  <c r="AT28" i="12"/>
  <c r="AT10" i="12"/>
  <c r="AT34" i="12"/>
  <c r="AT36" i="12"/>
  <c r="AT32" i="12"/>
  <c r="AT8" i="12"/>
  <c r="AT13" i="12"/>
  <c r="AT24" i="12"/>
  <c r="AT16" i="12"/>
  <c r="AT33" i="12"/>
  <c r="AT22" i="12"/>
  <c r="AT12" i="12"/>
  <c r="AT263" i="12"/>
  <c r="AT264" i="12"/>
  <c r="AT266" i="12"/>
  <c r="AT265" i="12"/>
  <c r="AT267" i="12"/>
  <c r="AT268" i="12"/>
  <c r="AT269" i="12"/>
  <c r="AT270" i="12"/>
  <c r="AT271" i="12"/>
  <c r="AT272" i="12"/>
  <c r="AT273" i="12"/>
  <c r="AT274" i="12"/>
  <c r="AT275" i="12"/>
  <c r="AT276" i="12"/>
  <c r="AT277" i="12"/>
  <c r="AT278" i="12"/>
  <c r="AT279" i="12"/>
  <c r="AT281" i="12"/>
  <c r="AT280" i="12"/>
  <c r="AT282" i="12"/>
  <c r="AT283" i="12"/>
  <c r="AT284" i="12"/>
  <c r="AT286" i="12"/>
  <c r="AT285" i="12"/>
  <c r="AT287" i="12"/>
  <c r="AT288" i="12"/>
  <c r="AT289" i="12"/>
  <c r="AT290" i="12"/>
  <c r="AT291" i="12"/>
  <c r="AT293" i="12"/>
  <c r="AT292" i="12"/>
  <c r="AT294" i="12"/>
  <c r="AT295" i="12"/>
  <c r="AT296" i="12"/>
  <c r="AT297" i="12"/>
  <c r="AT298" i="12"/>
  <c r="AT299" i="12"/>
  <c r="AT300" i="12"/>
  <c r="AT301" i="12"/>
  <c r="AT302" i="12"/>
  <c r="AT304" i="12"/>
  <c r="AT303" i="12"/>
  <c r="AT305" i="12"/>
  <c r="AT306" i="12"/>
  <c r="AT307" i="12"/>
  <c r="AT308" i="12"/>
  <c r="AT309" i="12"/>
  <c r="AT310" i="12"/>
  <c r="AT311" i="12"/>
  <c r="AT312" i="12"/>
  <c r="AT313" i="12"/>
  <c r="AT314" i="12"/>
  <c r="AT315" i="12"/>
  <c r="AT316" i="12"/>
  <c r="AT317" i="12"/>
  <c r="AT318" i="12"/>
  <c r="AT319" i="12"/>
  <c r="AT320" i="12"/>
  <c r="AT321" i="12"/>
  <c r="AT322" i="12"/>
  <c r="AT323" i="12"/>
  <c r="AT324" i="12"/>
  <c r="AT325" i="12"/>
  <c r="AT326" i="12"/>
  <c r="AT327" i="12"/>
  <c r="AT328" i="12"/>
  <c r="AT329" i="12"/>
  <c r="AT330" i="12"/>
  <c r="AT331" i="12"/>
  <c r="AT332" i="12"/>
  <c r="AT333" i="12"/>
  <c r="AT334" i="12"/>
  <c r="AT335" i="12"/>
  <c r="AT336" i="12"/>
  <c r="AT337" i="12"/>
  <c r="AT338" i="12"/>
  <c r="AT339" i="12"/>
  <c r="AT340" i="12"/>
  <c r="AT341" i="12"/>
  <c r="AT342" i="12"/>
  <c r="AT343" i="12"/>
  <c r="AT344" i="12"/>
  <c r="AT345" i="12"/>
  <c r="AT346" i="12"/>
  <c r="AT347" i="12"/>
  <c r="AT348" i="12"/>
  <c r="AT349" i="12"/>
  <c r="AT350" i="12"/>
  <c r="AT351" i="12"/>
  <c r="AT352" i="12"/>
  <c r="AT353" i="12"/>
  <c r="AT354" i="12"/>
  <c r="AT355" i="12"/>
  <c r="AT356" i="12"/>
  <c r="AT357" i="12"/>
  <c r="AT358" i="12"/>
  <c r="AT359" i="12"/>
  <c r="AT360" i="12"/>
  <c r="AT361" i="12"/>
  <c r="AT362" i="12"/>
  <c r="AT363" i="12"/>
  <c r="AT364" i="12"/>
  <c r="AT365" i="12"/>
  <c r="AT366" i="12"/>
  <c r="AT367" i="12"/>
  <c r="AT368" i="12"/>
  <c r="AT369" i="12"/>
  <c r="AT370" i="12"/>
  <c r="AT371" i="12"/>
  <c r="AT372" i="12"/>
  <c r="AT373" i="12"/>
  <c r="AT374" i="12"/>
  <c r="AT375" i="12"/>
  <c r="AT376" i="12"/>
  <c r="AT377" i="12"/>
  <c r="AT378" i="12"/>
  <c r="AT379" i="12"/>
  <c r="AT380" i="12"/>
  <c r="AT381" i="12"/>
  <c r="AT382" i="12"/>
  <c r="AT383" i="12"/>
  <c r="AT384" i="12"/>
  <c r="AT385" i="12"/>
  <c r="AT386" i="12"/>
  <c r="AT387" i="12"/>
  <c r="AT388" i="12"/>
  <c r="AT389" i="12"/>
  <c r="AT390" i="12"/>
  <c r="AT391" i="12"/>
  <c r="AT392" i="12"/>
  <c r="AT393" i="12"/>
  <c r="AT394" i="12"/>
  <c r="AT395" i="12"/>
  <c r="AT396" i="12"/>
  <c r="AT397" i="12"/>
  <c r="AT398" i="12"/>
  <c r="AT399" i="12"/>
  <c r="AT400" i="12"/>
  <c r="AT401" i="12"/>
  <c r="AT402" i="12"/>
  <c r="AT403" i="12"/>
  <c r="AT404" i="12"/>
  <c r="AT405" i="12"/>
  <c r="AT406" i="12"/>
  <c r="AT407" i="12"/>
  <c r="AT408" i="12"/>
  <c r="AT409" i="12"/>
  <c r="AT410" i="12"/>
  <c r="AT411" i="12"/>
  <c r="AT412" i="12"/>
  <c r="AT413" i="12"/>
  <c r="AT414" i="12"/>
  <c r="AT415" i="12"/>
  <c r="AT416" i="12"/>
  <c r="AT417" i="12"/>
  <c r="AT418" i="12"/>
  <c r="AT419" i="12"/>
  <c r="AT420" i="12"/>
  <c r="AT421" i="12"/>
  <c r="AT422" i="12"/>
  <c r="AT423" i="12"/>
  <c r="AT424" i="12"/>
  <c r="AT425" i="12"/>
  <c r="AT426" i="12"/>
  <c r="AT427" i="12"/>
  <c r="AT428" i="12"/>
  <c r="AT429" i="12"/>
  <c r="AT430" i="12"/>
  <c r="AT431" i="12"/>
  <c r="AT432" i="12"/>
  <c r="AT433" i="12"/>
  <c r="AT434" i="12"/>
  <c r="AT435" i="12"/>
  <c r="AT436" i="12"/>
  <c r="AT437" i="12"/>
  <c r="AT438" i="12"/>
  <c r="AT439" i="12"/>
  <c r="AT440" i="12"/>
  <c r="AT441" i="12"/>
  <c r="AT442" i="12"/>
  <c r="AT443" i="12"/>
  <c r="AT444" i="12"/>
  <c r="AT445" i="12"/>
  <c r="AT446" i="12"/>
  <c r="AT447" i="12"/>
  <c r="AT448" i="12"/>
  <c r="AT449" i="12"/>
  <c r="AT450" i="12"/>
  <c r="AT451" i="12"/>
  <c r="AT452" i="12"/>
  <c r="AT453" i="12"/>
  <c r="AT454" i="12"/>
  <c r="AT455" i="12"/>
  <c r="AT456" i="12"/>
  <c r="AT457" i="12"/>
  <c r="AT458" i="12"/>
  <c r="AT459" i="12"/>
  <c r="AT460" i="12"/>
  <c r="AT461" i="12"/>
  <c r="AT462" i="12"/>
  <c r="AT463" i="12"/>
  <c r="AT464" i="12"/>
  <c r="AT465" i="12"/>
  <c r="AT466" i="12"/>
  <c r="AT467" i="12"/>
  <c r="AT468" i="12"/>
  <c r="AT469" i="12"/>
  <c r="AT470" i="12"/>
  <c r="AT471" i="12"/>
  <c r="AT472" i="12"/>
  <c r="AT473" i="12"/>
  <c r="AT474" i="12"/>
  <c r="AT475" i="12"/>
  <c r="AT476" i="12"/>
  <c r="AT477" i="12"/>
  <c r="AT478" i="12"/>
  <c r="AT479" i="12"/>
  <c r="AT480" i="12"/>
  <c r="AT481" i="12"/>
  <c r="AT482" i="12"/>
  <c r="AT483" i="12"/>
  <c r="AT484" i="12"/>
  <c r="AT485" i="12"/>
  <c r="AT486" i="12"/>
  <c r="AT487" i="12"/>
  <c r="AT488" i="12"/>
  <c r="AT489" i="12"/>
  <c r="AT490" i="12"/>
  <c r="AT491" i="12"/>
  <c r="AT492" i="12"/>
  <c r="AT493" i="12"/>
  <c r="AT494" i="12"/>
  <c r="AT495" i="12"/>
  <c r="AT496" i="12"/>
  <c r="AT497" i="12"/>
  <c r="AT498" i="12"/>
  <c r="AT499" i="12"/>
  <c r="AT500" i="12"/>
  <c r="AT501" i="12"/>
  <c r="AT502" i="12"/>
  <c r="AT503" i="12"/>
  <c r="AT504" i="12"/>
  <c r="AT505" i="12"/>
  <c r="AT506" i="12"/>
  <c r="AT507" i="12"/>
  <c r="AT508" i="12"/>
  <c r="AT509" i="12"/>
  <c r="AT510" i="12"/>
  <c r="AT6" i="12"/>
  <c r="AL254" i="12"/>
  <c r="BD253" i="12"/>
  <c r="BG253" i="12" s="1"/>
  <c r="AL255" i="12" l="1"/>
  <c r="BD254" i="12"/>
  <c r="BG254" i="12" s="1"/>
  <c r="BD255" i="12" l="1"/>
  <c r="BG255" i="12" s="1"/>
  <c r="AL256" i="12"/>
  <c r="BD256" i="12" l="1"/>
  <c r="BG256" i="12" s="1"/>
  <c r="AL257" i="12"/>
  <c r="BD257" i="12" l="1"/>
  <c r="BG257" i="12" s="1"/>
  <c r="AL258" i="12"/>
  <c r="BD258" i="12" l="1"/>
  <c r="BG258" i="12" s="1"/>
  <c r="AL259" i="12"/>
  <c r="AL260" i="12" l="1"/>
  <c r="BD259" i="12"/>
  <c r="BG259" i="12" s="1"/>
  <c r="BD260" i="12" l="1"/>
  <c r="BG260" i="12" s="1"/>
  <c r="AL261" i="12"/>
  <c r="AL262" i="12" l="1"/>
  <c r="BD261" i="12"/>
  <c r="BG261" i="12" s="1"/>
  <c r="AL263" i="12" l="1"/>
  <c r="BD262" i="12"/>
  <c r="BG262" i="12" s="1"/>
  <c r="AL264" i="12" l="1"/>
  <c r="BD263" i="12"/>
  <c r="BG263" i="12" s="1"/>
  <c r="BD264" i="12" l="1"/>
  <c r="BG264" i="12" s="1"/>
  <c r="AL265" i="12"/>
  <c r="AL266" i="12" l="1"/>
  <c r="BD265" i="12"/>
  <c r="BG265" i="12" s="1"/>
  <c r="BD266" i="12" l="1"/>
  <c r="BG266" i="12" s="1"/>
  <c r="AL267" i="12"/>
  <c r="AL268" i="12" l="1"/>
  <c r="BD267" i="12"/>
  <c r="BG267" i="12" s="1"/>
  <c r="BD268" i="12" l="1"/>
  <c r="BG268" i="12" s="1"/>
  <c r="AL269" i="12"/>
  <c r="BD269" i="12" l="1"/>
  <c r="BG269" i="12" s="1"/>
  <c r="AL270" i="12"/>
  <c r="BD270" i="12" l="1"/>
  <c r="BG270" i="12" s="1"/>
  <c r="AL271" i="12"/>
  <c r="AL272" i="12" l="1"/>
  <c r="BD271" i="12"/>
  <c r="BG271" i="12" s="1"/>
  <c r="BD272" i="12" l="1"/>
  <c r="BG272" i="12" s="1"/>
  <c r="AL273" i="12"/>
  <c r="BD273" i="12" l="1"/>
  <c r="BG273" i="12" s="1"/>
  <c r="AL274" i="12"/>
  <c r="BD274" i="12" l="1"/>
  <c r="BG274" i="12" s="1"/>
  <c r="AL275" i="12"/>
  <c r="BD275" i="12" l="1"/>
  <c r="BG275" i="12" s="1"/>
  <c r="AL276" i="12"/>
  <c r="BD276" i="12" l="1"/>
  <c r="BG276" i="12" s="1"/>
  <c r="AL277" i="12"/>
  <c r="BD277" i="12" l="1"/>
  <c r="BG277" i="12" s="1"/>
  <c r="AL278" i="12"/>
  <c r="AL279" i="12" l="1"/>
  <c r="BD278" i="12"/>
  <c r="BG278" i="12" s="1"/>
  <c r="AL280" i="12" l="1"/>
  <c r="BD279" i="12"/>
  <c r="BG279" i="12" s="1"/>
  <c r="BD280" i="12" l="1"/>
  <c r="BG280" i="12" s="1"/>
  <c r="AL281" i="12"/>
  <c r="BD281" i="12" l="1"/>
  <c r="BG281" i="12" s="1"/>
  <c r="AL282" i="12"/>
  <c r="BD282" i="12" l="1"/>
  <c r="BG282" i="12" s="1"/>
  <c r="AL283" i="12"/>
  <c r="BD283" i="12" l="1"/>
  <c r="BG283" i="12" s="1"/>
  <c r="AL284" i="12"/>
  <c r="BD284" i="12" l="1"/>
  <c r="BG284" i="12" s="1"/>
  <c r="AL285" i="12"/>
  <c r="AL286" i="12" l="1"/>
  <c r="BD285" i="12"/>
  <c r="BG285" i="12" s="1"/>
  <c r="BD286" i="12" l="1"/>
  <c r="BG286" i="12" s="1"/>
  <c r="AL287" i="12"/>
  <c r="BD287" i="12" l="1"/>
  <c r="BG287" i="12" s="1"/>
  <c r="AL288" i="12"/>
  <c r="BD288" i="12" l="1"/>
  <c r="BG288" i="12" s="1"/>
  <c r="AL289" i="12"/>
  <c r="BD289" i="12" l="1"/>
  <c r="BG289" i="12" s="1"/>
  <c r="AL290" i="12"/>
  <c r="AL291" i="12" l="1"/>
  <c r="BD290" i="12"/>
  <c r="BG290" i="12" s="1"/>
  <c r="BD291" i="12" l="1"/>
  <c r="BG291" i="12" s="1"/>
  <c r="AL292" i="12"/>
  <c r="AL293" i="12" l="1"/>
  <c r="BD292" i="12"/>
  <c r="BG292" i="12" s="1"/>
  <c r="AL294" i="12" l="1"/>
  <c r="BD293" i="12"/>
  <c r="BG293" i="12" s="1"/>
  <c r="BD294" i="12" l="1"/>
  <c r="BG294" i="12" s="1"/>
  <c r="AL295" i="12"/>
  <c r="AL296" i="12" l="1"/>
  <c r="BD295" i="12"/>
  <c r="BG295" i="12" s="1"/>
  <c r="AL297" i="12" l="1"/>
  <c r="BD296" i="12"/>
  <c r="BG296" i="12" s="1"/>
  <c r="AL298" i="12" l="1"/>
  <c r="BD297" i="12"/>
  <c r="BG297" i="12" s="1"/>
  <c r="BD298" i="12" l="1"/>
  <c r="BG298" i="12" s="1"/>
  <c r="AL299" i="12"/>
  <c r="AL300" i="12" l="1"/>
  <c r="BD299" i="12"/>
  <c r="BG299" i="12" s="1"/>
  <c r="BD300" i="12" l="1"/>
  <c r="BG300" i="12" s="1"/>
  <c r="AL301" i="12"/>
  <c r="AL302" i="12" l="1"/>
  <c r="BD301" i="12"/>
  <c r="BG301" i="12" s="1"/>
  <c r="BD302" i="12" l="1"/>
  <c r="BG302" i="12" s="1"/>
  <c r="AL303" i="12"/>
  <c r="BD303" i="12" l="1"/>
  <c r="BG303" i="12" s="1"/>
  <c r="AL304" i="12"/>
  <c r="BD304" i="12" l="1"/>
  <c r="BG304" i="12" s="1"/>
  <c r="AL305" i="12"/>
  <c r="AL306" i="12" l="1"/>
  <c r="BD305" i="12"/>
  <c r="BG305" i="12" s="1"/>
  <c r="BD306" i="12" l="1"/>
  <c r="BG306" i="12" s="1"/>
  <c r="AL307" i="12"/>
  <c r="AL308" i="12" l="1"/>
  <c r="BD307" i="12"/>
  <c r="BG307" i="12" s="1"/>
  <c r="BD308" i="12" l="1"/>
  <c r="BG308" i="12" s="1"/>
  <c r="AL309" i="12"/>
  <c r="BD309" i="12" l="1"/>
  <c r="BG309" i="12" s="1"/>
  <c r="AL310" i="12"/>
  <c r="BD310" i="12" l="1"/>
  <c r="BG310" i="12" s="1"/>
  <c r="AL311" i="12"/>
  <c r="AL312" i="12" l="1"/>
  <c r="BD311" i="12"/>
  <c r="BG311" i="12" s="1"/>
  <c r="BD312" i="12" l="1"/>
  <c r="BG312" i="12" s="1"/>
  <c r="AL313" i="12"/>
  <c r="AL314" i="12" l="1"/>
  <c r="BD313" i="12"/>
  <c r="BG313" i="12" s="1"/>
  <c r="AL315" i="12" l="1"/>
  <c r="BD314" i="12"/>
  <c r="BG314" i="12" s="1"/>
  <c r="AL316" i="12" l="1"/>
  <c r="BD315" i="12"/>
  <c r="BG315" i="12" s="1"/>
  <c r="BD316" i="12" l="1"/>
  <c r="BG316" i="12" s="1"/>
  <c r="AL317" i="12"/>
  <c r="AL318" i="12" l="1"/>
  <c r="BD317" i="12"/>
  <c r="BG317" i="12" s="1"/>
  <c r="AL319" i="12" l="1"/>
  <c r="BD318" i="12"/>
  <c r="BG318" i="12" s="1"/>
  <c r="AL320" i="12" l="1"/>
  <c r="BD319" i="12"/>
  <c r="BG319" i="12" s="1"/>
  <c r="AL321" i="12" l="1"/>
  <c r="BD320" i="12"/>
  <c r="BG320" i="12" s="1"/>
  <c r="BD321" i="12" l="1"/>
  <c r="BG321" i="12" s="1"/>
  <c r="AL322" i="12"/>
  <c r="AL323" i="12" l="1"/>
  <c r="BD322" i="12"/>
  <c r="BG322" i="12" s="1"/>
  <c r="BD323" i="12" l="1"/>
  <c r="BG323" i="12" s="1"/>
  <c r="AL324" i="12"/>
  <c r="BD324" i="12" l="1"/>
  <c r="BG324" i="12" s="1"/>
  <c r="AL325" i="12"/>
  <c r="BD325" i="12" l="1"/>
  <c r="BG325" i="12" s="1"/>
  <c r="AL326" i="12"/>
  <c r="AL327" i="12" l="1"/>
  <c r="BD326" i="12"/>
  <c r="BG326" i="12" s="1"/>
  <c r="BD327" i="12" l="1"/>
  <c r="BG327" i="12" s="1"/>
  <c r="AL328" i="12"/>
  <c r="AL329" i="12" l="1"/>
  <c r="BD328" i="12"/>
  <c r="BG328" i="12" s="1"/>
  <c r="BD329" i="12" l="1"/>
  <c r="BG329" i="12" s="1"/>
  <c r="AL330" i="12"/>
  <c r="AL331" i="12" l="1"/>
  <c r="BD330" i="12"/>
  <c r="BG330" i="12" s="1"/>
  <c r="BD331" i="12" l="1"/>
  <c r="BG331" i="12" s="1"/>
  <c r="AL332" i="12"/>
  <c r="BD332" i="12" l="1"/>
  <c r="BG332" i="12" s="1"/>
  <c r="AL333" i="12"/>
  <c r="BD333" i="12" l="1"/>
  <c r="BG333" i="12" s="1"/>
  <c r="AL334" i="12"/>
  <c r="BD334" i="12" l="1"/>
  <c r="BG334" i="12" s="1"/>
  <c r="AL335" i="12"/>
  <c r="BD335" i="12" l="1"/>
  <c r="BG335" i="12" s="1"/>
  <c r="AL336" i="12"/>
  <c r="AL337" i="12" l="1"/>
  <c r="BD336" i="12"/>
  <c r="BG336" i="12" s="1"/>
  <c r="BD337" i="12" l="1"/>
  <c r="BG337" i="12" s="1"/>
  <c r="AL338" i="12"/>
  <c r="BD338" i="12" l="1"/>
  <c r="BG338" i="12" s="1"/>
  <c r="AL339" i="12"/>
  <c r="AL340" i="12" l="1"/>
  <c r="BD339" i="12"/>
  <c r="BG339" i="12" s="1"/>
  <c r="AL341" i="12" l="1"/>
  <c r="BD340" i="12"/>
  <c r="BG340" i="12" s="1"/>
  <c r="AL342" i="12" l="1"/>
  <c r="BD341" i="12"/>
  <c r="BG341" i="12" s="1"/>
  <c r="AL343" i="12" l="1"/>
  <c r="BD342" i="12"/>
  <c r="BG342" i="12" s="1"/>
  <c r="AL344" i="12" l="1"/>
  <c r="BD343" i="12"/>
  <c r="BG343" i="12" s="1"/>
  <c r="AL345" i="12" l="1"/>
  <c r="BD344" i="12"/>
  <c r="BG344" i="12" s="1"/>
  <c r="AL346" i="12" l="1"/>
  <c r="BD345" i="12"/>
  <c r="BG345" i="12" s="1"/>
  <c r="AL347" i="12" l="1"/>
  <c r="BD346" i="12"/>
  <c r="BG346" i="12" s="1"/>
  <c r="BD347" i="12" l="1"/>
  <c r="BG347" i="12" s="1"/>
  <c r="AL348" i="12"/>
  <c r="AL349" i="12" l="1"/>
  <c r="BD348" i="12"/>
  <c r="BG348" i="12" s="1"/>
  <c r="AL350" i="12" l="1"/>
  <c r="BD349" i="12"/>
  <c r="BG349" i="12" s="1"/>
  <c r="BD350" i="12" l="1"/>
  <c r="BG350" i="12" s="1"/>
  <c r="AL351" i="12"/>
  <c r="AL352" i="12" l="1"/>
  <c r="BD351" i="12"/>
  <c r="BG351" i="12" s="1"/>
  <c r="AL353" i="12" l="1"/>
  <c r="BD352" i="12"/>
  <c r="BG352" i="12" s="1"/>
  <c r="AL354" i="12" l="1"/>
  <c r="BD353" i="12"/>
  <c r="BG353" i="12" s="1"/>
  <c r="AL355" i="12" l="1"/>
  <c r="BD354" i="12"/>
  <c r="BG354" i="12" s="1"/>
  <c r="AL356" i="12" l="1"/>
  <c r="BD355" i="12"/>
  <c r="BG355" i="12" s="1"/>
  <c r="AL357" i="12" l="1"/>
  <c r="BD356" i="12"/>
  <c r="BG356" i="12" s="1"/>
  <c r="AL358" i="12" l="1"/>
  <c r="BD357" i="12"/>
  <c r="BG357" i="12" s="1"/>
  <c r="BD358" i="12" l="1"/>
  <c r="BG358" i="12" s="1"/>
  <c r="AP6" i="12" l="1"/>
  <c r="AQ245" i="12" l="1"/>
  <c r="AQ286" i="12"/>
  <c r="AQ279" i="12"/>
  <c r="AQ272" i="12"/>
  <c r="AQ300" i="12"/>
  <c r="AQ356" i="12"/>
  <c r="AQ285" i="12"/>
  <c r="AQ361" i="12"/>
  <c r="AQ247" i="12"/>
  <c r="AQ458" i="12"/>
  <c r="AQ276" i="12"/>
  <c r="AQ271" i="12"/>
  <c r="AQ318" i="12"/>
  <c r="AQ357" i="12"/>
  <c r="AQ339" i="12"/>
  <c r="AQ510" i="12"/>
  <c r="AQ242" i="12"/>
  <c r="AQ258" i="12"/>
  <c r="AQ443" i="12"/>
  <c r="AQ227" i="12"/>
  <c r="AQ390" i="12"/>
  <c r="AQ344" i="12"/>
  <c r="AQ284" i="12"/>
  <c r="AQ431" i="12"/>
  <c r="AQ422" i="12"/>
  <c r="AQ305" i="12"/>
  <c r="AQ331" i="12"/>
  <c r="AQ385" i="12"/>
  <c r="AQ483" i="12"/>
  <c r="AQ237" i="12"/>
  <c r="AQ243" i="12"/>
  <c r="AQ311" i="12"/>
  <c r="AQ420" i="12"/>
  <c r="AQ471" i="12"/>
  <c r="AQ394" i="12"/>
  <c r="AQ374" i="12"/>
  <c r="AQ449" i="12"/>
  <c r="AQ263" i="12"/>
  <c r="AQ306" i="12"/>
  <c r="AQ379" i="12"/>
  <c r="AQ444" i="12"/>
  <c r="AQ392" i="12"/>
  <c r="AQ341" i="12"/>
  <c r="AQ479" i="12"/>
  <c r="AQ228" i="12"/>
  <c r="AQ375" i="12"/>
  <c r="AQ405" i="12"/>
  <c r="AQ473" i="12"/>
  <c r="AQ294" i="12"/>
  <c r="AQ366" i="12"/>
  <c r="AQ445" i="12"/>
  <c r="AQ264" i="12"/>
  <c r="AQ233" i="12"/>
  <c r="AQ421" i="12"/>
  <c r="AQ326" i="12"/>
  <c r="AQ333" i="12"/>
  <c r="AQ459" i="12"/>
  <c r="AQ212" i="12"/>
  <c r="AQ427" i="12"/>
  <c r="AQ383" i="12"/>
  <c r="AQ301" i="12"/>
  <c r="AQ398" i="12"/>
  <c r="AQ441" i="12"/>
  <c r="AQ323" i="12"/>
  <c r="AQ487" i="12"/>
  <c r="AQ432" i="12"/>
  <c r="AQ452" i="12"/>
  <c r="AQ220" i="12"/>
  <c r="AQ241" i="12"/>
  <c r="AQ348" i="12"/>
  <c r="AQ414" i="12"/>
  <c r="AQ295" i="12"/>
  <c r="AQ491" i="12"/>
  <c r="AQ416" i="12"/>
  <c r="AQ446" i="12"/>
  <c r="AQ273" i="12"/>
  <c r="AQ415" i="12"/>
  <c r="AQ206" i="12"/>
  <c r="AQ215" i="12"/>
  <c r="AQ290" i="12"/>
  <c r="AQ498" i="12"/>
  <c r="AQ467" i="12"/>
  <c r="AQ289" i="12"/>
  <c r="AQ204" i="12"/>
  <c r="AQ280" i="12"/>
  <c r="AQ363" i="12"/>
  <c r="AQ377" i="12"/>
  <c r="AQ507" i="12"/>
  <c r="AQ240" i="12"/>
  <c r="AQ256" i="12"/>
  <c r="AQ257" i="12"/>
  <c r="AQ213" i="12"/>
  <c r="AQ352" i="12"/>
  <c r="AQ399" i="12"/>
  <c r="AQ506" i="12"/>
  <c r="AQ195" i="12"/>
  <c r="AQ196" i="12" s="1"/>
  <c r="AQ197" i="12" s="1"/>
  <c r="AQ232" i="12"/>
  <c r="AQ193" i="12"/>
  <c r="AQ194" i="12" s="1"/>
  <c r="AQ249" i="12"/>
  <c r="AQ236" i="12"/>
  <c r="AQ282" i="12"/>
  <c r="AQ217" i="12"/>
  <c r="AQ371" i="12"/>
  <c r="AQ386" i="12"/>
  <c r="AQ319" i="12"/>
  <c r="AQ322" i="12"/>
  <c r="AQ423" i="12"/>
  <c r="AQ391" i="12"/>
  <c r="AQ481" i="12"/>
  <c r="AQ355" i="12"/>
  <c r="AQ346" i="12"/>
  <c r="AQ455" i="12"/>
  <c r="AQ335" i="12"/>
  <c r="AQ381" i="12"/>
  <c r="AQ476" i="12"/>
  <c r="AQ406" i="12"/>
  <c r="AQ330" i="12"/>
  <c r="AQ504" i="12"/>
  <c r="AQ216" i="12"/>
  <c r="AQ261" i="12"/>
  <c r="AQ429" i="12"/>
  <c r="AQ372" i="12"/>
  <c r="AQ477" i="12"/>
  <c r="AQ298" i="12"/>
  <c r="AQ404" i="12"/>
  <c r="AQ338" i="12"/>
  <c r="AQ488" i="12"/>
  <c r="AQ359" i="12"/>
  <c r="AQ378" i="12"/>
  <c r="AQ472" i="12"/>
  <c r="AQ419" i="12"/>
  <c r="AQ320" i="12"/>
  <c r="AQ484" i="12"/>
  <c r="AQ373" i="12"/>
  <c r="AQ438" i="12"/>
  <c r="AQ307" i="12"/>
  <c r="AQ501" i="12"/>
  <c r="AQ433" i="12"/>
  <c r="AQ440" i="12"/>
  <c r="AQ469" i="12"/>
  <c r="AQ402" i="12"/>
  <c r="AQ439" i="12"/>
  <c r="AQ297" i="12"/>
  <c r="AQ490" i="12"/>
  <c r="AQ393" i="12"/>
  <c r="AQ480" i="12"/>
  <c r="AQ229" i="12"/>
  <c r="AQ302" i="12"/>
  <c r="AQ436" i="12"/>
  <c r="AQ462" i="12"/>
  <c r="AQ369" i="12"/>
  <c r="AQ368" i="12"/>
  <c r="AQ474" i="12"/>
  <c r="AQ244" i="12"/>
  <c r="AQ293" i="12"/>
  <c r="AQ259" i="12"/>
  <c r="AQ235" i="12"/>
  <c r="AQ210" i="12"/>
  <c r="AQ211" i="12" s="1"/>
  <c r="AQ231" i="12"/>
  <c r="AQ400" i="12"/>
  <c r="AQ222" i="12"/>
  <c r="AQ508" i="12"/>
  <c r="AQ277" i="12"/>
  <c r="AQ270" i="12"/>
  <c r="AQ260" i="12"/>
  <c r="AQ412" i="12"/>
  <c r="AQ325" i="12"/>
  <c r="AQ252" i="12"/>
  <c r="AQ288" i="12"/>
  <c r="AQ239" i="12"/>
  <c r="AQ265" i="12"/>
  <c r="AQ248" i="12"/>
  <c r="AQ457" i="12"/>
  <c r="AQ303" i="12"/>
  <c r="AQ255" i="12"/>
  <c r="AQ310" i="12"/>
  <c r="AQ492" i="12"/>
  <c r="AQ456" i="12"/>
  <c r="AQ214" i="12"/>
  <c r="AQ409" i="12"/>
  <c r="AQ364" i="12"/>
  <c r="AQ470" i="12"/>
  <c r="AQ343" i="12"/>
  <c r="AQ434" i="12"/>
  <c r="AQ299" i="12"/>
  <c r="AQ485" i="12"/>
  <c r="AQ328" i="12"/>
  <c r="AQ342" i="12"/>
  <c r="AQ451" i="12"/>
  <c r="AQ442" i="12"/>
  <c r="AQ309" i="12"/>
  <c r="AQ502" i="12"/>
  <c r="AQ253" i="12"/>
  <c r="AQ345" i="12"/>
  <c r="AQ314" i="12"/>
  <c r="AQ362" i="12"/>
  <c r="AQ463" i="12"/>
  <c r="AQ230" i="12"/>
  <c r="AQ396" i="12"/>
  <c r="AQ430" i="12"/>
  <c r="AQ296" i="12"/>
  <c r="AQ494" i="12"/>
  <c r="AQ340" i="12"/>
  <c r="AQ380" i="12"/>
  <c r="AQ334" i="12"/>
  <c r="AQ496" i="12"/>
  <c r="AQ395" i="12"/>
  <c r="AQ291" i="12"/>
  <c r="AQ486" i="12"/>
  <c r="AQ246" i="12"/>
  <c r="AQ205" i="12"/>
  <c r="AQ218" i="12"/>
  <c r="AQ327" i="12"/>
  <c r="AQ428" i="12"/>
  <c r="AQ464" i="12"/>
  <c r="AQ208" i="12"/>
  <c r="AQ425" i="12"/>
  <c r="AQ337" i="12"/>
  <c r="AQ466" i="12"/>
  <c r="AQ287" i="12"/>
  <c r="AQ417" i="12"/>
  <c r="AQ387" i="12"/>
  <c r="AQ460" i="12"/>
  <c r="AQ367" i="12"/>
  <c r="AQ350" i="12"/>
  <c r="AQ450" i="12"/>
  <c r="AQ219" i="12"/>
  <c r="AQ382" i="12"/>
  <c r="AQ397" i="12"/>
  <c r="AQ482" i="12"/>
  <c r="AQ388" i="12"/>
  <c r="AQ329" i="12"/>
  <c r="AQ447" i="12"/>
  <c r="AQ509" i="12"/>
  <c r="AQ223" i="12"/>
  <c r="AQ269" i="12"/>
  <c r="AQ268" i="12"/>
  <c r="AQ403" i="12"/>
  <c r="AQ437" i="12"/>
  <c r="AQ266" i="12"/>
  <c r="AQ283" i="12"/>
  <c r="AQ274" i="12"/>
  <c r="AQ198" i="12"/>
  <c r="AQ199" i="12" s="1"/>
  <c r="AQ200" i="12" s="1"/>
  <c r="AQ201" i="12" s="1"/>
  <c r="AQ254" i="12"/>
  <c r="AQ448" i="12"/>
  <c r="AQ358" i="12"/>
  <c r="AQ207" i="12"/>
  <c r="AQ292" i="12"/>
  <c r="AQ262" i="12"/>
  <c r="AQ251" i="12"/>
  <c r="AQ503" i="12"/>
  <c r="AQ202" i="12"/>
  <c r="AQ203" i="12" s="1"/>
  <c r="AQ278" i="12"/>
  <c r="AQ275" i="12"/>
  <c r="AQ267" i="12"/>
  <c r="AQ221" i="12"/>
  <c r="AQ250" i="12"/>
  <c r="AQ226" i="12"/>
  <c r="AQ234" i="12"/>
  <c r="AQ349" i="12"/>
  <c r="AQ411" i="12"/>
  <c r="AQ315" i="12"/>
  <c r="AQ495" i="12"/>
  <c r="AQ190" i="12"/>
  <c r="AQ191" i="12" s="1"/>
  <c r="AQ192" i="12" s="1"/>
  <c r="AQ336" i="12"/>
  <c r="AQ424" i="12"/>
  <c r="AQ465" i="12"/>
  <c r="AQ351" i="12"/>
  <c r="AQ426" i="12"/>
  <c r="AQ308" i="12"/>
  <c r="AQ489" i="12"/>
  <c r="AQ401" i="12"/>
  <c r="AQ478" i="12"/>
  <c r="AQ281" i="12"/>
  <c r="AQ209" i="12"/>
  <c r="AQ321" i="12"/>
  <c r="AQ418" i="12"/>
  <c r="AQ316" i="12"/>
  <c r="AQ499" i="12"/>
  <c r="AQ353" i="12"/>
  <c r="AQ408" i="12"/>
  <c r="AQ461" i="12"/>
  <c r="AQ384" i="12"/>
  <c r="AQ407" i="12"/>
  <c r="AQ313" i="12"/>
  <c r="AQ497" i="12"/>
  <c r="AQ376" i="12"/>
  <c r="AQ475" i="12"/>
  <c r="AQ365" i="12"/>
  <c r="AQ317" i="12"/>
  <c r="AQ389" i="12"/>
  <c r="AQ468" i="12"/>
  <c r="AQ347" i="12"/>
  <c r="AQ435" i="12"/>
  <c r="AQ324" i="12"/>
  <c r="AQ505" i="12"/>
  <c r="AQ224" i="12"/>
  <c r="AQ225" i="12" s="1"/>
  <c r="AQ413" i="12"/>
  <c r="AQ370" i="12"/>
  <c r="AQ453" i="12"/>
  <c r="AQ360" i="12"/>
  <c r="AQ312" i="12"/>
  <c r="AQ500" i="12"/>
  <c r="AQ238" i="12"/>
  <c r="AQ332" i="12"/>
  <c r="AQ354" i="12"/>
  <c r="AQ454" i="12"/>
  <c r="AQ410" i="12"/>
  <c r="AQ304" i="12"/>
  <c r="AQ493" i="12"/>
  <c r="AQ6" i="12"/>
  <c r="AV6" i="12" l="1"/>
  <c r="AW7" i="12" s="1"/>
  <c r="AQ7" i="12"/>
  <c r="AQ8" i="12"/>
  <c r="AV7" i="12" l="1"/>
  <c r="AW8" i="12" s="1"/>
  <c r="AV8" i="12"/>
  <c r="AW9" i="12" s="1"/>
  <c r="BA6" i="12"/>
  <c r="AQ9" i="12"/>
  <c r="AV9" i="12" l="1"/>
  <c r="AW10" i="12" s="1"/>
  <c r="BA7" i="12"/>
  <c r="BC6" i="12"/>
  <c r="BA8" i="12"/>
  <c r="AQ10" i="12"/>
  <c r="AV10" i="12" l="1"/>
  <c r="AW11" i="12" s="1"/>
  <c r="BC7" i="12"/>
  <c r="BC8" i="12"/>
  <c r="AQ11" i="12"/>
  <c r="AV11" i="12" l="1"/>
  <c r="AW12" i="12" s="1"/>
  <c r="AQ12" i="12"/>
  <c r="BA9" i="12"/>
  <c r="AV12" i="12" l="1"/>
  <c r="AW13" i="12" s="1"/>
  <c r="AQ13" i="12"/>
  <c r="AV13" i="12" s="1"/>
  <c r="AW14" i="12" s="1"/>
  <c r="BC9" i="12"/>
  <c r="BA10" i="12"/>
  <c r="AQ14" i="12" l="1"/>
  <c r="AV14" i="12" s="1"/>
  <c r="AW15" i="12" s="1"/>
  <c r="AQ20" i="12"/>
  <c r="BC10" i="12"/>
  <c r="AQ21" i="12"/>
  <c r="AQ15" i="12" l="1"/>
  <c r="AV15" i="12" s="1"/>
  <c r="AW16" i="12" s="1"/>
  <c r="BA11" i="12"/>
  <c r="AQ22" i="12"/>
  <c r="AQ16" i="12" l="1"/>
  <c r="AV16" i="12" s="1"/>
  <c r="AW17" i="12" s="1"/>
  <c r="BA12" i="12"/>
  <c r="BC11" i="12"/>
  <c r="AQ23" i="12"/>
  <c r="AQ17" i="12" l="1"/>
  <c r="AV17" i="12" s="1"/>
  <c r="AW18" i="12" s="1"/>
  <c r="BA13" i="12"/>
  <c r="BA14" i="12" s="1"/>
  <c r="BC12" i="12"/>
  <c r="AQ24" i="12"/>
  <c r="BC13" i="12" l="1"/>
  <c r="AQ18" i="12"/>
  <c r="AV18" i="12" s="1"/>
  <c r="AW19" i="12" s="1"/>
  <c r="BC14" i="12"/>
  <c r="BA15" i="12"/>
  <c r="AQ25" i="12"/>
  <c r="AQ19" i="12" l="1"/>
  <c r="AV24" i="12" s="1"/>
  <c r="AW25" i="12" s="1"/>
  <c r="BC15" i="12"/>
  <c r="AQ26" i="12"/>
  <c r="BA16" i="12"/>
  <c r="AV26" i="12" l="1"/>
  <c r="AW27" i="12" s="1"/>
  <c r="AV22" i="12"/>
  <c r="AW23" i="12" s="1"/>
  <c r="AV23" i="12"/>
  <c r="AW24" i="12" s="1"/>
  <c r="AV19" i="12"/>
  <c r="AW20" i="12" s="1"/>
  <c r="AV21" i="12"/>
  <c r="AW22" i="12" s="1"/>
  <c r="AV20" i="12"/>
  <c r="AW21" i="12" s="1"/>
  <c r="AV25" i="12"/>
  <c r="AW26" i="12" s="1"/>
  <c r="BA17" i="12"/>
  <c r="BC16" i="12"/>
  <c r="AQ27" i="12"/>
  <c r="AV27" i="12" s="1"/>
  <c r="AW28" i="12" s="1"/>
  <c r="BA18" i="12" l="1"/>
  <c r="BC17" i="12"/>
  <c r="AQ28" i="12"/>
  <c r="AV28" i="12" s="1"/>
  <c r="AW29" i="12" s="1"/>
  <c r="BC18" i="12" l="1"/>
  <c r="AQ29" i="12"/>
  <c r="AV29" i="12" s="1"/>
  <c r="AW30" i="12" s="1"/>
  <c r="BA19" i="12"/>
  <c r="BA20" i="12" l="1"/>
  <c r="BC19" i="12"/>
  <c r="AQ30" i="12"/>
  <c r="AV30" i="12" s="1"/>
  <c r="AW31" i="12" s="1"/>
  <c r="BH6" i="12"/>
  <c r="BC20" i="12" l="1"/>
  <c r="BA21" i="12"/>
  <c r="AQ31" i="12"/>
  <c r="AV31" i="12" s="1"/>
  <c r="AW32" i="12" s="1"/>
  <c r="BK6" i="12"/>
  <c r="BH7" i="12"/>
  <c r="BC21" i="12" l="1"/>
  <c r="AQ32" i="12"/>
  <c r="AV32" i="12" s="1"/>
  <c r="AW33" i="12" s="1"/>
  <c r="BA22" i="12"/>
  <c r="BA23" i="12" s="1"/>
  <c r="BK7" i="12"/>
  <c r="BH8" i="12"/>
  <c r="BK8" i="12" s="1"/>
  <c r="BC23" i="12" l="1"/>
  <c r="BC22" i="12"/>
  <c r="AQ33" i="12"/>
  <c r="AV33" i="12" s="1"/>
  <c r="AW34" i="12" s="1"/>
  <c r="BH9" i="12"/>
  <c r="BK9" i="12" s="1"/>
  <c r="AQ34" i="12" l="1"/>
  <c r="AV34" i="12" s="1"/>
  <c r="AW35" i="12" s="1"/>
  <c r="BA24" i="12"/>
  <c r="BH10" i="12"/>
  <c r="BK10" i="12" s="1"/>
  <c r="BC24" i="12" l="1"/>
  <c r="AQ35" i="12"/>
  <c r="AV35" i="12" s="1"/>
  <c r="AW36" i="12" s="1"/>
  <c r="BA25" i="12"/>
  <c r="BH11" i="12"/>
  <c r="BK11" i="12" s="1"/>
  <c r="BA26" i="12" l="1"/>
  <c r="BC25" i="12"/>
  <c r="AQ36" i="12"/>
  <c r="AV36" i="12" s="1"/>
  <c r="AW37" i="12" s="1"/>
  <c r="BH12" i="12"/>
  <c r="BK12" i="12" s="1"/>
  <c r="BA27" i="12" l="1"/>
  <c r="BA28" i="12" s="1"/>
  <c r="BC26" i="12"/>
  <c r="AQ37" i="12"/>
  <c r="AV37" i="12" s="1"/>
  <c r="AW38" i="12" s="1"/>
  <c r="BH13" i="12"/>
  <c r="BK13" i="12" s="1"/>
  <c r="BC27" i="12" l="1"/>
  <c r="BC28" i="12"/>
  <c r="AQ38" i="12"/>
  <c r="AV38" i="12" s="1"/>
  <c r="AW39" i="12" s="1"/>
  <c r="BA29" i="12"/>
  <c r="BH14" i="12"/>
  <c r="BK14" i="12" s="1"/>
  <c r="BC29" i="12" l="1"/>
  <c r="AQ39" i="12"/>
  <c r="AV39" i="12" s="1"/>
  <c r="AW40" i="12" s="1"/>
  <c r="BH15" i="12"/>
  <c r="BK15" i="12" s="1"/>
  <c r="AQ40" i="12" l="1"/>
  <c r="AV40" i="12" s="1"/>
  <c r="AW41" i="12" s="1"/>
  <c r="BA30" i="12"/>
  <c r="BH16" i="12"/>
  <c r="BK16" i="12" s="1"/>
  <c r="BC30" i="12" l="1"/>
  <c r="AQ41" i="12"/>
  <c r="AV41" i="12" s="1"/>
  <c r="AW42" i="12" s="1"/>
  <c r="BA31" i="12"/>
  <c r="BH17" i="12"/>
  <c r="BK17" i="12" s="1"/>
  <c r="BA32" i="12" l="1"/>
  <c r="BC31" i="12"/>
  <c r="AQ42" i="12"/>
  <c r="AV42" i="12" s="1"/>
  <c r="AW43" i="12" s="1"/>
  <c r="BH18" i="12"/>
  <c r="BK18" i="12" s="1"/>
  <c r="BN2" i="12" s="1"/>
  <c r="BC32" i="12" l="1"/>
  <c r="BA33" i="12"/>
  <c r="AQ43" i="12"/>
  <c r="AV43" i="12" s="1"/>
  <c r="AW44" i="12" s="1"/>
  <c r="BH19" i="12"/>
  <c r="BC33" i="12" l="1"/>
  <c r="AQ44" i="12"/>
  <c r="AV44" i="12" s="1"/>
  <c r="AW45" i="12" s="1"/>
  <c r="BA34" i="12"/>
  <c r="BA35" i="12" s="1"/>
  <c r="BH20" i="12"/>
  <c r="BC35" i="12" l="1"/>
  <c r="BC34" i="12"/>
  <c r="AQ45" i="12"/>
  <c r="AV45" i="12" s="1"/>
  <c r="AW46" i="12" s="1"/>
  <c r="BH21" i="12"/>
  <c r="BA36" i="12" l="1"/>
  <c r="AQ46" i="12"/>
  <c r="AV46" i="12" s="1"/>
  <c r="AW47" i="12" s="1"/>
  <c r="BH22" i="12"/>
  <c r="BC36" i="12" l="1"/>
  <c r="AQ47" i="12"/>
  <c r="AV47" i="12" s="1"/>
  <c r="AW48" i="12" s="1"/>
  <c r="BA37" i="12"/>
  <c r="BH23" i="12"/>
  <c r="BA38" i="12" l="1"/>
  <c r="BC37" i="12"/>
  <c r="AQ48" i="12"/>
  <c r="AV48" i="12" s="1"/>
  <c r="AW49" i="12" s="1"/>
  <c r="BH24" i="12"/>
  <c r="BA39" i="12" l="1"/>
  <c r="BC38" i="12"/>
  <c r="AQ49" i="12"/>
  <c r="AV49" i="12" s="1"/>
  <c r="AW50" i="12" s="1"/>
  <c r="BH25" i="12"/>
  <c r="BC39" i="12" l="1"/>
  <c r="AQ50" i="12"/>
  <c r="AV50" i="12" s="1"/>
  <c r="AW51" i="12" s="1"/>
  <c r="BA40" i="12"/>
  <c r="BH26" i="12"/>
  <c r="BA41" i="12" l="1"/>
  <c r="BA42" i="12" s="1"/>
  <c r="BC40" i="12"/>
  <c r="AQ51" i="12"/>
  <c r="AV51" i="12" s="1"/>
  <c r="AW52" i="12" s="1"/>
  <c r="BH27" i="12"/>
  <c r="BC41" i="12" l="1"/>
  <c r="BC42" i="12"/>
  <c r="AQ52" i="12"/>
  <c r="AV52" i="12" s="1"/>
  <c r="AW53" i="12" s="1"/>
  <c r="BH28" i="12"/>
  <c r="AQ53" i="12" l="1"/>
  <c r="AV53" i="12" s="1"/>
  <c r="AW54" i="12" s="1"/>
  <c r="BA43" i="12"/>
  <c r="BH29" i="12"/>
  <c r="BA44" i="12" l="1"/>
  <c r="BC43" i="12"/>
  <c r="AQ54" i="12"/>
  <c r="AV54" i="12" s="1"/>
  <c r="AW55" i="12" s="1"/>
  <c r="BH30" i="12"/>
  <c r="BC44" i="12" l="1"/>
  <c r="BA45" i="12"/>
  <c r="AQ55" i="12"/>
  <c r="AV55" i="12" s="1"/>
  <c r="AW56" i="12" s="1"/>
  <c r="BH31" i="12"/>
  <c r="BC45" i="12" l="1"/>
  <c r="AQ56" i="12"/>
  <c r="AV56" i="12" s="1"/>
  <c r="AW57" i="12" s="1"/>
  <c r="BA46" i="12"/>
  <c r="BH32" i="12"/>
  <c r="BA47" i="12" l="1"/>
  <c r="BC46" i="12"/>
  <c r="AQ57" i="12"/>
  <c r="AV57" i="12" s="1"/>
  <c r="AW58" i="12" s="1"/>
  <c r="BH33" i="12"/>
  <c r="BA48" i="12" l="1"/>
  <c r="BC47" i="12"/>
  <c r="AQ58" i="12"/>
  <c r="AV58" i="12" s="1"/>
  <c r="AW59" i="12" s="1"/>
  <c r="BH34" i="12"/>
  <c r="BC48" i="12" l="1"/>
  <c r="BA49" i="12"/>
  <c r="AQ59" i="12"/>
  <c r="AV59" i="12" s="1"/>
  <c r="AW60" i="12" s="1"/>
  <c r="BH35" i="12"/>
  <c r="BA50" i="12" l="1"/>
  <c r="BC49" i="12"/>
  <c r="AQ60" i="12"/>
  <c r="AV60" i="12" s="1"/>
  <c r="AW61" i="12" s="1"/>
  <c r="BH36" i="12"/>
  <c r="BC50" i="12" l="1"/>
  <c r="AQ61" i="12"/>
  <c r="AV61" i="12" s="1"/>
  <c r="AW62" i="12" s="1"/>
  <c r="BA51" i="12"/>
  <c r="BH37" i="12"/>
  <c r="AQ62" i="12" l="1"/>
  <c r="AV62" i="12" s="1"/>
  <c r="AW63" i="12" s="1"/>
  <c r="BC51" i="12"/>
  <c r="BA52" i="12"/>
  <c r="BH38" i="12"/>
  <c r="BA53" i="12" l="1"/>
  <c r="AQ63" i="12"/>
  <c r="AV63" i="12" s="1"/>
  <c r="AW64" i="12" s="1"/>
  <c r="BC52" i="12"/>
  <c r="BA54" i="12"/>
  <c r="BH39" i="12"/>
  <c r="BC53" i="12" l="1"/>
  <c r="AQ64" i="12"/>
  <c r="AV64" i="12" s="1"/>
  <c r="AW65" i="12" s="1"/>
  <c r="BC54" i="12"/>
  <c r="BA55" i="12"/>
  <c r="BH40" i="12"/>
  <c r="AQ65" i="12" l="1"/>
  <c r="AV65" i="12" s="1"/>
  <c r="AW66" i="12" s="1"/>
  <c r="BC55" i="12"/>
  <c r="BH41" i="12"/>
  <c r="BA56" i="12" l="1"/>
  <c r="AQ66" i="12"/>
  <c r="AV66" i="12" s="1"/>
  <c r="AW67" i="12" s="1"/>
  <c r="BH42" i="12"/>
  <c r="BC56" i="12" l="1"/>
  <c r="AQ67" i="12"/>
  <c r="AV67" i="12" s="1"/>
  <c r="AW68" i="12" s="1"/>
  <c r="BA57" i="12"/>
  <c r="BH43" i="12"/>
  <c r="AQ68" i="12" l="1"/>
  <c r="AV68" i="12" s="1"/>
  <c r="AW69" i="12" s="1"/>
  <c r="BC57" i="12"/>
  <c r="BA58" i="12"/>
  <c r="BH44" i="12"/>
  <c r="BA59" i="12" l="1"/>
  <c r="AQ69" i="12"/>
  <c r="AV69" i="12" s="1"/>
  <c r="AW70" i="12" s="1"/>
  <c r="BC58" i="12"/>
  <c r="BH45" i="12"/>
  <c r="BC59" i="12" l="1"/>
  <c r="AQ70" i="12"/>
  <c r="AV70" i="12" s="1"/>
  <c r="AW71" i="12" s="1"/>
  <c r="BA60" i="12"/>
  <c r="BH46" i="12"/>
  <c r="AQ71" i="12" l="1"/>
  <c r="AV71" i="12" s="1"/>
  <c r="AW72" i="12" s="1"/>
  <c r="BC60" i="12"/>
  <c r="BA61" i="12"/>
  <c r="BH47" i="12"/>
  <c r="BA62" i="12" l="1"/>
  <c r="AQ72" i="12"/>
  <c r="AV72" i="12" s="1"/>
  <c r="AW73" i="12" s="1"/>
  <c r="BC61" i="12"/>
  <c r="BH48" i="12"/>
  <c r="BC62" i="12" l="1"/>
  <c r="AQ73" i="12"/>
  <c r="AV73" i="12" s="1"/>
  <c r="AW74" i="12" s="1"/>
  <c r="BA63" i="12"/>
  <c r="BH49" i="12"/>
  <c r="AQ74" i="12" l="1"/>
  <c r="AV74" i="12" s="1"/>
  <c r="AW75" i="12" s="1"/>
  <c r="BC63" i="12"/>
  <c r="BA64" i="12"/>
  <c r="BH50" i="12"/>
  <c r="BA65" i="12" l="1"/>
  <c r="AQ75" i="12"/>
  <c r="AV75" i="12" s="1"/>
  <c r="AW76" i="12" s="1"/>
  <c r="BC64" i="12"/>
  <c r="BH51" i="12"/>
  <c r="BC65" i="12" l="1"/>
  <c r="AQ76" i="12"/>
  <c r="AV76" i="12" s="1"/>
  <c r="AW77" i="12" s="1"/>
  <c r="BA66" i="12"/>
  <c r="BA67" i="12"/>
  <c r="BH52" i="12"/>
  <c r="AQ77" i="12" l="1"/>
  <c r="AV77" i="12" s="1"/>
  <c r="AW78" i="12" s="1"/>
  <c r="BC67" i="12"/>
  <c r="BC66" i="12"/>
  <c r="BH53" i="12"/>
  <c r="BA68" i="12" l="1"/>
  <c r="AQ78" i="12"/>
  <c r="AV78" i="12" s="1"/>
  <c r="AW79" i="12" s="1"/>
  <c r="BH54" i="12"/>
  <c r="BC68" i="12" l="1"/>
  <c r="AQ79" i="12"/>
  <c r="AV79" i="12" s="1"/>
  <c r="AW80" i="12" s="1"/>
  <c r="BA69" i="12"/>
  <c r="BH55" i="12"/>
  <c r="AQ80" i="12" l="1"/>
  <c r="AV80" i="12" s="1"/>
  <c r="AW81" i="12" s="1"/>
  <c r="BC69" i="12"/>
  <c r="BA70" i="12"/>
  <c r="BA71" i="12" s="1"/>
  <c r="BH56" i="12"/>
  <c r="AQ81" i="12" l="1"/>
  <c r="AV81" i="12" s="1"/>
  <c r="AW82" i="12" s="1"/>
  <c r="BC71" i="12"/>
  <c r="BC70" i="12"/>
  <c r="BH57" i="12"/>
  <c r="AQ82" i="12" l="1"/>
  <c r="AV82" i="12" s="1"/>
  <c r="AW83" i="12" s="1"/>
  <c r="BA72" i="12"/>
  <c r="BH58" i="12"/>
  <c r="BA73" i="12" l="1"/>
  <c r="AQ83" i="12"/>
  <c r="AV83" i="12" s="1"/>
  <c r="AW84" i="12" s="1"/>
  <c r="BC72" i="12"/>
  <c r="BH59" i="12"/>
  <c r="BC73" i="12" l="1"/>
  <c r="BA74" i="12"/>
  <c r="AQ84" i="12"/>
  <c r="AV84" i="12" s="1"/>
  <c r="AW85" i="12" s="1"/>
  <c r="BH60" i="12"/>
  <c r="BC74" i="12" l="1"/>
  <c r="BA75" i="12"/>
  <c r="AQ85" i="12"/>
  <c r="AV85" i="12" s="1"/>
  <c r="AW86" i="12" s="1"/>
  <c r="BH61" i="12"/>
  <c r="BC75" i="12" l="1"/>
  <c r="AQ86" i="12"/>
  <c r="AV86" i="12" s="1"/>
  <c r="AW87" i="12" s="1"/>
  <c r="BA76" i="12"/>
  <c r="BH62" i="12"/>
  <c r="BA77" i="12" l="1"/>
  <c r="AQ87" i="12"/>
  <c r="AV87" i="12" s="1"/>
  <c r="AW88" i="12" s="1"/>
  <c r="BC76" i="12"/>
  <c r="BH63" i="12"/>
  <c r="BC77" i="12" l="1"/>
  <c r="AQ88" i="12"/>
  <c r="AV88" i="12" s="1"/>
  <c r="AW89" i="12" s="1"/>
  <c r="BA78" i="12"/>
  <c r="BH64" i="12"/>
  <c r="AQ89" i="12" l="1"/>
  <c r="AV89" i="12" s="1"/>
  <c r="AW90" i="12" s="1"/>
  <c r="BC78" i="12"/>
  <c r="BA79" i="12"/>
  <c r="BH65" i="12"/>
  <c r="BA80" i="12" l="1"/>
  <c r="AQ90" i="12"/>
  <c r="AV90" i="12" s="1"/>
  <c r="AW91" i="12" s="1"/>
  <c r="BC79" i="12"/>
  <c r="BH66" i="12"/>
  <c r="BC80" i="12" l="1"/>
  <c r="AQ91" i="12"/>
  <c r="AV91" i="12" s="1"/>
  <c r="AW92" i="12" s="1"/>
  <c r="BA81" i="12"/>
  <c r="BH67" i="12"/>
  <c r="BA82" i="12" l="1"/>
  <c r="BC81" i="12"/>
  <c r="AQ92" i="12"/>
  <c r="AV92" i="12" s="1"/>
  <c r="AW93" i="12" s="1"/>
  <c r="BH68" i="12"/>
  <c r="BC82" i="12" l="1"/>
  <c r="AQ93" i="12"/>
  <c r="AV93" i="12" s="1"/>
  <c r="AW94" i="12" s="1"/>
  <c r="BA83" i="12"/>
  <c r="BH69" i="12"/>
  <c r="AQ94" i="12" l="1"/>
  <c r="AV94" i="12" s="1"/>
  <c r="AW95" i="12" s="1"/>
  <c r="BC83" i="12"/>
  <c r="BA84" i="12"/>
  <c r="BH70" i="12"/>
  <c r="AQ95" i="12" l="1"/>
  <c r="AV95" i="12" s="1"/>
  <c r="AW96" i="12" s="1"/>
  <c r="BC84" i="12"/>
  <c r="BA85" i="12"/>
  <c r="BH71" i="12"/>
  <c r="AQ96" i="12" l="1"/>
  <c r="AV96" i="12" s="1"/>
  <c r="AW97" i="12" s="1"/>
  <c r="BC85" i="12"/>
  <c r="BA86" i="12"/>
  <c r="BH72" i="12"/>
  <c r="BA87" i="12" l="1"/>
  <c r="AQ97" i="12"/>
  <c r="AV97" i="12" s="1"/>
  <c r="AW98" i="12" s="1"/>
  <c r="BC86" i="12"/>
  <c r="BH73" i="12"/>
  <c r="BC87" i="12" l="1"/>
  <c r="AQ98" i="12"/>
  <c r="AV98" i="12" s="1"/>
  <c r="AW99" i="12" s="1"/>
  <c r="BA88" i="12"/>
  <c r="BH74" i="12"/>
  <c r="BA89" i="12" l="1"/>
  <c r="AQ99" i="12"/>
  <c r="AV99" i="12" s="1"/>
  <c r="AW100" i="12" s="1"/>
  <c r="BC88" i="12"/>
  <c r="BH75" i="12"/>
  <c r="BC89" i="12" l="1"/>
  <c r="AQ100" i="12"/>
  <c r="AV100" i="12" s="1"/>
  <c r="AW101" i="12" s="1"/>
  <c r="BA90" i="12"/>
  <c r="BH76" i="12"/>
  <c r="BA91" i="12" l="1"/>
  <c r="AQ101" i="12"/>
  <c r="AV101" i="12" s="1"/>
  <c r="AW102" i="12" s="1"/>
  <c r="BC90" i="12"/>
  <c r="BH77" i="12"/>
  <c r="BC91" i="12" l="1"/>
  <c r="AQ102" i="12"/>
  <c r="AV102" i="12" s="1"/>
  <c r="AW103" i="12" s="1"/>
  <c r="BA92" i="12"/>
  <c r="BH78" i="12"/>
  <c r="BA93" i="12" l="1"/>
  <c r="AQ103" i="12"/>
  <c r="AV103" i="12" s="1"/>
  <c r="AW104" i="12" s="1"/>
  <c r="BC92" i="12"/>
  <c r="BH79" i="12"/>
  <c r="BA94" i="12" l="1"/>
  <c r="BC93" i="12"/>
  <c r="AQ104" i="12"/>
  <c r="AV104" i="12" s="1"/>
  <c r="AW105" i="12" s="1"/>
  <c r="BH80" i="12"/>
  <c r="BC94" i="12" l="1"/>
  <c r="AQ105" i="12"/>
  <c r="AV105" i="12" s="1"/>
  <c r="AW106" i="12" s="1"/>
  <c r="BA95" i="12"/>
  <c r="BH81" i="12"/>
  <c r="AQ106" i="12" l="1"/>
  <c r="AV106" i="12" s="1"/>
  <c r="AW107" i="12" s="1"/>
  <c r="BC95" i="12"/>
  <c r="BA96" i="12"/>
  <c r="BH82" i="12"/>
  <c r="AQ107" i="12" l="1"/>
  <c r="AV107" i="12" s="1"/>
  <c r="AW108" i="12" s="1"/>
  <c r="BC96" i="12"/>
  <c r="BA97" i="12"/>
  <c r="BH83" i="12"/>
  <c r="BA98" i="12" l="1"/>
  <c r="AQ108" i="12"/>
  <c r="AV108" i="12" s="1"/>
  <c r="AW109" i="12" s="1"/>
  <c r="BC97" i="12"/>
  <c r="BH84" i="12"/>
  <c r="BC98" i="12" l="1"/>
  <c r="AQ109" i="12"/>
  <c r="AV109" i="12" s="1"/>
  <c r="AW110" i="12" s="1"/>
  <c r="BA99" i="12"/>
  <c r="BH85" i="12"/>
  <c r="AQ110" i="12" l="1"/>
  <c r="AV110" i="12" s="1"/>
  <c r="AW111" i="12" s="1"/>
  <c r="BC99" i="12"/>
  <c r="BA100" i="12"/>
  <c r="BH86" i="12"/>
  <c r="BA101" i="12" l="1"/>
  <c r="AQ111" i="12"/>
  <c r="AV111" i="12" s="1"/>
  <c r="AW112" i="12" s="1"/>
  <c r="BC100" i="12"/>
  <c r="BH87" i="12"/>
  <c r="BC101" i="12" l="1"/>
  <c r="AQ112" i="12"/>
  <c r="AV112" i="12" s="1"/>
  <c r="AW113" i="12" s="1"/>
  <c r="BA102" i="12"/>
  <c r="BH88" i="12"/>
  <c r="BA103" i="12" l="1"/>
  <c r="AQ113" i="12"/>
  <c r="AV113" i="12" s="1"/>
  <c r="AW114" i="12" s="1"/>
  <c r="BC102" i="12"/>
  <c r="BH89" i="12"/>
  <c r="BC103" i="12" l="1"/>
  <c r="BA104" i="12"/>
  <c r="AQ114" i="12"/>
  <c r="AV114" i="12" s="1"/>
  <c r="AW115" i="12" s="1"/>
  <c r="BH90" i="12"/>
  <c r="BA105" i="12" l="1"/>
  <c r="BC104" i="12"/>
  <c r="AQ115" i="12"/>
  <c r="AV115" i="12" s="1"/>
  <c r="AW116" i="12" s="1"/>
  <c r="BH91" i="12"/>
  <c r="BC105" i="12" l="1"/>
  <c r="AQ116" i="12"/>
  <c r="AV116" i="12" s="1"/>
  <c r="AW117" i="12" s="1"/>
  <c r="BA106" i="12"/>
  <c r="BA107" i="12"/>
  <c r="BH92" i="12"/>
  <c r="AQ117" i="12" l="1"/>
  <c r="AV117" i="12" s="1"/>
  <c r="AW118" i="12" s="1"/>
  <c r="BC107" i="12"/>
  <c r="BC106" i="12"/>
  <c r="BH93" i="12"/>
  <c r="AQ118" i="12" l="1"/>
  <c r="AV118" i="12" s="1"/>
  <c r="AW119" i="12" s="1"/>
  <c r="BA108" i="12"/>
  <c r="BH94" i="12"/>
  <c r="BA109" i="12" l="1"/>
  <c r="AQ119" i="12"/>
  <c r="AV119" i="12" s="1"/>
  <c r="AW120" i="12" s="1"/>
  <c r="BC108" i="12"/>
  <c r="BH95" i="12"/>
  <c r="BC109" i="12" l="1"/>
  <c r="BA110" i="12"/>
  <c r="AQ120" i="12"/>
  <c r="AV120" i="12" s="1"/>
  <c r="AW121" i="12" s="1"/>
  <c r="BH96" i="12"/>
  <c r="BA111" i="12" l="1"/>
  <c r="BC110" i="12"/>
  <c r="AQ121" i="12"/>
  <c r="AV121" i="12" s="1"/>
  <c r="AW122" i="12" s="1"/>
  <c r="BH97" i="12"/>
  <c r="BC111" i="12" l="1"/>
  <c r="AQ122" i="12"/>
  <c r="AV122" i="12" s="1"/>
  <c r="AW123" i="12" s="1"/>
  <c r="BA112" i="12"/>
  <c r="BH98" i="12"/>
  <c r="BA113" i="12" l="1"/>
  <c r="AQ123" i="12"/>
  <c r="AV123" i="12" s="1"/>
  <c r="AW124" i="12" s="1"/>
  <c r="BC112" i="12"/>
  <c r="BH99" i="12"/>
  <c r="BC113" i="12" l="1"/>
  <c r="AQ124" i="12"/>
  <c r="AV124" i="12" s="1"/>
  <c r="AW125" i="12" s="1"/>
  <c r="BA114" i="12"/>
  <c r="BH100" i="12"/>
  <c r="BA115" i="12" l="1"/>
  <c r="AQ125" i="12"/>
  <c r="AV125" i="12" s="1"/>
  <c r="AW126" i="12" s="1"/>
  <c r="BC114" i="12"/>
  <c r="BH101" i="12"/>
  <c r="BC115" i="12" l="1"/>
  <c r="BA116" i="12"/>
  <c r="AQ126" i="12"/>
  <c r="AV126" i="12" s="1"/>
  <c r="AW127" i="12" s="1"/>
  <c r="BH102" i="12"/>
  <c r="AQ127" i="12" l="1"/>
  <c r="AV127" i="12" s="1"/>
  <c r="AW128" i="12" s="1"/>
  <c r="BA117" i="12"/>
  <c r="BC116" i="12"/>
  <c r="BH103" i="12"/>
  <c r="AQ128" i="12" l="1"/>
  <c r="AV128" i="12" s="1"/>
  <c r="AW129" i="12" s="1"/>
  <c r="BC117" i="12"/>
  <c r="BA118" i="12"/>
  <c r="BH104" i="12"/>
  <c r="AQ129" i="12" l="1"/>
  <c r="AV129" i="12" s="1"/>
  <c r="AW130" i="12" s="1"/>
  <c r="BA119" i="12"/>
  <c r="BA120" i="12" s="1"/>
  <c r="BC118" i="12"/>
  <c r="BH105" i="12"/>
  <c r="AQ130" i="12" l="1"/>
  <c r="AV130" i="12" s="1"/>
  <c r="AW131" i="12" s="1"/>
  <c r="BC119" i="12"/>
  <c r="BC120" i="12"/>
  <c r="BH106" i="12"/>
  <c r="AQ131" i="12" l="1"/>
  <c r="AV131" i="12" s="1"/>
  <c r="AW132" i="12" s="1"/>
  <c r="BA121" i="12"/>
  <c r="BH107" i="12"/>
  <c r="AQ132" i="12" l="1"/>
  <c r="AV132" i="12" s="1"/>
  <c r="AW133" i="12" s="1"/>
  <c r="BC121" i="12"/>
  <c r="BA122" i="12"/>
  <c r="BH108" i="12"/>
  <c r="AQ133" i="12" l="1"/>
  <c r="AV133" i="12" s="1"/>
  <c r="AW134" i="12" s="1"/>
  <c r="BA123" i="12"/>
  <c r="BC122" i="12"/>
  <c r="BH109" i="12"/>
  <c r="AQ134" i="12" l="1"/>
  <c r="AV134" i="12" s="1"/>
  <c r="AW135" i="12" s="1"/>
  <c r="BC123" i="12"/>
  <c r="BA124" i="12"/>
  <c r="BA125" i="12"/>
  <c r="BH110" i="12"/>
  <c r="AQ135" i="12" l="1"/>
  <c r="AV135" i="12" s="1"/>
  <c r="AW136" i="12" s="1"/>
  <c r="BC125" i="12"/>
  <c r="BC124" i="12"/>
  <c r="BH111" i="12"/>
  <c r="AQ136" i="12" l="1"/>
  <c r="AV136" i="12" s="1"/>
  <c r="AW137" i="12" s="1"/>
  <c r="BA126" i="12"/>
  <c r="BH112" i="12"/>
  <c r="AQ137" i="12" l="1"/>
  <c r="AV137" i="12" s="1"/>
  <c r="AW138" i="12" s="1"/>
  <c r="BA127" i="12"/>
  <c r="BC126" i="12"/>
  <c r="BH113" i="12"/>
  <c r="AQ138" i="12" l="1"/>
  <c r="AV138" i="12" s="1"/>
  <c r="AW139" i="12" s="1"/>
  <c r="BC127" i="12"/>
  <c r="BA128" i="12"/>
  <c r="BA129" i="12"/>
  <c r="BH114" i="12"/>
  <c r="AQ139" i="12" l="1"/>
  <c r="AV139" i="12" s="1"/>
  <c r="AW140" i="12" s="1"/>
  <c r="BC129" i="12"/>
  <c r="BC128" i="12"/>
  <c r="BH115" i="12"/>
  <c r="AQ140" i="12" l="1"/>
  <c r="AV140" i="12" s="1"/>
  <c r="AW141" i="12" s="1"/>
  <c r="BA130" i="12"/>
  <c r="BH116" i="12"/>
  <c r="AQ141" i="12" l="1"/>
  <c r="AV141" i="12" s="1"/>
  <c r="AW142" i="12" s="1"/>
  <c r="BA131" i="12"/>
  <c r="BC130" i="12"/>
  <c r="BH117" i="12"/>
  <c r="AQ142" i="12" l="1"/>
  <c r="AV142" i="12" s="1"/>
  <c r="AW143" i="12" s="1"/>
  <c r="BC131" i="12"/>
  <c r="BA132" i="12"/>
  <c r="BH118" i="12"/>
  <c r="AQ143" i="12" l="1"/>
  <c r="AV143" i="12" s="1"/>
  <c r="AW144" i="12" s="1"/>
  <c r="BA133" i="12"/>
  <c r="BC132" i="12"/>
  <c r="BH119" i="12"/>
  <c r="AQ144" i="12" l="1"/>
  <c r="AV144" i="12" s="1"/>
  <c r="AW145" i="12" s="1"/>
  <c r="BC133" i="12"/>
  <c r="BA134" i="12"/>
  <c r="BA135" i="12"/>
  <c r="BH120" i="12"/>
  <c r="AQ145" i="12" l="1"/>
  <c r="AV145" i="12" s="1"/>
  <c r="AW146" i="12" s="1"/>
  <c r="BC135" i="12"/>
  <c r="BC134" i="12"/>
  <c r="BH121" i="12"/>
  <c r="AQ146" i="12" l="1"/>
  <c r="AV146" i="12" s="1"/>
  <c r="AW147" i="12" s="1"/>
  <c r="BA136" i="12"/>
  <c r="BH122" i="12"/>
  <c r="AQ147" i="12" l="1"/>
  <c r="AV147" i="12" s="1"/>
  <c r="AW148" i="12" s="1"/>
  <c r="BA137" i="12"/>
  <c r="BC136" i="12"/>
  <c r="BH123" i="12"/>
  <c r="AQ148" i="12" l="1"/>
  <c r="AV148" i="12" s="1"/>
  <c r="AW149" i="12" s="1"/>
  <c r="BC137" i="12"/>
  <c r="BA138" i="12"/>
  <c r="BA139" i="12"/>
  <c r="BH124" i="12"/>
  <c r="AQ149" i="12" l="1"/>
  <c r="AV149" i="12" s="1"/>
  <c r="AW150" i="12" s="1"/>
  <c r="BC139" i="12"/>
  <c r="BC138" i="12"/>
  <c r="BH125" i="12"/>
  <c r="AQ150" i="12" l="1"/>
  <c r="AV150" i="12" s="1"/>
  <c r="AW151" i="12" s="1"/>
  <c r="BA140" i="12"/>
  <c r="BH126" i="12"/>
  <c r="AQ151" i="12" l="1"/>
  <c r="AV151" i="12" s="1"/>
  <c r="AW152" i="12" s="1"/>
  <c r="BA141" i="12"/>
  <c r="BC140" i="12"/>
  <c r="BH127" i="12"/>
  <c r="AQ152" i="12" l="1"/>
  <c r="AV152" i="12" s="1"/>
  <c r="AW153" i="12" s="1"/>
  <c r="BC141" i="12"/>
  <c r="BA142" i="12"/>
  <c r="BH128" i="12"/>
  <c r="AQ153" i="12" l="1"/>
  <c r="AV153" i="12" s="1"/>
  <c r="AW154" i="12" s="1"/>
  <c r="BC142" i="12"/>
  <c r="BA143" i="12"/>
  <c r="BH129" i="12"/>
  <c r="AQ154" i="12" l="1"/>
  <c r="AV154" i="12" s="1"/>
  <c r="AW155" i="12" s="1"/>
  <c r="BC143" i="12"/>
  <c r="BH143" i="12" s="1"/>
  <c r="BA144" i="12"/>
  <c r="BH130" i="12"/>
  <c r="AQ155" i="12" l="1"/>
  <c r="AV155" i="12" s="1"/>
  <c r="AW156" i="12" s="1"/>
  <c r="BC144" i="12"/>
  <c r="BH144" i="12" s="1"/>
  <c r="BA145" i="12"/>
  <c r="BH131" i="12"/>
  <c r="AQ156" i="12" l="1"/>
  <c r="AV156" i="12" s="1"/>
  <c r="AW157" i="12" s="1"/>
  <c r="BC145" i="12"/>
  <c r="BH145" i="12" s="1"/>
  <c r="BA146" i="12"/>
  <c r="BH132" i="12"/>
  <c r="AQ157" i="12" l="1"/>
  <c r="AV157" i="12" s="1"/>
  <c r="AW158" i="12" s="1"/>
  <c r="BC146" i="12"/>
  <c r="BH146" i="12" s="1"/>
  <c r="BA147" i="12"/>
  <c r="BH133" i="12"/>
  <c r="AQ158" i="12" l="1"/>
  <c r="AV158" i="12" s="1"/>
  <c r="AW159" i="12" s="1"/>
  <c r="BC147" i="12"/>
  <c r="BH147" i="12" s="1"/>
  <c r="BA148" i="12"/>
  <c r="BH134" i="12"/>
  <c r="AQ159" i="12" l="1"/>
  <c r="AV159" i="12" s="1"/>
  <c r="AW160" i="12" s="1"/>
  <c r="BC148" i="12"/>
  <c r="BH148" i="12" s="1"/>
  <c r="BA149" i="12"/>
  <c r="BA150" i="12"/>
  <c r="BH135" i="12"/>
  <c r="AQ160" i="12" l="1"/>
  <c r="AV160" i="12" s="1"/>
  <c r="AW161" i="12" s="1"/>
  <c r="BC149" i="12"/>
  <c r="BH149" i="12" s="1"/>
  <c r="BC150" i="12"/>
  <c r="BH150" i="12" s="1"/>
  <c r="BA151" i="12"/>
  <c r="BH136" i="12"/>
  <c r="AQ161" i="12" l="1"/>
  <c r="AV161" i="12" s="1"/>
  <c r="AW162" i="12" s="1"/>
  <c r="BC151" i="12"/>
  <c r="BH151" i="12" s="1"/>
  <c r="BA152" i="12"/>
  <c r="BH137" i="12"/>
  <c r="AQ162" i="12" l="1"/>
  <c r="AV162" i="12" s="1"/>
  <c r="AW163" i="12" s="1"/>
  <c r="BC152" i="12"/>
  <c r="BH152" i="12" s="1"/>
  <c r="BA153" i="12"/>
  <c r="BH138" i="12"/>
  <c r="AQ163" i="12" l="1"/>
  <c r="AV163" i="12" s="1"/>
  <c r="AW164" i="12" s="1"/>
  <c r="BC153" i="12"/>
  <c r="BH153" i="12" s="1"/>
  <c r="BH139" i="12"/>
  <c r="AQ164" i="12" l="1"/>
  <c r="AV164" i="12" s="1"/>
  <c r="AW165" i="12" s="1"/>
  <c r="BA154" i="12"/>
  <c r="BA155" i="12"/>
  <c r="BH140" i="12"/>
  <c r="AQ165" i="12" l="1"/>
  <c r="AV165" i="12" s="1"/>
  <c r="AW166" i="12" s="1"/>
  <c r="BC154" i="12"/>
  <c r="BH154" i="12" s="1"/>
  <c r="BC155" i="12"/>
  <c r="BH155" i="12" s="1"/>
  <c r="BA156" i="12"/>
  <c r="BH141" i="12"/>
  <c r="AQ166" i="12" l="1"/>
  <c r="AV166" i="12" s="1"/>
  <c r="AW167" i="12" s="1"/>
  <c r="BC156" i="12"/>
  <c r="BH156" i="12" s="1"/>
  <c r="BA157" i="12"/>
  <c r="BH142" i="12"/>
  <c r="AQ167" i="12" l="1"/>
  <c r="AV167" i="12" s="1"/>
  <c r="AW168" i="12" s="1"/>
  <c r="BC157" i="12"/>
  <c r="BH157" i="12" s="1"/>
  <c r="BA158" i="12"/>
  <c r="AQ168" i="12" l="1"/>
  <c r="AV168" i="12" s="1"/>
  <c r="AW169" i="12" s="1"/>
  <c r="BC158" i="12"/>
  <c r="BH158" i="12" s="1"/>
  <c r="BA159" i="12"/>
  <c r="AQ169" i="12" l="1"/>
  <c r="AV169" i="12" s="1"/>
  <c r="AW170" i="12" s="1"/>
  <c r="BC159" i="12"/>
  <c r="BH159" i="12" s="1"/>
  <c r="AQ170" i="12" l="1"/>
  <c r="AV170" i="12" s="1"/>
  <c r="AW171" i="12" s="1"/>
  <c r="BA160" i="12"/>
  <c r="BA161" i="12"/>
  <c r="AQ171" i="12" l="1"/>
  <c r="AV171" i="12" s="1"/>
  <c r="AW172" i="12" s="1"/>
  <c r="BC160" i="12"/>
  <c r="BH160" i="12" s="1"/>
  <c r="BC161" i="12"/>
  <c r="BH161" i="12" s="1"/>
  <c r="BA162" i="12"/>
  <c r="AQ172" i="12" l="1"/>
  <c r="AV172" i="12" s="1"/>
  <c r="AW173" i="12" s="1"/>
  <c r="BC162" i="12"/>
  <c r="BH162" i="12" s="1"/>
  <c r="BA163" i="12"/>
  <c r="AQ173" i="12" l="1"/>
  <c r="AV173" i="12" s="1"/>
  <c r="AW174" i="12" s="1"/>
  <c r="BC163" i="12"/>
  <c r="BH163" i="12" s="1"/>
  <c r="BA164" i="12"/>
  <c r="AQ174" i="12" l="1"/>
  <c r="AV174" i="12" s="1"/>
  <c r="AW175" i="12" s="1"/>
  <c r="BC164" i="12"/>
  <c r="BH164" i="12" s="1"/>
  <c r="BA165" i="12"/>
  <c r="AQ175" i="12" l="1"/>
  <c r="AV175" i="12" s="1"/>
  <c r="AW176" i="12" s="1"/>
  <c r="BC165" i="12"/>
  <c r="BH165" i="12" s="1"/>
  <c r="AQ176" i="12" l="1"/>
  <c r="AV176" i="12" s="1"/>
  <c r="AW177" i="12" s="1"/>
  <c r="BA166" i="12"/>
  <c r="BA167" i="12" s="1"/>
  <c r="AQ177" i="12" l="1"/>
  <c r="AV177" i="12" s="1"/>
  <c r="AW178" i="12" s="1"/>
  <c r="BC166" i="12"/>
  <c r="BH166" i="12" s="1"/>
  <c r="BC167" i="12"/>
  <c r="BH167" i="12" s="1"/>
  <c r="BA168" i="12"/>
  <c r="AQ178" i="12" l="1"/>
  <c r="AV178" i="12" s="1"/>
  <c r="AW179" i="12" s="1"/>
  <c r="BC168" i="12"/>
  <c r="BH168" i="12" s="1"/>
  <c r="BA169" i="12"/>
  <c r="AQ179" i="12" l="1"/>
  <c r="AV179" i="12" s="1"/>
  <c r="AW180" i="12" s="1"/>
  <c r="BC169" i="12"/>
  <c r="BH169" i="12" s="1"/>
  <c r="BA170" i="12"/>
  <c r="AQ180" i="12" l="1"/>
  <c r="AV180" i="12" s="1"/>
  <c r="AW181" i="12" s="1"/>
  <c r="BC170" i="12"/>
  <c r="BH170" i="12" s="1"/>
  <c r="BA171" i="12"/>
  <c r="AQ181" i="12" l="1"/>
  <c r="AV181" i="12" s="1"/>
  <c r="AW182" i="12" s="1"/>
  <c r="BC171" i="12"/>
  <c r="BH171" i="12" s="1"/>
  <c r="AQ182" i="12" l="1"/>
  <c r="AV182" i="12" s="1"/>
  <c r="AW183" i="12" s="1"/>
  <c r="BA172" i="12"/>
  <c r="AQ183" i="12" l="1"/>
  <c r="AV183" i="12" s="1"/>
  <c r="AW184" i="12" s="1"/>
  <c r="BC172" i="12"/>
  <c r="BH172" i="12" s="1"/>
  <c r="BA173" i="12"/>
  <c r="BA174" i="12"/>
  <c r="AQ184" i="12" l="1"/>
  <c r="AV184" i="12" s="1"/>
  <c r="AW185" i="12" s="1"/>
  <c r="BC173" i="12"/>
  <c r="BH173" i="12" s="1"/>
  <c r="BC174" i="12"/>
  <c r="BH174" i="12" s="1"/>
  <c r="BA175" i="12"/>
  <c r="AQ185" i="12" l="1"/>
  <c r="AV185" i="12" s="1"/>
  <c r="AW186" i="12" s="1"/>
  <c r="BC175" i="12"/>
  <c r="BH175" i="12" s="1"/>
  <c r="BA176" i="12"/>
  <c r="AQ186" i="12" l="1"/>
  <c r="AV186" i="12" s="1"/>
  <c r="AW187" i="12" s="1"/>
  <c r="BC176" i="12"/>
  <c r="BH176" i="12" s="1"/>
  <c r="AQ187" i="12" l="1"/>
  <c r="AV187" i="12" s="1"/>
  <c r="AW188" i="12" s="1"/>
  <c r="BA177" i="12"/>
  <c r="AQ188" i="12" l="1"/>
  <c r="AV188" i="12" s="1"/>
  <c r="AW189" i="12" s="1"/>
  <c r="BC177" i="12"/>
  <c r="BH177" i="12" s="1"/>
  <c r="BA178" i="12"/>
  <c r="AQ189" i="12" l="1"/>
  <c r="BC178" i="12"/>
  <c r="BH178" i="12" s="1"/>
  <c r="BA179" i="12"/>
  <c r="BA180" i="12"/>
  <c r="AV420" i="12" l="1"/>
  <c r="AW421" i="12" s="1"/>
  <c r="AV471" i="12"/>
  <c r="AW472" i="12" s="1"/>
  <c r="AV400" i="12"/>
  <c r="AW401" i="12" s="1"/>
  <c r="AV486" i="12"/>
  <c r="AW487" i="12" s="1"/>
  <c r="AV215" i="12"/>
  <c r="AW216" i="12" s="1"/>
  <c r="AV493" i="12"/>
  <c r="AW494" i="12" s="1"/>
  <c r="AV216" i="12"/>
  <c r="AW217" i="12" s="1"/>
  <c r="AV210" i="12"/>
  <c r="AW211" i="12" s="1"/>
  <c r="AV363" i="12"/>
  <c r="AW364" i="12" s="1"/>
  <c r="AV256" i="12"/>
  <c r="AW257" i="12" s="1"/>
  <c r="AV342" i="12"/>
  <c r="AW343" i="12" s="1"/>
  <c r="AV243" i="12"/>
  <c r="AW244" i="12" s="1"/>
  <c r="AV221" i="12"/>
  <c r="AW222" i="12" s="1"/>
  <c r="AV389" i="12"/>
  <c r="AW390" i="12" s="1"/>
  <c r="AV370" i="12"/>
  <c r="AW371" i="12" s="1"/>
  <c r="AV260" i="12"/>
  <c r="AW261" i="12" s="1"/>
  <c r="AV318" i="12"/>
  <c r="AW319" i="12" s="1"/>
  <c r="AV250" i="12"/>
  <c r="AW251" i="12" s="1"/>
  <c r="AV287" i="12"/>
  <c r="AW288" i="12" s="1"/>
  <c r="AV322" i="12"/>
  <c r="AW323" i="12" s="1"/>
  <c r="AV356" i="12"/>
  <c r="AW357" i="12" s="1"/>
  <c r="AV495" i="12"/>
  <c r="AW496" i="12" s="1"/>
  <c r="AV395" i="12"/>
  <c r="AW396" i="12" s="1"/>
  <c r="AV193" i="12"/>
  <c r="AW194" i="12" s="1"/>
  <c r="AV274" i="12"/>
  <c r="AW275" i="12" s="1"/>
  <c r="AV333" i="12"/>
  <c r="AW334" i="12" s="1"/>
  <c r="AV245" i="12"/>
  <c r="AW246" i="12" s="1"/>
  <c r="AV381" i="12"/>
  <c r="AW382" i="12" s="1"/>
  <c r="AV473" i="12"/>
  <c r="AW474" i="12" s="1"/>
  <c r="AV254" i="12"/>
  <c r="AW255" i="12" s="1"/>
  <c r="AV391" i="12"/>
  <c r="AW392" i="12" s="1"/>
  <c r="AV230" i="12"/>
  <c r="AW231" i="12" s="1"/>
  <c r="AV343" i="12"/>
  <c r="AW344" i="12" s="1"/>
  <c r="AV378" i="12"/>
  <c r="AW379" i="12" s="1"/>
  <c r="AV308" i="12"/>
  <c r="AW309" i="12" s="1"/>
  <c r="AV234" i="12"/>
  <c r="AW235" i="12" s="1"/>
  <c r="AV211" i="12"/>
  <c r="AW212" i="12" s="1"/>
  <c r="AV432" i="12"/>
  <c r="AW433" i="12" s="1"/>
  <c r="AV444" i="12"/>
  <c r="AW445" i="12" s="1"/>
  <c r="AV233" i="12"/>
  <c r="AW234" i="12" s="1"/>
  <c r="AV227" i="12"/>
  <c r="AW228" i="12" s="1"/>
  <c r="AV264" i="12"/>
  <c r="AW265" i="12" s="1"/>
  <c r="AV474" i="12"/>
  <c r="AW475" i="12" s="1"/>
  <c r="AV500" i="12"/>
  <c r="AW501" i="12" s="1"/>
  <c r="AV393" i="12"/>
  <c r="AW394" i="12" s="1"/>
  <c r="AV272" i="12"/>
  <c r="AW273" i="12" s="1"/>
  <c r="AV197" i="12"/>
  <c r="AW198" i="12" s="1"/>
  <c r="AV252" i="12"/>
  <c r="AW253" i="12" s="1"/>
  <c r="AV384" i="12"/>
  <c r="AW385" i="12" s="1"/>
  <c r="AV337" i="12"/>
  <c r="AW338" i="12" s="1"/>
  <c r="AV507" i="12"/>
  <c r="AW508" i="12" s="1"/>
  <c r="AV364" i="12"/>
  <c r="AW365" i="12" s="1"/>
  <c r="AV383" i="12"/>
  <c r="AW384" i="12" s="1"/>
  <c r="AV466" i="12"/>
  <c r="AW467" i="12" s="1"/>
  <c r="AV224" i="12"/>
  <c r="AW225" i="12" s="1"/>
  <c r="AV257" i="12"/>
  <c r="AW258" i="12" s="1"/>
  <c r="AV338" i="12"/>
  <c r="AW339" i="12" s="1"/>
  <c r="AV315" i="12"/>
  <c r="AW316" i="12" s="1"/>
  <c r="AV310" i="12"/>
  <c r="AW311" i="12" s="1"/>
  <c r="AV361" i="12"/>
  <c r="AW362" i="12" s="1"/>
  <c r="AV304" i="12"/>
  <c r="AW305" i="12" s="1"/>
  <c r="AV431" i="12"/>
  <c r="AW432" i="12" s="1"/>
  <c r="AV267" i="12"/>
  <c r="AW268" i="12" s="1"/>
  <c r="AV408" i="12"/>
  <c r="AW409" i="12" s="1"/>
  <c r="AV442" i="12"/>
  <c r="AW443" i="12" s="1"/>
  <c r="AV388" i="12"/>
  <c r="AW389" i="12" s="1"/>
  <c r="AV382" i="12"/>
  <c r="AW383" i="12" s="1"/>
  <c r="AV300" i="12"/>
  <c r="AW301" i="12" s="1"/>
  <c r="AV447" i="12"/>
  <c r="AW448" i="12" s="1"/>
  <c r="AV276" i="12"/>
  <c r="AW277" i="12" s="1"/>
  <c r="AV189" i="12"/>
  <c r="AW190" i="12" s="1"/>
  <c r="AV498" i="12"/>
  <c r="AW499" i="12" s="1"/>
  <c r="AV220" i="12"/>
  <c r="AW221" i="12" s="1"/>
  <c r="AV416" i="12"/>
  <c r="AW417" i="12" s="1"/>
  <c r="AV291" i="12"/>
  <c r="AW292" i="12" s="1"/>
  <c r="AV275" i="12"/>
  <c r="AW276" i="12" s="1"/>
  <c r="AV509" i="12"/>
  <c r="AW510" i="12" s="1"/>
  <c r="AV360" i="12"/>
  <c r="AW361" i="12" s="1"/>
  <c r="AV191" i="12"/>
  <c r="AW192" i="12" s="1"/>
  <c r="AV429" i="12"/>
  <c r="AW430" i="12" s="1"/>
  <c r="AV280" i="12"/>
  <c r="AW281" i="12" s="1"/>
  <c r="AV458" i="12"/>
  <c r="AW459" i="12" s="1"/>
  <c r="AV427" i="12"/>
  <c r="AW428" i="12" s="1"/>
  <c r="AV423" i="12"/>
  <c r="AW424" i="12" s="1"/>
  <c r="AV496" i="12"/>
  <c r="AW497" i="12" s="1"/>
  <c r="AV235" i="12"/>
  <c r="AW236" i="12" s="1"/>
  <c r="AV277" i="12"/>
  <c r="AW278" i="12" s="1"/>
  <c r="AV394" i="12"/>
  <c r="AW395" i="12" s="1"/>
  <c r="AV418" i="12"/>
  <c r="AW419" i="12" s="1"/>
  <c r="AV369" i="12"/>
  <c r="AW370" i="12" s="1"/>
  <c r="AV374" i="12"/>
  <c r="AW375" i="12" s="1"/>
  <c r="AV192" i="12"/>
  <c r="AW193" i="12" s="1"/>
  <c r="AV309" i="12"/>
  <c r="AW310" i="12" s="1"/>
  <c r="AV239" i="12"/>
  <c r="AW240" i="12" s="1"/>
  <c r="AV258" i="12"/>
  <c r="AW259" i="12" s="1"/>
  <c r="AV398" i="12"/>
  <c r="AW399" i="12" s="1"/>
  <c r="AV411" i="12"/>
  <c r="AW412" i="12" s="1"/>
  <c r="AV434" i="12"/>
  <c r="AW435" i="12" s="1"/>
  <c r="AV283" i="12"/>
  <c r="AW284" i="12" s="1"/>
  <c r="AV426" i="12"/>
  <c r="AW427" i="12" s="1"/>
  <c r="AV201" i="12"/>
  <c r="AW202" i="12" s="1"/>
  <c r="AV359" i="12"/>
  <c r="AW360" i="12" s="1"/>
  <c r="AV323" i="12"/>
  <c r="AW324" i="12" s="1"/>
  <c r="AV399" i="12"/>
  <c r="AW400" i="12" s="1"/>
  <c r="AV445" i="12"/>
  <c r="AW446" i="12" s="1"/>
  <c r="AV292" i="12"/>
  <c r="AW293" i="12" s="1"/>
  <c r="AV266" i="12"/>
  <c r="AW267" i="12" s="1"/>
  <c r="AV469" i="12"/>
  <c r="AW470" i="12" s="1"/>
  <c r="AV327" i="12"/>
  <c r="AW328" i="12" s="1"/>
  <c r="AV478" i="12"/>
  <c r="AW479" i="12" s="1"/>
  <c r="AV502" i="12"/>
  <c r="AW503" i="12" s="1"/>
  <c r="AV248" i="12"/>
  <c r="AW249" i="12" s="1"/>
  <c r="AV482" i="12"/>
  <c r="AW483" i="12" s="1"/>
  <c r="AV371" i="12"/>
  <c r="AW372" i="12" s="1"/>
  <c r="AV462" i="12"/>
  <c r="AW463" i="12" s="1"/>
  <c r="AV492" i="12"/>
  <c r="AW493" i="12" s="1"/>
  <c r="AV320" i="12"/>
  <c r="AW321" i="12" s="1"/>
  <c r="AV424" i="12"/>
  <c r="AW425" i="12" s="1"/>
  <c r="AV443" i="12"/>
  <c r="AW444" i="12" s="1"/>
  <c r="AV346" i="12"/>
  <c r="AW347" i="12" s="1"/>
  <c r="AV305" i="12"/>
  <c r="AW306" i="12" s="1"/>
  <c r="AV401" i="12"/>
  <c r="AW402" i="12" s="1"/>
  <c r="AV402" i="12"/>
  <c r="AW403" i="12" s="1"/>
  <c r="AV301" i="12"/>
  <c r="AW302" i="12" s="1"/>
  <c r="AV406" i="12"/>
  <c r="AW407" i="12" s="1"/>
  <c r="AV208" i="12"/>
  <c r="AW209" i="12" s="1"/>
  <c r="AV330" i="12"/>
  <c r="AW331" i="12" s="1"/>
  <c r="AV303" i="12"/>
  <c r="AW304" i="12" s="1"/>
  <c r="AV490" i="12"/>
  <c r="AW491" i="12" s="1"/>
  <c r="AV453" i="12"/>
  <c r="AW454" i="12" s="1"/>
  <c r="AV279" i="12"/>
  <c r="AW280" i="12" s="1"/>
  <c r="AV413" i="12"/>
  <c r="AW414" i="12" s="1"/>
  <c r="AV209" i="12"/>
  <c r="AW210" i="12" s="1"/>
  <c r="AV286" i="12"/>
  <c r="AW287" i="12" s="1"/>
  <c r="AV231" i="12"/>
  <c r="AW232" i="12" s="1"/>
  <c r="AV425" i="12"/>
  <c r="AW426" i="12" s="1"/>
  <c r="AV417" i="12"/>
  <c r="AW418" i="12" s="1"/>
  <c r="AV439" i="12"/>
  <c r="AW440" i="12" s="1"/>
  <c r="AV268" i="12"/>
  <c r="AW269" i="12" s="1"/>
  <c r="AV206" i="12"/>
  <c r="AW207" i="12" s="1"/>
  <c r="AV319" i="12"/>
  <c r="AW320" i="12" s="1"/>
  <c r="AV194" i="12"/>
  <c r="AW195" i="12" s="1"/>
  <c r="AV452" i="12"/>
  <c r="AW453" i="12" s="1"/>
  <c r="AV380" i="12"/>
  <c r="AW381" i="12" s="1"/>
  <c r="AV298" i="12"/>
  <c r="AW299" i="12" s="1"/>
  <c r="AV249" i="12"/>
  <c r="AW250" i="12" s="1"/>
  <c r="AV368" i="12"/>
  <c r="AW369" i="12" s="1"/>
  <c r="AV472" i="12"/>
  <c r="AW473" i="12" s="1"/>
  <c r="AV299" i="12"/>
  <c r="AW300" i="12" s="1"/>
  <c r="AV489" i="12"/>
  <c r="AW490" i="12" s="1"/>
  <c r="AV244" i="12"/>
  <c r="AW245" i="12" s="1"/>
  <c r="AV341" i="12"/>
  <c r="AW342" i="12" s="1"/>
  <c r="AV350" i="12"/>
  <c r="AW351" i="12" s="1"/>
  <c r="AV510" i="12"/>
  <c r="AV199" i="12"/>
  <c r="AW200" i="12" s="1"/>
  <c r="AV377" i="12"/>
  <c r="AW378" i="12" s="1"/>
  <c r="AV198" i="12"/>
  <c r="AW199" i="12" s="1"/>
  <c r="AV290" i="12"/>
  <c r="AW291" i="12" s="1"/>
  <c r="AV357" i="12"/>
  <c r="AW358" i="12" s="1"/>
  <c r="AV213" i="12"/>
  <c r="AW214" i="12" s="1"/>
  <c r="AV271" i="12"/>
  <c r="AW272" i="12" s="1"/>
  <c r="AV448" i="12"/>
  <c r="AW449" i="12" s="1"/>
  <c r="AV273" i="12"/>
  <c r="AW274" i="12" s="1"/>
  <c r="AV494" i="12"/>
  <c r="AW495" i="12" s="1"/>
  <c r="AV295" i="12"/>
  <c r="AW296" i="12" s="1"/>
  <c r="AV428" i="12"/>
  <c r="AW429" i="12" s="1"/>
  <c r="AV313" i="12"/>
  <c r="AW314" i="12" s="1"/>
  <c r="AV506" i="12"/>
  <c r="AW507" i="12" s="1"/>
  <c r="AV282" i="12"/>
  <c r="AW283" i="12" s="1"/>
  <c r="AV483" i="12"/>
  <c r="AW484" i="12" s="1"/>
  <c r="AV497" i="12"/>
  <c r="AW498" i="12" s="1"/>
  <c r="AV265" i="12"/>
  <c r="AW266" i="12" s="1"/>
  <c r="AV261" i="12"/>
  <c r="AW262" i="12" s="1"/>
  <c r="AV463" i="12"/>
  <c r="AW464" i="12" s="1"/>
  <c r="AV467" i="12"/>
  <c r="AW468" i="12" s="1"/>
  <c r="AV317" i="12"/>
  <c r="AW318" i="12" s="1"/>
  <c r="AV390" i="12"/>
  <c r="AW391" i="12" s="1"/>
  <c r="AV247" i="12"/>
  <c r="AW248" i="12" s="1"/>
  <c r="AV477" i="12"/>
  <c r="AW478" i="12" s="1"/>
  <c r="AV289" i="12"/>
  <c r="AW290" i="12" s="1"/>
  <c r="AV222" i="12"/>
  <c r="AW223" i="12" s="1"/>
  <c r="AV219" i="12"/>
  <c r="AW220" i="12" s="1"/>
  <c r="AV354" i="12"/>
  <c r="AW355" i="12" s="1"/>
  <c r="AV259" i="12"/>
  <c r="AW260" i="12" s="1"/>
  <c r="AV278" i="12"/>
  <c r="AW279" i="12" s="1"/>
  <c r="AV236" i="12"/>
  <c r="AW237" i="12" s="1"/>
  <c r="AV331" i="12"/>
  <c r="AW332" i="12" s="1"/>
  <c r="AV212" i="12"/>
  <c r="AW213" i="12" s="1"/>
  <c r="AV410" i="12"/>
  <c r="AW411" i="12" s="1"/>
  <c r="AV436" i="12"/>
  <c r="AW437" i="12" s="1"/>
  <c r="AV306" i="12"/>
  <c r="AW307" i="12" s="1"/>
  <c r="AV332" i="12"/>
  <c r="AW333" i="12" s="1"/>
  <c r="AV334" i="12"/>
  <c r="AW335" i="12" s="1"/>
  <c r="AV508" i="12"/>
  <c r="AW509" i="12" s="1"/>
  <c r="AV293" i="12"/>
  <c r="AW294" i="12" s="1"/>
  <c r="AV200" i="12"/>
  <c r="AW201" i="12" s="1"/>
  <c r="AV385" i="12"/>
  <c r="AW386" i="12" s="1"/>
  <c r="AV269" i="12"/>
  <c r="AW270" i="12" s="1"/>
  <c r="AV488" i="12"/>
  <c r="AW489" i="12" s="1"/>
  <c r="AV324" i="12"/>
  <c r="AW325" i="12" s="1"/>
  <c r="AV379" i="12"/>
  <c r="AW380" i="12" s="1"/>
  <c r="AV241" i="12"/>
  <c r="AW242" i="12" s="1"/>
  <c r="AV387" i="12"/>
  <c r="AW388" i="12" s="1"/>
  <c r="AV351" i="12"/>
  <c r="AW352" i="12" s="1"/>
  <c r="AV433" i="12"/>
  <c r="AW434" i="12" s="1"/>
  <c r="AV329" i="12"/>
  <c r="AW330" i="12" s="1"/>
  <c r="AV487" i="12"/>
  <c r="AW488" i="12" s="1"/>
  <c r="AV484" i="12"/>
  <c r="AW485" i="12" s="1"/>
  <c r="AV232" i="12"/>
  <c r="AW233" i="12" s="1"/>
  <c r="AV353" i="12"/>
  <c r="AW354" i="12" s="1"/>
  <c r="AV503" i="12"/>
  <c r="AW504" i="12" s="1"/>
  <c r="AV339" i="12"/>
  <c r="AW340" i="12" s="1"/>
  <c r="AV460" i="12"/>
  <c r="AW461" i="12" s="1"/>
  <c r="AV281" i="12"/>
  <c r="AW282" i="12" s="1"/>
  <c r="AV461" i="12"/>
  <c r="AW462" i="12" s="1"/>
  <c r="AV246" i="12"/>
  <c r="AW247" i="12" s="1"/>
  <c r="AV481" i="12"/>
  <c r="AW482" i="12" s="1"/>
  <c r="AV375" i="12"/>
  <c r="AW376" i="12" s="1"/>
  <c r="AV228" i="12"/>
  <c r="AW229" i="12" s="1"/>
  <c r="AV475" i="12"/>
  <c r="AW476" i="12" s="1"/>
  <c r="AV340" i="12"/>
  <c r="AW341" i="12" s="1"/>
  <c r="AV263" i="12"/>
  <c r="AW264" i="12" s="1"/>
  <c r="AV242" i="12"/>
  <c r="AW243" i="12" s="1"/>
  <c r="AV355" i="12"/>
  <c r="AW356" i="12" s="1"/>
  <c r="AV404" i="12"/>
  <c r="AW405" i="12" s="1"/>
  <c r="AV251" i="12"/>
  <c r="AW252" i="12" s="1"/>
  <c r="AV407" i="12"/>
  <c r="AW408" i="12" s="1"/>
  <c r="AV307" i="12"/>
  <c r="AW308" i="12" s="1"/>
  <c r="AV464" i="12"/>
  <c r="AW465" i="12" s="1"/>
  <c r="AV285" i="12"/>
  <c r="AW286" i="12" s="1"/>
  <c r="AV294" i="12"/>
  <c r="AW295" i="12" s="1"/>
  <c r="AV214" i="12"/>
  <c r="AW215" i="12" s="1"/>
  <c r="AV505" i="12"/>
  <c r="AW506" i="12" s="1"/>
  <c r="AV288" i="12"/>
  <c r="AW289" i="12" s="1"/>
  <c r="AV321" i="12"/>
  <c r="AW322" i="12" s="1"/>
  <c r="AV465" i="12"/>
  <c r="AW466" i="12" s="1"/>
  <c r="AV296" i="12"/>
  <c r="AW297" i="12" s="1"/>
  <c r="AV237" i="12"/>
  <c r="AW238" i="12" s="1"/>
  <c r="AV422" i="12"/>
  <c r="AW423" i="12" s="1"/>
  <c r="AV479" i="12"/>
  <c r="AW480" i="12" s="1"/>
  <c r="AV202" i="12"/>
  <c r="AW203" i="12" s="1"/>
  <c r="AV485" i="12"/>
  <c r="AW486" i="12" s="1"/>
  <c r="AV311" i="12"/>
  <c r="AW312" i="12" s="1"/>
  <c r="AV480" i="12"/>
  <c r="AW481" i="12" s="1"/>
  <c r="AV454" i="12"/>
  <c r="AW455" i="12" s="1"/>
  <c r="AV314" i="12"/>
  <c r="AW315" i="12" s="1"/>
  <c r="AV455" i="12"/>
  <c r="AW456" i="12" s="1"/>
  <c r="AV468" i="12"/>
  <c r="AW469" i="12" s="1"/>
  <c r="AV386" i="12"/>
  <c r="AW387" i="12" s="1"/>
  <c r="AV253" i="12"/>
  <c r="AW254" i="12" s="1"/>
  <c r="AV409" i="12"/>
  <c r="AW410" i="12" s="1"/>
  <c r="AV284" i="12"/>
  <c r="AW285" i="12" s="1"/>
  <c r="AV352" i="12"/>
  <c r="AW353" i="12" s="1"/>
  <c r="AV366" i="12"/>
  <c r="AW367" i="12" s="1"/>
  <c r="AV255" i="12"/>
  <c r="AW256" i="12" s="1"/>
  <c r="AV365" i="12"/>
  <c r="AW366" i="12" s="1"/>
  <c r="AV344" i="12"/>
  <c r="AW345" i="12" s="1"/>
  <c r="AV362" i="12"/>
  <c r="AW363" i="12" s="1"/>
  <c r="AV419" i="12"/>
  <c r="AW420" i="12" s="1"/>
  <c r="AV397" i="12"/>
  <c r="AW398" i="12" s="1"/>
  <c r="AV316" i="12"/>
  <c r="AW317" i="12" s="1"/>
  <c r="AV270" i="12"/>
  <c r="AW271" i="12" s="1"/>
  <c r="AV218" i="12"/>
  <c r="AW219" i="12" s="1"/>
  <c r="AV403" i="12"/>
  <c r="AW404" i="12" s="1"/>
  <c r="AV190" i="12"/>
  <c r="AW191" i="12" s="1"/>
  <c r="AV347" i="12"/>
  <c r="AW348" i="12" s="1"/>
  <c r="AV430" i="12"/>
  <c r="AW431" i="12" s="1"/>
  <c r="AV229" i="12"/>
  <c r="AW230" i="12" s="1"/>
  <c r="AV449" i="12"/>
  <c r="AW450" i="12" s="1"/>
  <c r="AV205" i="12"/>
  <c r="AW206" i="12" s="1"/>
  <c r="AV421" i="12"/>
  <c r="AW422" i="12" s="1"/>
  <c r="AV459" i="12"/>
  <c r="AW460" i="12" s="1"/>
  <c r="AV207" i="12"/>
  <c r="AW208" i="12" s="1"/>
  <c r="AV349" i="12"/>
  <c r="AW350" i="12" s="1"/>
  <c r="AV196" i="12"/>
  <c r="AW197" i="12" s="1"/>
  <c r="AV396" i="12"/>
  <c r="AW397" i="12" s="1"/>
  <c r="AV345" i="12"/>
  <c r="AW346" i="12" s="1"/>
  <c r="AV223" i="12"/>
  <c r="AW224" i="12" s="1"/>
  <c r="AV435" i="12"/>
  <c r="AW436" i="12" s="1"/>
  <c r="AV457" i="12"/>
  <c r="AW458" i="12" s="1"/>
  <c r="AV240" i="12"/>
  <c r="AW241" i="12" s="1"/>
  <c r="AV203" i="12"/>
  <c r="AW204" i="12" s="1"/>
  <c r="AV450" i="12"/>
  <c r="AW451" i="12" s="1"/>
  <c r="AV405" i="12"/>
  <c r="AW406" i="12" s="1"/>
  <c r="AV217" i="12"/>
  <c r="AW218" i="12" s="1"/>
  <c r="AV262" i="12"/>
  <c r="AW263" i="12" s="1"/>
  <c r="AV312" i="12"/>
  <c r="AW313" i="12" s="1"/>
  <c r="AV358" i="12"/>
  <c r="AW359" i="12" s="1"/>
  <c r="AV225" i="12"/>
  <c r="AW226" i="12" s="1"/>
  <c r="AV372" i="12"/>
  <c r="AW373" i="12" s="1"/>
  <c r="AV335" i="12"/>
  <c r="AW336" i="12" s="1"/>
  <c r="AV325" i="12"/>
  <c r="AW326" i="12" s="1"/>
  <c r="AV195" i="12"/>
  <c r="AW196" i="12" s="1"/>
  <c r="AV336" i="12"/>
  <c r="AW337" i="12" s="1"/>
  <c r="AV297" i="12"/>
  <c r="AW298" i="12" s="1"/>
  <c r="AV328" i="12"/>
  <c r="AW329" i="12" s="1"/>
  <c r="AV204" i="12"/>
  <c r="AW205" i="12" s="1"/>
  <c r="AV499" i="12"/>
  <c r="AW500" i="12" s="1"/>
  <c r="AV367" i="12"/>
  <c r="AW368" i="12" s="1"/>
  <c r="AV470" i="12"/>
  <c r="AW471" i="12" s="1"/>
  <c r="AV438" i="12"/>
  <c r="AW439" i="12" s="1"/>
  <c r="AV440" i="12"/>
  <c r="AW441" i="12" s="1"/>
  <c r="AV238" i="12"/>
  <c r="AW239" i="12" s="1"/>
  <c r="AV226" i="12"/>
  <c r="AW227" i="12" s="1"/>
  <c r="AV326" i="12"/>
  <c r="AW327" i="12" s="1"/>
  <c r="AV441" i="12"/>
  <c r="AW442" i="12" s="1"/>
  <c r="AV414" i="12"/>
  <c r="AW415" i="12" s="1"/>
  <c r="AV302" i="12"/>
  <c r="AW303" i="12" s="1"/>
  <c r="AV446" i="12"/>
  <c r="AW447" i="12" s="1"/>
  <c r="AV376" i="12"/>
  <c r="AW377" i="12" s="1"/>
  <c r="AV476" i="12"/>
  <c r="AW477" i="12" s="1"/>
  <c r="AV373" i="12"/>
  <c r="AW374" i="12" s="1"/>
  <c r="AV392" i="12"/>
  <c r="AW393" i="12" s="1"/>
  <c r="AV415" i="12"/>
  <c r="AW416" i="12" s="1"/>
  <c r="AV501" i="12"/>
  <c r="AW502" i="12" s="1"/>
  <c r="AV456" i="12"/>
  <c r="AW457" i="12" s="1"/>
  <c r="AV437" i="12"/>
  <c r="AW438" i="12" s="1"/>
  <c r="AV504" i="12"/>
  <c r="AW505" i="12" s="1"/>
  <c r="AV348" i="12"/>
  <c r="AW349" i="12" s="1"/>
  <c r="AV491" i="12"/>
  <c r="AW492" i="12" s="1"/>
  <c r="AV412" i="12"/>
  <c r="AW413" i="12" s="1"/>
  <c r="AV451" i="12"/>
  <c r="AW452" i="12" s="1"/>
  <c r="BC179" i="12"/>
  <c r="BH179" i="12" s="1"/>
  <c r="BC180" i="12"/>
  <c r="BH180" i="12" s="1"/>
  <c r="BA181" i="12"/>
  <c r="BC181" i="12" l="1"/>
  <c r="BH181" i="12" s="1"/>
  <c r="BA182" i="12"/>
  <c r="BC182" i="12" l="1"/>
  <c r="BH182" i="12" s="1"/>
  <c r="BA183" i="12" l="1"/>
  <c r="BC183" i="12" l="1"/>
  <c r="BH183" i="12" s="1"/>
  <c r="BA184" i="12"/>
  <c r="BA185" i="12"/>
  <c r="BC184" i="12" l="1"/>
  <c r="BH184" i="12" s="1"/>
  <c r="BC185" i="12"/>
  <c r="BH185" i="12" s="1"/>
  <c r="BA186" i="12"/>
  <c r="BC186" i="12" l="1"/>
  <c r="BH186" i="12" s="1"/>
  <c r="BA187" i="12"/>
  <c r="BC187" i="12" l="1"/>
  <c r="BH187" i="12" s="1"/>
  <c r="BA188" i="12"/>
  <c r="BC188" i="12" l="1"/>
  <c r="BH188" i="12" s="1"/>
  <c r="BA189" i="12" l="1"/>
  <c r="BC189" i="12" l="1"/>
  <c r="BH189" i="12" s="1"/>
  <c r="BA191" i="12"/>
  <c r="BA190" i="12"/>
  <c r="BC190" i="12" l="1"/>
  <c r="BH190" i="12" s="1"/>
  <c r="BC191" i="12"/>
  <c r="BH191" i="12" s="1"/>
  <c r="BA192" i="12"/>
  <c r="BC192" i="12" l="1"/>
  <c r="BH192" i="12" s="1"/>
  <c r="BA193" i="12"/>
  <c r="BC193" i="12" l="1"/>
  <c r="BH193" i="12" s="1"/>
  <c r="BA194" i="12"/>
  <c r="BC194" i="12" l="1"/>
  <c r="BH194" i="12" s="1"/>
  <c r="BA195" i="12"/>
  <c r="BC195" i="12" l="1"/>
  <c r="BH195" i="12" s="1"/>
  <c r="BA196" i="12" l="1"/>
  <c r="BA197" i="12"/>
  <c r="BC196" i="12" l="1"/>
  <c r="BH196" i="12" s="1"/>
  <c r="BC197" i="12"/>
  <c r="BH197" i="12" s="1"/>
  <c r="BA198" i="12"/>
  <c r="BC198" i="12" l="1"/>
  <c r="BH198" i="12" s="1"/>
  <c r="BA199" i="12"/>
  <c r="BC199" i="12" l="1"/>
  <c r="BH199" i="12" s="1"/>
  <c r="BA200" i="12"/>
  <c r="BC200" i="12" l="1"/>
  <c r="BH200" i="12" s="1"/>
  <c r="BA201" i="12"/>
  <c r="BC201" i="12" l="1"/>
  <c r="BH201" i="12" s="1"/>
  <c r="BA202" i="12" l="1"/>
  <c r="BA203" i="12"/>
  <c r="BC202" i="12" l="1"/>
  <c r="BH202" i="12" s="1"/>
  <c r="BC203" i="12"/>
  <c r="BH203" i="12" s="1"/>
  <c r="BC204" i="12" l="1"/>
  <c r="BH204" i="12" s="1"/>
  <c r="BA205" i="12"/>
  <c r="BC205" i="12" l="1"/>
  <c r="BH205" i="12" s="1"/>
  <c r="BA206" i="12" l="1"/>
  <c r="BA207" i="12"/>
  <c r="BC206" i="12" l="1"/>
  <c r="BH206" i="12" s="1"/>
  <c r="BC207" i="12"/>
  <c r="BH207" i="12" s="1"/>
  <c r="BA208" i="12" l="1"/>
  <c r="BA209" i="12"/>
  <c r="BC208" i="12" l="1"/>
  <c r="BH208" i="12" s="1"/>
  <c r="BC209" i="12"/>
  <c r="BH209" i="12" s="1"/>
  <c r="BC210" i="12" l="1"/>
  <c r="BH210" i="12" s="1"/>
  <c r="BA211" i="12"/>
  <c r="BC211" i="12" l="1"/>
  <c r="BH211" i="12" s="1"/>
  <c r="BC212" i="12" l="1"/>
  <c r="BH212" i="12" s="1"/>
  <c r="BA213" i="12"/>
  <c r="BC213" i="12" l="1"/>
  <c r="BH213" i="12" s="1"/>
  <c r="BA214" i="12" l="1"/>
  <c r="BA215" i="12"/>
  <c r="BC214" i="12" l="1"/>
  <c r="BH214" i="12" s="1"/>
  <c r="BC215" i="12"/>
  <c r="BH215" i="12" s="1"/>
  <c r="BC216" i="12" l="1"/>
  <c r="BH216" i="12" s="1"/>
  <c r="BA217" i="12" l="1"/>
  <c r="BC217" i="12" l="1"/>
  <c r="BH217" i="12" s="1"/>
  <c r="BC218" i="12"/>
  <c r="BH218" i="12" s="1"/>
  <c r="BA219" i="12"/>
  <c r="BC219" i="12" l="1"/>
  <c r="BH219" i="12" s="1"/>
  <c r="BA220" i="12" l="1"/>
  <c r="BC220" i="12" l="1"/>
  <c r="BH220" i="12" s="1"/>
  <c r="BC221" i="12"/>
  <c r="BH221" i="12" s="1"/>
  <c r="BC222" i="12" l="1"/>
  <c r="BH222" i="12" s="1"/>
  <c r="BC223" i="12" l="1"/>
  <c r="BH223" i="12" s="1"/>
  <c r="BC224" i="12" l="1"/>
  <c r="BH224" i="12" s="1"/>
  <c r="BA225" i="12"/>
  <c r="BC225" i="12" l="1"/>
  <c r="BH225" i="12" s="1"/>
  <c r="BA226" i="12" l="1"/>
  <c r="BC226" i="12" l="1"/>
  <c r="BH226" i="12" s="1"/>
  <c r="BC227" i="12"/>
  <c r="BH227" i="12" s="1"/>
  <c r="BC228" i="12" l="1"/>
  <c r="BH228" i="12" s="1"/>
  <c r="BC229" i="12" l="1"/>
  <c r="BH229" i="12" s="1"/>
  <c r="BC230" i="12" l="1"/>
  <c r="BH230" i="12" s="1"/>
  <c r="BA231" i="12"/>
  <c r="BC231" i="12" l="1"/>
  <c r="BH231" i="12" s="1"/>
  <c r="BA232" i="12" l="1"/>
  <c r="BC232" i="12" l="1"/>
  <c r="BH232" i="12" s="1"/>
  <c r="BC233" i="12"/>
  <c r="BH233" i="12" s="1"/>
  <c r="BC234" i="12" l="1"/>
  <c r="BH234" i="12" s="1"/>
  <c r="BC235" i="12" l="1"/>
  <c r="BH235" i="12" s="1"/>
  <c r="BC236" i="12" l="1"/>
  <c r="BH236" i="12" s="1"/>
  <c r="BC237" i="12" l="1"/>
  <c r="BH237" i="12" s="1"/>
  <c r="BA238" i="12" l="1"/>
  <c r="BC238" i="12" l="1"/>
  <c r="BH238" i="12" s="1"/>
  <c r="BC239" i="12"/>
  <c r="BH239" i="12" s="1"/>
  <c r="BC240" i="12" l="1"/>
  <c r="BH240" i="12" s="1"/>
  <c r="BI6" i="12" s="1"/>
  <c r="BC241" i="12" l="1"/>
  <c r="BH241" i="12" s="1"/>
  <c r="BI7" i="12" l="1"/>
  <c r="BI8" i="12" s="1"/>
  <c r="BI9" i="12" s="1"/>
  <c r="BI10" i="12" s="1"/>
  <c r="BI11" i="12" s="1"/>
  <c r="BI12" i="12" s="1"/>
  <c r="BI13" i="12" s="1"/>
  <c r="BI14" i="12" s="1"/>
  <c r="BI15" i="12" s="1"/>
  <c r="BI16" i="12" s="1"/>
  <c r="BI17" i="12" s="1"/>
  <c r="BI18" i="12" s="1"/>
  <c r="BI19" i="12" s="1"/>
  <c r="BI20" i="12" s="1"/>
  <c r="BI21" i="12" s="1"/>
  <c r="BI22" i="12" s="1"/>
  <c r="BI23" i="12" s="1"/>
  <c r="BI24" i="12" s="1"/>
  <c r="BI25" i="12" s="1"/>
  <c r="BI26" i="12" s="1"/>
  <c r="BI27" i="12" s="1"/>
  <c r="BI28" i="12" s="1"/>
  <c r="BI29" i="12" s="1"/>
  <c r="BI30" i="12" s="1"/>
  <c r="BI31" i="12" s="1"/>
  <c r="BI32" i="12" s="1"/>
  <c r="BI33" i="12" s="1"/>
  <c r="BI34" i="12" s="1"/>
  <c r="BI35" i="12" s="1"/>
  <c r="BI36" i="12" s="1"/>
  <c r="BI37" i="12" s="1"/>
  <c r="BI38" i="12" s="1"/>
  <c r="BI39" i="12" s="1"/>
  <c r="BI40" i="12" s="1"/>
  <c r="BI41" i="12" s="1"/>
  <c r="BI42" i="12" s="1"/>
  <c r="BI43" i="12" s="1"/>
  <c r="BI44" i="12" s="1"/>
  <c r="BI45" i="12" s="1"/>
  <c r="BI46" i="12" s="1"/>
  <c r="BI47" i="12" s="1"/>
  <c r="BI48" i="12" s="1"/>
  <c r="BI49" i="12" s="1"/>
  <c r="BI50" i="12" s="1"/>
  <c r="BI51" i="12" s="1"/>
  <c r="BI52" i="12" s="1"/>
  <c r="BI53" i="12" s="1"/>
  <c r="BI54" i="12" s="1"/>
  <c r="BI55" i="12" s="1"/>
  <c r="BI56" i="12" s="1"/>
  <c r="BI57" i="12" s="1"/>
  <c r="BI58" i="12" s="1"/>
  <c r="BI59" i="12" s="1"/>
  <c r="BI60" i="12" s="1"/>
  <c r="BI61" i="12" s="1"/>
  <c r="BI62" i="12" s="1"/>
  <c r="BI63" i="12" s="1"/>
  <c r="BI64" i="12" s="1"/>
  <c r="BI65" i="12" s="1"/>
  <c r="BI66" i="12" s="1"/>
  <c r="BI67" i="12" s="1"/>
  <c r="BI68" i="12" s="1"/>
  <c r="BI69" i="12" s="1"/>
  <c r="BI70" i="12" s="1"/>
  <c r="BI71" i="12" s="1"/>
  <c r="BI72" i="12" s="1"/>
  <c r="BI73" i="12" s="1"/>
  <c r="BI74" i="12" s="1"/>
  <c r="BI75" i="12" s="1"/>
  <c r="BI76" i="12" s="1"/>
  <c r="BI77" i="12" s="1"/>
  <c r="BI78" i="12" s="1"/>
  <c r="BI79" i="12" s="1"/>
  <c r="BI80" i="12" s="1"/>
  <c r="BI81" i="12" s="1"/>
  <c r="BI82" i="12" s="1"/>
  <c r="BI83" i="12" s="1"/>
  <c r="BI84" i="12" s="1"/>
  <c r="BI85" i="12" s="1"/>
  <c r="BI86" i="12" s="1"/>
  <c r="BI87" i="12" s="1"/>
  <c r="BI88" i="12" s="1"/>
  <c r="BI89" i="12" s="1"/>
  <c r="BI90" i="12" s="1"/>
  <c r="BI91" i="12" s="1"/>
  <c r="BI92" i="12" s="1"/>
  <c r="BI93" i="12" s="1"/>
  <c r="BI94" i="12" s="1"/>
  <c r="BI95" i="12" s="1"/>
  <c r="BI96" i="12" s="1"/>
  <c r="BI97" i="12" s="1"/>
  <c r="BI98" i="12" s="1"/>
  <c r="BI99" i="12" s="1"/>
  <c r="BI100" i="12" s="1"/>
  <c r="BI101" i="12" s="1"/>
  <c r="BI102" i="12" s="1"/>
  <c r="BI103" i="12" s="1"/>
  <c r="BI104" i="12" s="1"/>
  <c r="BI105" i="12" s="1"/>
  <c r="BI106" i="12" s="1"/>
  <c r="BI107" i="12" s="1"/>
  <c r="BI108" i="12" s="1"/>
  <c r="BI109" i="12" s="1"/>
  <c r="BI110" i="12" s="1"/>
  <c r="BI111" i="12" s="1"/>
  <c r="BI112" i="12" s="1"/>
  <c r="BI113" i="12" s="1"/>
  <c r="BI114" i="12" s="1"/>
  <c r="BI115" i="12" s="1"/>
  <c r="BI116" i="12" s="1"/>
  <c r="BI117" i="12" s="1"/>
  <c r="BI118" i="12" s="1"/>
  <c r="BI119" i="12" s="1"/>
  <c r="BI120" i="12" s="1"/>
  <c r="BI121" i="12" s="1"/>
  <c r="BI122" i="12" s="1"/>
  <c r="BI123" i="12" s="1"/>
  <c r="BI124" i="12" s="1"/>
  <c r="BI125" i="12" s="1"/>
  <c r="BI126" i="12" s="1"/>
  <c r="BI127" i="12" s="1"/>
  <c r="BI128" i="12" s="1"/>
  <c r="BI129" i="12" s="1"/>
  <c r="BI130" i="12" s="1"/>
  <c r="BI131" i="12" s="1"/>
  <c r="BI132" i="12" s="1"/>
  <c r="BI133" i="12" s="1"/>
  <c r="BI134" i="12" s="1"/>
  <c r="BI135" i="12" s="1"/>
  <c r="BI136" i="12" s="1"/>
  <c r="BI137" i="12" s="1"/>
  <c r="BI138" i="12" s="1"/>
  <c r="BI139" i="12" s="1"/>
  <c r="BI140" i="12" s="1"/>
  <c r="BI141" i="12" s="1"/>
  <c r="BI142" i="12" s="1"/>
  <c r="BI143" i="12" s="1"/>
  <c r="BI144" i="12" s="1"/>
  <c r="BI145" i="12" s="1"/>
  <c r="BI146" i="12" s="1"/>
  <c r="BI147" i="12" s="1"/>
  <c r="BI148" i="12" s="1"/>
  <c r="BI149" i="12" s="1"/>
  <c r="BI150" i="12" s="1"/>
  <c r="BI151" i="12" s="1"/>
  <c r="BI152" i="12" s="1"/>
  <c r="BI153" i="12" s="1"/>
  <c r="BI154" i="12" s="1"/>
  <c r="BI155" i="12" s="1"/>
  <c r="BI156" i="12" s="1"/>
  <c r="BI157" i="12" s="1"/>
  <c r="BI158" i="12" s="1"/>
  <c r="BI159" i="12" s="1"/>
  <c r="BI160" i="12" s="1"/>
  <c r="BI161" i="12" s="1"/>
  <c r="BI162" i="12" s="1"/>
  <c r="BI163" i="12" s="1"/>
  <c r="BI164" i="12" s="1"/>
  <c r="BI165" i="12" s="1"/>
  <c r="BI166" i="12" s="1"/>
  <c r="BI167" i="12" s="1"/>
  <c r="BI168" i="12" s="1"/>
  <c r="BI169" i="12" s="1"/>
  <c r="BI170" i="12" s="1"/>
  <c r="BI171" i="12" s="1"/>
  <c r="BI172" i="12" s="1"/>
  <c r="BI173" i="12" s="1"/>
  <c r="BI174" i="12" s="1"/>
  <c r="BI175" i="12" s="1"/>
  <c r="BI176" i="12" s="1"/>
  <c r="BI177" i="12" s="1"/>
  <c r="BI178" i="12" s="1"/>
  <c r="BI179" i="12" s="1"/>
  <c r="BI180" i="12" s="1"/>
  <c r="BI181" i="12" s="1"/>
  <c r="BI182" i="12" s="1"/>
  <c r="BI183" i="12" s="1"/>
  <c r="BI184" i="12" s="1"/>
  <c r="BI185" i="12" s="1"/>
  <c r="BI186" i="12" s="1"/>
  <c r="BI187" i="12" s="1"/>
  <c r="BI188" i="12" s="1"/>
  <c r="BI189" i="12" s="1"/>
  <c r="BI190" i="12" s="1"/>
  <c r="BI191" i="12" s="1"/>
  <c r="BI192" i="12" s="1"/>
  <c r="BI193" i="12" s="1"/>
  <c r="BI194" i="12" s="1"/>
  <c r="BI195" i="12" s="1"/>
  <c r="BI196" i="12" s="1"/>
  <c r="BI197" i="12" s="1"/>
  <c r="BI198" i="12" s="1"/>
  <c r="BI199" i="12" s="1"/>
  <c r="BI200" i="12" s="1"/>
  <c r="BI201" i="12" s="1"/>
  <c r="BI202" i="12" s="1"/>
  <c r="BI203" i="12" s="1"/>
  <c r="BI204" i="12" s="1"/>
  <c r="BI205" i="12" s="1"/>
  <c r="BI206" i="12" s="1"/>
  <c r="BI207" i="12" s="1"/>
  <c r="BI208" i="12" s="1"/>
  <c r="BI209" i="12" s="1"/>
  <c r="BI210" i="12" s="1"/>
  <c r="BI211" i="12" s="1"/>
  <c r="BI212" i="12" s="1"/>
  <c r="BI213" i="12" s="1"/>
  <c r="BI214" i="12" s="1"/>
  <c r="BI215" i="12" s="1"/>
  <c r="BI216" i="12" s="1"/>
  <c r="BI217" i="12" s="1"/>
  <c r="BI218" i="12" s="1"/>
  <c r="BI219" i="12" s="1"/>
  <c r="BI220" i="12" s="1"/>
  <c r="BI221" i="12" s="1"/>
  <c r="BI222" i="12" s="1"/>
  <c r="BI223" i="12" s="1"/>
  <c r="BI224" i="12" s="1"/>
  <c r="BI225" i="12" s="1"/>
  <c r="BI226" i="12" s="1"/>
  <c r="BI227" i="12" s="1"/>
  <c r="BI228" i="12" s="1"/>
  <c r="BI229" i="12" s="1"/>
  <c r="BI230" i="12" s="1"/>
  <c r="BI231" i="12" s="1"/>
  <c r="BI232" i="12" s="1"/>
  <c r="BI233" i="12" s="1"/>
  <c r="BI234" i="12" s="1"/>
  <c r="BI235" i="12" s="1"/>
  <c r="BI236" i="12" s="1"/>
  <c r="BI237" i="12" s="1"/>
  <c r="BI238" i="12" s="1"/>
  <c r="BI239" i="12" s="1"/>
  <c r="BI240" i="12" s="1"/>
  <c r="BI241" i="12" s="1"/>
  <c r="BI242" i="12" s="1"/>
  <c r="BM2" i="12"/>
  <c r="BC242" i="12"/>
  <c r="BH242" i="12" s="1"/>
  <c r="BI243" i="12" l="1"/>
  <c r="BC243" i="12"/>
  <c r="BH243" i="12" s="1"/>
  <c r="BI244" i="12" l="1"/>
  <c r="BA244" i="12"/>
  <c r="BC244" i="12" l="1"/>
  <c r="BH244" i="12" s="1"/>
  <c r="BI245" i="12" s="1"/>
  <c r="BC245" i="12"/>
  <c r="BH245" i="12" s="1"/>
  <c r="BI246" i="12" l="1"/>
  <c r="BC246" i="12"/>
  <c r="BH246" i="12" s="1"/>
  <c r="BI247" i="12" l="1"/>
  <c r="BC247" i="12"/>
  <c r="BH247" i="12" s="1"/>
  <c r="BI248" i="12" l="1"/>
  <c r="BC248" i="12"/>
  <c r="BH248" i="12" s="1"/>
  <c r="BI249" i="12" s="1"/>
  <c r="BC249" i="12" l="1"/>
  <c r="BH249" i="12" s="1"/>
  <c r="BI250" i="12" s="1"/>
  <c r="BA250" i="12" l="1"/>
  <c r="BC250" i="12" l="1"/>
  <c r="BH250" i="12" s="1"/>
  <c r="BI251" i="12" s="1"/>
  <c r="BC251" i="12"/>
  <c r="BH251" i="12" s="1"/>
  <c r="BI252" i="12" l="1"/>
  <c r="BC252" i="12"/>
  <c r="BH252" i="12" s="1"/>
  <c r="BI253" i="12" l="1"/>
  <c r="BC253" i="12"/>
  <c r="BH253" i="12" s="1"/>
  <c r="BI254" i="12" l="1"/>
  <c r="BC254" i="12"/>
  <c r="BH254" i="12" s="1"/>
  <c r="BI255" i="12" l="1"/>
  <c r="BC255" i="12"/>
  <c r="BH255" i="12" s="1"/>
  <c r="BI256" i="12" l="1"/>
  <c r="BA256" i="12"/>
  <c r="BC256" i="12" l="1"/>
  <c r="BH256" i="12" s="1"/>
  <c r="BI257" i="12" s="1"/>
  <c r="BC257" i="12"/>
  <c r="BH257" i="12" s="1"/>
  <c r="BI258" i="12" l="1"/>
  <c r="BC258" i="12"/>
  <c r="BH258" i="12" s="1"/>
  <c r="BI259" i="12" l="1"/>
  <c r="BC259" i="12"/>
  <c r="BH259" i="12" s="1"/>
  <c r="BI260" i="12" l="1"/>
  <c r="BC260" i="12"/>
  <c r="BH260" i="12" s="1"/>
  <c r="BI261" i="12" l="1"/>
  <c r="BC261" i="12"/>
  <c r="BH261" i="12" s="1"/>
  <c r="BI262" i="12" l="1"/>
  <c r="BA262" i="12"/>
  <c r="BC262" i="12" l="1"/>
  <c r="BH262" i="12" s="1"/>
  <c r="BI263" i="12" s="1"/>
  <c r="BC263" i="12"/>
  <c r="BH263" i="12" s="1"/>
  <c r="BI264" i="12" l="1"/>
  <c r="BC264" i="12"/>
  <c r="BH264" i="12" s="1"/>
  <c r="BI265" i="12" l="1"/>
  <c r="BC265" i="12"/>
  <c r="BH265" i="12" s="1"/>
  <c r="BI266" i="12" l="1"/>
  <c r="BC266" i="12"/>
  <c r="BH266" i="12" s="1"/>
  <c r="BI267" i="12" l="1"/>
  <c r="BC267" i="12"/>
  <c r="BH267" i="12" s="1"/>
  <c r="BI268" i="12" s="1"/>
  <c r="BA268" i="12" l="1"/>
  <c r="BC268" i="12" l="1"/>
  <c r="BH268" i="12" s="1"/>
  <c r="BI269" i="12" s="1"/>
  <c r="BC269" i="12"/>
  <c r="BH269" i="12" s="1"/>
  <c r="BI270" i="12" l="1"/>
  <c r="BC270" i="12"/>
  <c r="BH270" i="12" s="1"/>
  <c r="BI271" i="12" s="1"/>
  <c r="BC271" i="12" l="1"/>
  <c r="BH271" i="12" s="1"/>
  <c r="BI272" i="12" s="1"/>
  <c r="BC272" i="12" l="1"/>
  <c r="BH272" i="12" s="1"/>
  <c r="BI273" i="12" s="1"/>
  <c r="BC273" i="12" l="1"/>
  <c r="BH273" i="12" s="1"/>
  <c r="BI274" i="12" s="1"/>
  <c r="BA274" i="12" l="1"/>
  <c r="BC274" i="12" l="1"/>
  <c r="BH274" i="12" s="1"/>
  <c r="BI275" i="12" s="1"/>
  <c r="BC275" i="12"/>
  <c r="BH275" i="12" s="1"/>
  <c r="BI276" i="12" l="1"/>
  <c r="BC276" i="12"/>
  <c r="BH276" i="12" s="1"/>
  <c r="BI277" i="12" l="1"/>
  <c r="BC277" i="12"/>
  <c r="BH277" i="12" s="1"/>
  <c r="BI278" i="12" l="1"/>
  <c r="BC278" i="12"/>
  <c r="BH278" i="12" s="1"/>
  <c r="BI279" i="12" l="1"/>
  <c r="BC279" i="12"/>
  <c r="BH279" i="12" s="1"/>
  <c r="BI280" i="12" s="1"/>
  <c r="BA280" i="12" l="1"/>
  <c r="BC280" i="12" l="1"/>
  <c r="BH280" i="12" s="1"/>
  <c r="BI281" i="12" s="1"/>
  <c r="BC281" i="12"/>
  <c r="BH281" i="12" s="1"/>
  <c r="BI282" i="12" l="1"/>
  <c r="BC282" i="12"/>
  <c r="BH282" i="12" s="1"/>
  <c r="BI283" i="12" s="1"/>
  <c r="BC283" i="12" l="1"/>
  <c r="BH283" i="12" s="1"/>
  <c r="BI284" i="12" s="1"/>
  <c r="BC284" i="12" l="1"/>
  <c r="BH284" i="12" s="1"/>
  <c r="BI285" i="12" s="1"/>
  <c r="BC285" i="12" l="1"/>
  <c r="BH285" i="12" s="1"/>
  <c r="BI286" i="12" s="1"/>
  <c r="BA286" i="12" l="1"/>
  <c r="BC286" i="12" l="1"/>
  <c r="BH286" i="12" s="1"/>
  <c r="BI287" i="12" s="1"/>
  <c r="BC287" i="12"/>
  <c r="BH287" i="12" s="1"/>
  <c r="BI288" i="12" l="1"/>
  <c r="BC288" i="12"/>
  <c r="BH288" i="12" s="1"/>
  <c r="BI289" i="12" l="1"/>
  <c r="BC289" i="12"/>
  <c r="BH289" i="12" s="1"/>
  <c r="BI290" i="12" l="1"/>
  <c r="BC290" i="12"/>
  <c r="BH290" i="12" s="1"/>
  <c r="BI291" i="12" l="1"/>
  <c r="BC291" i="12"/>
  <c r="BH291" i="12" s="1"/>
  <c r="BI292" i="12" l="1"/>
  <c r="BA292" i="12"/>
  <c r="BC292" i="12" l="1"/>
  <c r="BH292" i="12" s="1"/>
  <c r="BI293" i="12" s="1"/>
  <c r="BC293" i="12"/>
  <c r="BH293" i="12" s="1"/>
  <c r="BI294" i="12" l="1"/>
  <c r="BC294" i="12"/>
  <c r="BH294" i="12" s="1"/>
  <c r="BI295" i="12" l="1"/>
  <c r="BC295" i="12"/>
  <c r="BH295" i="12" s="1"/>
  <c r="BI296" i="12" l="1"/>
  <c r="BC296" i="12"/>
  <c r="BH296" i="12" s="1"/>
  <c r="BI297" i="12" s="1"/>
  <c r="BC297" i="12" l="1"/>
  <c r="BH297" i="12" s="1"/>
  <c r="BI298" i="12" s="1"/>
  <c r="BA298" i="12"/>
  <c r="BC298" i="12" l="1"/>
  <c r="BH298" i="12" s="1"/>
  <c r="BI299" i="12" s="1"/>
  <c r="BC299" i="12" l="1"/>
  <c r="BH299" i="12" s="1"/>
  <c r="BI300" i="12" s="1"/>
  <c r="BC300" i="12" l="1"/>
  <c r="BH300" i="12" s="1"/>
  <c r="BI301" i="12" s="1"/>
  <c r="BC301" i="12" l="1"/>
  <c r="BH301" i="12" s="1"/>
  <c r="BI302" i="12" s="1"/>
  <c r="BC302" i="12" l="1"/>
  <c r="BH302" i="12" s="1"/>
  <c r="BI303" i="12" s="1"/>
  <c r="BC303" i="12" l="1"/>
  <c r="BH303" i="12" s="1"/>
  <c r="BI304" i="12" s="1"/>
  <c r="BA304" i="12"/>
  <c r="BC304" i="12" l="1"/>
  <c r="BH304" i="12" s="1"/>
  <c r="BI305" i="12" s="1"/>
  <c r="BC305" i="12" l="1"/>
  <c r="BH305" i="12" s="1"/>
  <c r="BI306" i="12" s="1"/>
  <c r="BC306" i="12" l="1"/>
  <c r="BH306" i="12" s="1"/>
  <c r="BI307" i="12" s="1"/>
  <c r="BC307" i="12" l="1"/>
  <c r="BH307" i="12" s="1"/>
  <c r="BI308" i="12" s="1"/>
  <c r="BC308" i="12" l="1"/>
  <c r="BH308" i="12" s="1"/>
  <c r="BI309" i="12" s="1"/>
  <c r="BC309" i="12" l="1"/>
  <c r="BH309" i="12" s="1"/>
  <c r="BI310" i="12" s="1"/>
  <c r="BA310" i="12"/>
  <c r="BC310" i="12" l="1"/>
  <c r="BH310" i="12" s="1"/>
  <c r="BI311" i="12" s="1"/>
  <c r="BC311" i="12" l="1"/>
  <c r="BH311" i="12" s="1"/>
  <c r="BI312" i="12" s="1"/>
  <c r="BC312" i="12" l="1"/>
  <c r="BH312" i="12" s="1"/>
  <c r="BI313" i="12" s="1"/>
  <c r="BC313" i="12" l="1"/>
  <c r="BH313" i="12" s="1"/>
  <c r="BI314" i="12" s="1"/>
  <c r="BC314" i="12" l="1"/>
  <c r="BH314" i="12" s="1"/>
  <c r="BI315" i="12" s="1"/>
  <c r="BC315" i="12" l="1"/>
  <c r="BH315" i="12" s="1"/>
  <c r="BI316" i="12" s="1"/>
  <c r="BA316" i="12"/>
  <c r="BC316" i="12" l="1"/>
  <c r="BH316" i="12" s="1"/>
  <c r="BI317" i="12" s="1"/>
  <c r="BC317" i="12" l="1"/>
  <c r="BH317" i="12" s="1"/>
  <c r="BI318" i="12" s="1"/>
  <c r="BC318" i="12" l="1"/>
  <c r="BH318" i="12" s="1"/>
  <c r="BI319" i="12" s="1"/>
  <c r="BC319" i="12" l="1"/>
  <c r="BH319" i="12" s="1"/>
  <c r="BI320" i="12" s="1"/>
  <c r="BC320" i="12" l="1"/>
  <c r="BH320" i="12" s="1"/>
  <c r="BI321" i="12" s="1"/>
  <c r="BC321" i="12" l="1"/>
  <c r="BH321" i="12" s="1"/>
  <c r="BI322" i="12" s="1"/>
  <c r="BA322" i="12"/>
  <c r="BC322" i="12" l="1"/>
  <c r="BH322" i="12" s="1"/>
  <c r="BI323" i="12" s="1"/>
  <c r="BC323" i="12" l="1"/>
  <c r="BH323" i="12" s="1"/>
  <c r="BI324" i="12" s="1"/>
  <c r="BC324" i="12" l="1"/>
  <c r="BH324" i="12" s="1"/>
  <c r="BI325" i="12" s="1"/>
  <c r="BC325" i="12" l="1"/>
  <c r="BH325" i="12" s="1"/>
  <c r="BI326" i="12" s="1"/>
  <c r="BC326" i="12" l="1"/>
  <c r="BH326" i="12" s="1"/>
  <c r="BI327" i="12" s="1"/>
  <c r="BC327" i="12" l="1"/>
  <c r="BH327" i="12" s="1"/>
  <c r="BI328" i="12" s="1"/>
  <c r="BA328" i="12"/>
  <c r="BC328" i="12" l="1"/>
  <c r="BH328" i="12" s="1"/>
  <c r="BI329" i="12" s="1"/>
  <c r="BC329" i="12" l="1"/>
  <c r="BH329" i="12" s="1"/>
  <c r="BI330" i="12" s="1"/>
  <c r="BC330" i="12" l="1"/>
  <c r="BH330" i="12" s="1"/>
  <c r="BI331" i="12" s="1"/>
  <c r="BC331" i="12" l="1"/>
  <c r="BH331" i="12" s="1"/>
  <c r="BI332" i="12" s="1"/>
  <c r="BC332" i="12" l="1"/>
  <c r="BH332" i="12" s="1"/>
  <c r="BI333" i="12" s="1"/>
  <c r="BC333" i="12" l="1"/>
  <c r="BH333" i="12" s="1"/>
  <c r="BI334" i="12" s="1"/>
  <c r="BA334" i="12"/>
  <c r="BC334" i="12" l="1"/>
  <c r="BH334" i="12" s="1"/>
  <c r="BI335" i="12" s="1"/>
  <c r="BC335" i="12" l="1"/>
  <c r="BH335" i="12" s="1"/>
  <c r="BI336" i="12" s="1"/>
  <c r="BC336" i="12" l="1"/>
  <c r="BH336" i="12" s="1"/>
  <c r="BI337" i="12" s="1"/>
  <c r="BC337" i="12" l="1"/>
  <c r="BH337" i="12" s="1"/>
  <c r="BI338" i="12" s="1"/>
  <c r="BC338" i="12" l="1"/>
  <c r="BH338" i="12" s="1"/>
  <c r="BI339" i="12" s="1"/>
  <c r="BC339" i="12" l="1"/>
  <c r="BH339" i="12" s="1"/>
  <c r="BI340" i="12" s="1"/>
  <c r="BA340" i="12"/>
  <c r="BC340" i="12" l="1"/>
  <c r="BH340" i="12" s="1"/>
  <c r="BI341" i="12" s="1"/>
  <c r="BC341" i="12" l="1"/>
  <c r="BH341" i="12" s="1"/>
  <c r="BI342" i="12" s="1"/>
  <c r="BC342" i="12" l="1"/>
  <c r="BH342" i="12" s="1"/>
  <c r="BI343" i="12" s="1"/>
  <c r="BC343" i="12" l="1"/>
  <c r="BH343" i="12" s="1"/>
  <c r="BI344" i="12" s="1"/>
  <c r="BC344" i="12" l="1"/>
  <c r="BH344" i="12" s="1"/>
  <c r="BI345" i="12" s="1"/>
  <c r="BC345" i="12" l="1"/>
  <c r="BH345" i="12" s="1"/>
  <c r="BI346" i="12" s="1"/>
  <c r="BA346" i="12"/>
  <c r="BC346" i="12" l="1"/>
  <c r="BH346" i="12" s="1"/>
  <c r="BI347" i="12" s="1"/>
  <c r="BC347" i="12" l="1"/>
  <c r="BH347" i="12" s="1"/>
  <c r="BI348" i="12" s="1"/>
  <c r="BC348" i="12" l="1"/>
  <c r="BH348" i="12" s="1"/>
  <c r="BI349" i="12" s="1"/>
  <c r="BC349" i="12" l="1"/>
  <c r="BH349" i="12" s="1"/>
  <c r="BI350" i="12" s="1"/>
  <c r="BC350" i="12" l="1"/>
  <c r="BH350" i="12" s="1"/>
  <c r="BI351" i="12" s="1"/>
  <c r="BC351" i="12" l="1"/>
  <c r="BH351" i="12" s="1"/>
  <c r="BI352" i="12" s="1"/>
  <c r="BA352" i="12"/>
  <c r="BC352" i="12" l="1"/>
  <c r="BH352" i="12" s="1"/>
  <c r="BI353" i="12" s="1"/>
  <c r="BC353" i="12" l="1"/>
  <c r="BH353" i="12" s="1"/>
  <c r="BI354" i="12" s="1"/>
  <c r="BC354" i="12" l="1"/>
  <c r="BH354" i="12" s="1"/>
  <c r="BI355" i="12" s="1"/>
  <c r="BC355" i="12" l="1"/>
  <c r="BH355" i="12" s="1"/>
  <c r="BI356" i="12" s="1"/>
  <c r="BC356" i="12" l="1"/>
  <c r="BH356" i="12" s="1"/>
  <c r="BI357" i="12" s="1"/>
  <c r="BC357" i="12" l="1"/>
  <c r="BH357" i="12" s="1"/>
  <c r="BI358" i="12" s="1"/>
  <c r="BA358" i="12" l="1"/>
  <c r="BC359" i="12" l="1"/>
  <c r="BK2" i="12"/>
  <c r="BC358" i="12"/>
  <c r="BH358" i="12" s="1"/>
  <c r="BI359" i="12" s="1"/>
  <c r="BI360" i="12" s="1"/>
  <c r="BI361" i="12" s="1"/>
  <c r="BI362" i="12" s="1"/>
  <c r="BI363" i="12" s="1"/>
  <c r="BI364" i="12" s="1"/>
  <c r="BI365" i="12" s="1"/>
  <c r="BI366" i="12" s="1"/>
  <c r="BI367" i="12" s="1"/>
  <c r="BI368" i="12" s="1"/>
  <c r="BI369" i="12" s="1"/>
  <c r="BI370" i="12" s="1"/>
  <c r="BI371" i="12" s="1"/>
  <c r="BI372" i="12" s="1"/>
  <c r="BI373" i="12" s="1"/>
  <c r="BI374" i="12" s="1"/>
  <c r="BI375" i="12" s="1"/>
  <c r="BI376" i="12" s="1"/>
  <c r="BI377" i="12" s="1"/>
  <c r="BI378" i="12" s="1"/>
  <c r="BI379" i="12" s="1"/>
  <c r="BI380" i="12" s="1"/>
  <c r="BI381" i="12" s="1"/>
  <c r="BI382" i="12" s="1"/>
  <c r="BI383" i="12" s="1"/>
  <c r="BI384" i="12" s="1"/>
  <c r="BI385" i="12" s="1"/>
  <c r="BI386" i="12" s="1"/>
  <c r="BI387" i="12" s="1"/>
  <c r="BI388" i="12" s="1"/>
  <c r="BI389" i="12" s="1"/>
  <c r="BI390" i="12" s="1"/>
  <c r="BI391" i="12" s="1"/>
  <c r="BI392" i="12" s="1"/>
  <c r="BI393" i="12" s="1"/>
  <c r="BI394" i="12" s="1"/>
  <c r="BI395" i="12" s="1"/>
  <c r="BI396" i="12" s="1"/>
  <c r="BI397" i="12" s="1"/>
  <c r="BI398" i="12" s="1"/>
  <c r="BI399" i="12" s="1"/>
  <c r="BI400" i="12" s="1"/>
  <c r="BI401" i="12" s="1"/>
  <c r="BI402" i="12" s="1"/>
  <c r="BI403" i="12" s="1"/>
  <c r="BI404" i="12" s="1"/>
  <c r="BI405" i="12" s="1"/>
  <c r="BI406" i="12" s="1"/>
  <c r="BI407" i="12" s="1"/>
  <c r="BI408" i="12" s="1"/>
  <c r="BI409" i="12" s="1"/>
  <c r="BI410" i="12" s="1"/>
  <c r="BI411" i="12" s="1"/>
  <c r="BI412" i="12" s="1"/>
  <c r="BI413" i="12" s="1"/>
  <c r="BI414" i="12" s="1"/>
  <c r="BI415" i="12" s="1"/>
  <c r="BI416" i="12" s="1"/>
  <c r="BI417" i="12" s="1"/>
  <c r="BI418" i="12" s="1"/>
  <c r="BI419" i="12" s="1"/>
  <c r="BI420" i="12" s="1"/>
  <c r="BI421" i="12" s="1"/>
  <c r="BI422" i="12" s="1"/>
  <c r="BI423" i="12" s="1"/>
  <c r="BI424" i="12" s="1"/>
  <c r="BI425" i="12" s="1"/>
  <c r="BI426" i="12" s="1"/>
  <c r="BI427" i="12" s="1"/>
  <c r="BI428" i="12" s="1"/>
  <c r="BI429" i="12" s="1"/>
  <c r="BI430" i="12" s="1"/>
  <c r="BI431" i="12" s="1"/>
  <c r="BI432" i="12" s="1"/>
  <c r="BI433" i="12" s="1"/>
  <c r="BI434" i="12" s="1"/>
  <c r="BI435" i="12" s="1"/>
  <c r="BI436" i="12" s="1"/>
  <c r="BI437" i="12" s="1"/>
  <c r="BI438" i="12" s="1"/>
  <c r="BI439" i="12" s="1"/>
  <c r="BI440" i="12" s="1"/>
  <c r="BI441" i="12" s="1"/>
  <c r="BI442" i="12" s="1"/>
  <c r="BI443" i="12" s="1"/>
  <c r="BI444" i="12" s="1"/>
  <c r="BI445" i="12" s="1"/>
  <c r="BI446" i="12" s="1"/>
  <c r="BI447" i="12" s="1"/>
  <c r="BI448" i="12" s="1"/>
  <c r="BI449" i="12" s="1"/>
  <c r="BI450" i="12" s="1"/>
  <c r="BI451" i="12" s="1"/>
  <c r="BI452" i="12" s="1"/>
  <c r="BI453" i="12" s="1"/>
  <c r="BI454" i="12" s="1"/>
  <c r="BI455" i="12" s="1"/>
  <c r="BI456" i="12" s="1"/>
  <c r="BI457" i="12" s="1"/>
  <c r="BI458" i="12" s="1"/>
  <c r="BI459" i="12" s="1"/>
  <c r="BI460" i="12" s="1"/>
  <c r="BI461" i="12" s="1"/>
  <c r="BI462" i="12" s="1"/>
  <c r="BI463" i="12" s="1"/>
  <c r="BI464" i="12" s="1"/>
  <c r="BI465" i="12" s="1"/>
  <c r="BI466" i="12" s="1"/>
  <c r="BI467" i="12" s="1"/>
  <c r="BI468" i="12" s="1"/>
  <c r="BI469" i="12" s="1"/>
  <c r="BI470" i="12" s="1"/>
  <c r="BI471" i="12" s="1"/>
  <c r="BI472" i="12" s="1"/>
  <c r="BI473" i="12" s="1"/>
  <c r="BI474" i="12" s="1"/>
  <c r="BI475" i="12" s="1"/>
  <c r="BI476" i="12" s="1"/>
  <c r="BI477" i="12" s="1"/>
  <c r="BI478" i="12" s="1"/>
  <c r="BI479" i="12" s="1"/>
  <c r="BI480" i="12" s="1"/>
  <c r="BI481" i="12" s="1"/>
  <c r="BI482" i="12" s="1"/>
  <c r="BI483" i="12" s="1"/>
  <c r="BI484" i="12" s="1"/>
  <c r="BI485" i="12" s="1"/>
  <c r="BI486" i="12" s="1"/>
  <c r="BI487" i="12" s="1"/>
  <c r="BI488" i="12" s="1"/>
  <c r="BI489" i="12" s="1"/>
  <c r="BI490" i="12" s="1"/>
  <c r="BI491" i="12" s="1"/>
  <c r="BI492" i="12" s="1"/>
  <c r="BI493" i="12" s="1"/>
  <c r="BI494" i="12" s="1"/>
  <c r="BI495" i="12" s="1"/>
  <c r="BI496" i="12" s="1"/>
  <c r="BI497" i="12" s="1"/>
  <c r="BI498" i="12" s="1"/>
  <c r="BI499" i="12" s="1"/>
  <c r="BI500" i="12" s="1"/>
  <c r="BI501" i="12" s="1"/>
  <c r="BI502" i="12" s="1"/>
  <c r="BI503" i="12" s="1"/>
  <c r="BI504" i="12" s="1"/>
  <c r="BI505" i="12" s="1"/>
  <c r="BI506" i="12" s="1"/>
  <c r="BI507" i="12" s="1"/>
  <c r="BI508" i="12" s="1"/>
  <c r="BI509" i="12" s="1"/>
  <c r="BI510" i="12" s="1"/>
  <c r="BC360" i="12"/>
  <c r="BC361" i="12" l="1"/>
  <c r="BC362" i="12" l="1"/>
  <c r="BC363" i="12" l="1"/>
  <c r="BC364" i="12" l="1"/>
  <c r="BC365" i="12" l="1"/>
  <c r="BC366" i="12" l="1"/>
  <c r="BC367" i="12" l="1"/>
  <c r="BC368" i="12" l="1"/>
  <c r="BC369" i="12" l="1"/>
  <c r="BC370" i="12" l="1"/>
  <c r="BC371" i="12" l="1"/>
  <c r="BC372" i="12" l="1"/>
  <c r="BC373" i="12" l="1"/>
  <c r="BC374" i="12" l="1"/>
  <c r="BC375" i="12" l="1"/>
  <c r="BC376" i="12" l="1"/>
  <c r="BC377" i="12" l="1"/>
  <c r="BC378" i="12" l="1"/>
  <c r="BC379" i="12" l="1"/>
  <c r="BC380" i="12" l="1"/>
  <c r="BC381" i="12" l="1"/>
  <c r="BC382" i="12" l="1"/>
  <c r="BC383" i="12" l="1"/>
  <c r="BC384" i="12" l="1"/>
  <c r="BC385" i="12" l="1"/>
  <c r="BC386" i="12" l="1"/>
  <c r="BC387" i="12" l="1"/>
  <c r="BC388" i="12" l="1"/>
  <c r="BC389" i="12" l="1"/>
  <c r="BC390" i="12" l="1"/>
  <c r="BC391" i="12" l="1"/>
  <c r="BC392" i="12" l="1"/>
  <c r="BC393" i="12" l="1"/>
  <c r="BC394" i="12" l="1"/>
  <c r="BC395" i="12" l="1"/>
  <c r="BC396" i="12" l="1"/>
  <c r="BC397" i="12" l="1"/>
  <c r="BC398" i="12" l="1"/>
  <c r="BC399" i="12" l="1"/>
  <c r="BC400" i="12" l="1"/>
  <c r="BC401" i="12" l="1"/>
  <c r="BC402" i="12" l="1"/>
  <c r="BC403" i="12" l="1"/>
  <c r="BC404" i="12" l="1"/>
  <c r="BC405" i="12" l="1"/>
  <c r="BC406" i="12" l="1"/>
  <c r="BC407" i="12" l="1"/>
  <c r="BC408" i="12" l="1"/>
  <c r="BC409" i="12" l="1"/>
  <c r="BC410" i="12" l="1"/>
  <c r="BC411" i="12" l="1"/>
  <c r="BC412" i="12" l="1"/>
  <c r="BC413" i="12" l="1"/>
  <c r="BC414" i="12" l="1"/>
  <c r="BC415" i="12" l="1"/>
  <c r="BC416" i="12" l="1"/>
  <c r="BC417" i="12" l="1"/>
  <c r="BC418" i="12" l="1"/>
  <c r="BC419" i="12" l="1"/>
  <c r="BC420" i="12" l="1"/>
  <c r="BC421" i="12" l="1"/>
  <c r="BC422" i="12" l="1"/>
  <c r="BC423" i="12" l="1"/>
  <c r="BC424" i="12" l="1"/>
  <c r="BC425" i="12" l="1"/>
  <c r="BC426" i="12" l="1"/>
  <c r="BC427" i="12" l="1"/>
  <c r="BC428" i="12" l="1"/>
  <c r="BC429" i="12" l="1"/>
  <c r="BC430" i="12" l="1"/>
  <c r="BC431" i="12" l="1"/>
  <c r="BC432" i="12" l="1"/>
  <c r="BC433" i="12" l="1"/>
  <c r="BC434" i="12" l="1"/>
  <c r="BC435" i="12" l="1"/>
  <c r="BC436" i="12" l="1"/>
  <c r="BC437" i="12" l="1"/>
  <c r="BC438" i="12" l="1"/>
  <c r="BC439" i="12" l="1"/>
  <c r="BC440" i="12" l="1"/>
  <c r="BC441" i="12" l="1"/>
  <c r="BC442" i="12" l="1"/>
  <c r="BC443" i="12" l="1"/>
  <c r="BC444" i="12" l="1"/>
  <c r="BC445" i="12" l="1"/>
  <c r="BC446" i="12" l="1"/>
  <c r="BC447" i="12" l="1"/>
  <c r="BC448" i="12" l="1"/>
  <c r="BC449" i="12" l="1"/>
  <c r="BC450" i="12" l="1"/>
  <c r="BC451" i="12" l="1"/>
  <c r="BC452" i="12" l="1"/>
  <c r="BC453" i="12" l="1"/>
  <c r="BC454" i="12" l="1"/>
  <c r="BC455" i="12" l="1"/>
  <c r="BC456" i="12" l="1"/>
  <c r="BC457" i="12" l="1"/>
  <c r="BC458" i="12" l="1"/>
  <c r="BC459" i="12" l="1"/>
  <c r="BC460" i="12" l="1"/>
  <c r="BC461" i="12" l="1"/>
  <c r="BC462" i="12" l="1"/>
  <c r="BC463" i="12" l="1"/>
  <c r="BC464" i="12" l="1"/>
  <c r="BC465" i="12" l="1"/>
  <c r="BC466" i="12" l="1"/>
  <c r="BC467" i="12" l="1"/>
  <c r="BC468" i="12" l="1"/>
  <c r="BC469" i="12" l="1"/>
  <c r="BC470" i="12" l="1"/>
  <c r="BC471" i="12" l="1"/>
  <c r="BC472" i="12" l="1"/>
  <c r="BC473" i="12" l="1"/>
  <c r="BC474" i="12" l="1"/>
  <c r="BC475" i="12" l="1"/>
  <c r="BC476" i="12" l="1"/>
  <c r="BC477" i="12" l="1"/>
  <c r="BC478" i="12" l="1"/>
  <c r="BC479" i="12" l="1"/>
  <c r="BC480" i="12" l="1"/>
  <c r="BC481" i="12" l="1"/>
  <c r="BC482" i="12" l="1"/>
  <c r="BC483" i="12" l="1"/>
  <c r="BC484" i="12" l="1"/>
  <c r="BC485" i="12" l="1"/>
  <c r="BC486" i="12" l="1"/>
  <c r="BC487" i="12" l="1"/>
  <c r="BC488" i="12" l="1"/>
  <c r="BC489" i="12" l="1"/>
  <c r="BC490" i="12" l="1"/>
  <c r="BC491" i="12" l="1"/>
  <c r="BC492" i="12" l="1"/>
  <c r="BC493" i="12" l="1"/>
  <c r="BC494" i="12" l="1"/>
  <c r="BC495" i="12" l="1"/>
  <c r="BC496" i="12" l="1"/>
  <c r="BC497" i="12" l="1"/>
  <c r="BC498" i="12" l="1"/>
  <c r="BC499" i="12" l="1"/>
  <c r="BC500" i="12" l="1"/>
  <c r="BC501" i="12" l="1"/>
  <c r="BC502" i="12" l="1"/>
  <c r="BC503" i="12" l="1"/>
  <c r="BC504" i="12" l="1"/>
  <c r="BC505" i="12" l="1"/>
  <c r="BC506" i="12" l="1"/>
  <c r="BC507" i="12" l="1"/>
  <c r="BC508" i="12" l="1"/>
  <c r="BC509" i="12" l="1"/>
  <c r="BC510" i="12" l="1"/>
  <c r="BC2" i="12"/>
  <c r="BB2" i="12"/>
</calcChain>
</file>

<file path=xl/sharedStrings.xml><?xml version="1.0" encoding="utf-8"?>
<sst xmlns="http://schemas.openxmlformats.org/spreadsheetml/2006/main" count="5201" uniqueCount="828">
  <si>
    <t>Unrated</t>
  </si>
  <si>
    <t>Not Applicable</t>
  </si>
  <si>
    <t>BBB+</t>
  </si>
  <si>
    <t>A+</t>
  </si>
  <si>
    <t>BB+</t>
  </si>
  <si>
    <t>Baa2</t>
  </si>
  <si>
    <t>Baa1</t>
  </si>
  <si>
    <t>Baa3</t>
  </si>
  <si>
    <t>A1</t>
  </si>
  <si>
    <t>A2</t>
  </si>
  <si>
    <t>B1</t>
  </si>
  <si>
    <t>Aa3</t>
  </si>
  <si>
    <t>B2</t>
  </si>
  <si>
    <t>BBB</t>
  </si>
  <si>
    <t>Country of Origin of the Instrument</t>
  </si>
  <si>
    <t>N/A</t>
  </si>
  <si>
    <t>Saudi Arabia</t>
  </si>
  <si>
    <t>Kuwait</t>
  </si>
  <si>
    <t>At maturity</t>
  </si>
  <si>
    <t>Bahrain</t>
  </si>
  <si>
    <t>UAE</t>
  </si>
  <si>
    <t>Lebanon</t>
  </si>
  <si>
    <t>Semi-annual</t>
  </si>
  <si>
    <t>Qatar</t>
  </si>
  <si>
    <t>Oman</t>
  </si>
  <si>
    <t>Rating</t>
  </si>
  <si>
    <t>A</t>
  </si>
  <si>
    <t>B</t>
  </si>
  <si>
    <t>AA</t>
  </si>
  <si>
    <t>S&amp;P</t>
  </si>
  <si>
    <t>B+</t>
  </si>
  <si>
    <t>Long-term</t>
  </si>
  <si>
    <t>Short-term</t>
  </si>
  <si>
    <t>Aaa</t>
  </si>
  <si>
    <t>P-1</t>
  </si>
  <si>
    <t>AAA</t>
  </si>
  <si>
    <t>A-1+</t>
  </si>
  <si>
    <t>F1+</t>
  </si>
  <si>
    <t>Prime</t>
  </si>
  <si>
    <t>Aa1</t>
  </si>
  <si>
    <t>AA+</t>
  </si>
  <si>
    <t>High grade</t>
  </si>
  <si>
    <t>Aa2</t>
  </si>
  <si>
    <t>A-1</t>
  </si>
  <si>
    <t>F1</t>
  </si>
  <si>
    <t>Upper medium grade</t>
  </si>
  <si>
    <t>A3</t>
  </si>
  <si>
    <t>P-2</t>
  </si>
  <si>
    <t>A-2</t>
  </si>
  <si>
    <t>F2</t>
  </si>
  <si>
    <t>Lower medium grade</t>
  </si>
  <si>
    <t>P-3</t>
  </si>
  <si>
    <t>F3</t>
  </si>
  <si>
    <t>A-3</t>
  </si>
  <si>
    <t>Ba1</t>
  </si>
  <si>
    <t>Not Prime</t>
  </si>
  <si>
    <t>Non-investment grade</t>
  </si>
  <si>
    <t>speculative</t>
  </si>
  <si>
    <t>Ba2</t>
  </si>
  <si>
    <t>BB</t>
  </si>
  <si>
    <t>Ba3</t>
  </si>
  <si>
    <t>Highly speculative</t>
  </si>
  <si>
    <t>B3</t>
  </si>
  <si>
    <t>Caa1</t>
  </si>
  <si>
    <t>CCC+</t>
  </si>
  <si>
    <t>C</t>
  </si>
  <si>
    <t>Substantial risks</t>
  </si>
  <si>
    <t>Caa2</t>
  </si>
  <si>
    <t>CCC</t>
  </si>
  <si>
    <t>Caa3</t>
  </si>
  <si>
    <t>Ca</t>
  </si>
  <si>
    <t>CC</t>
  </si>
  <si>
    <t>Extremely speculative</t>
  </si>
  <si>
    <t>Default imminent</t>
  </si>
  <si>
    <t>RD</t>
  </si>
  <si>
    <t>D</t>
  </si>
  <si>
    <t>DDD</t>
  </si>
  <si>
    <t>In default</t>
  </si>
  <si>
    <t>SD</t>
  </si>
  <si>
    <t>DD</t>
  </si>
  <si>
    <t>Score</t>
  </si>
  <si>
    <t>Moody's</t>
  </si>
  <si>
    <t>Fitch</t>
  </si>
  <si>
    <t>Final Rating Agency</t>
  </si>
  <si>
    <t>Final Current Rating</t>
  </si>
  <si>
    <t>S.No.</t>
  </si>
  <si>
    <t>Exposure Amount</t>
  </si>
  <si>
    <t>Total Exposure %</t>
  </si>
  <si>
    <t>Total Exposure</t>
  </si>
  <si>
    <t>Average</t>
  </si>
  <si>
    <t>Aa</t>
  </si>
  <si>
    <t>Baa</t>
  </si>
  <si>
    <t>Ba</t>
  </si>
  <si>
    <t>Caa-C</t>
  </si>
  <si>
    <t>Exhibit 34 - Average Cumulative Issuer-Weighted Global Default Rates by Letter Rating, 1983-2015*</t>
  </si>
  <si>
    <t>Inv Grade</t>
  </si>
  <si>
    <t>Spec Grade</t>
  </si>
  <si>
    <t>All Grades</t>
  </si>
  <si>
    <t>Investment Grade</t>
  </si>
  <si>
    <t>Marginal Default Rates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</si>
  <si>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</si>
  <si>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</si>
  <si>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</si>
  <si>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</si>
  <si>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</si>
  <si>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</si>
  <si>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</si>
  <si>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</si>
  <si>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</si>
  <si>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</si>
  <si>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</si>
  <si>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</si>
  <si>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</si>
  <si>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</si>
  <si>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</si>
  <si>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</si>
  <si>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</si>
  <si>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</si>
  <si>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</si>
  <si>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</si>
  <si>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Count</t>
  </si>
  <si>
    <t>Std. Deviation</t>
  </si>
  <si>
    <t>Z- Value</t>
  </si>
  <si>
    <t>Year</t>
  </si>
  <si>
    <t>Mean</t>
  </si>
  <si>
    <t>Meadian</t>
  </si>
  <si>
    <t>Std. Dev</t>
  </si>
  <si>
    <t>Min</t>
  </si>
  <si>
    <t>Max</t>
  </si>
  <si>
    <t>All Rated</t>
  </si>
  <si>
    <t>Begin Year</t>
  </si>
  <si>
    <t xml:space="preserve">End Year </t>
  </si>
  <si>
    <t>Exhibit 30: Annual Issuer-Weighted Corporate Default Rates by Letter Rating, 1920-2015</t>
  </si>
  <si>
    <t>Z-Values</t>
  </si>
  <si>
    <t>Saudi Arabia - IMF Source Macro Economic Variables</t>
  </si>
  <si>
    <t>Projected Years</t>
  </si>
  <si>
    <t>Gross domestic product, deflator (Index)</t>
  </si>
  <si>
    <t>Inflation, average consumer prices (% Change)</t>
  </si>
  <si>
    <t>General government total expenditure (% of GDP</t>
  </si>
  <si>
    <t>General government net lending/borrowing (% of GDP)</t>
  </si>
  <si>
    <t>General government primary net lending/borrowing (% of GDP)</t>
  </si>
  <si>
    <t>General government net debt (% of GDP)</t>
  </si>
  <si>
    <t>General government gross debt (% of GDP</t>
  </si>
  <si>
    <t>Current account balance (% of GDP)</t>
  </si>
  <si>
    <t>Projection Year</t>
  </si>
  <si>
    <t>Saudi Arabia - Regression Table</t>
  </si>
  <si>
    <t>E</t>
  </si>
  <si>
    <t>F</t>
  </si>
  <si>
    <t>G</t>
  </si>
  <si>
    <t>H</t>
  </si>
  <si>
    <t>I</t>
  </si>
  <si>
    <t>J</t>
  </si>
  <si>
    <t>Lag of Inflation, average consumer prices (% Change)</t>
  </si>
  <si>
    <t>Lag of General government net debt (% of GDP)</t>
  </si>
  <si>
    <t>Year 2005 - 2015</t>
  </si>
  <si>
    <t>So Begin Year 2004 and End Year 2015</t>
  </si>
  <si>
    <t>Ca-C</t>
  </si>
  <si>
    <t>Default</t>
  </si>
  <si>
    <t>Step 1</t>
  </si>
  <si>
    <t>Step 2</t>
  </si>
  <si>
    <t>1 Year</t>
  </si>
  <si>
    <t>2 Year</t>
  </si>
  <si>
    <t>3 Year</t>
  </si>
  <si>
    <t>4 Year</t>
  </si>
  <si>
    <t>5 Year</t>
  </si>
  <si>
    <t>6 Year</t>
  </si>
  <si>
    <t>7 Year</t>
  </si>
  <si>
    <t>8 Year</t>
  </si>
  <si>
    <t>9 Year</t>
  </si>
  <si>
    <t>10 Year</t>
  </si>
  <si>
    <t>Adding Default Row - Default as 100%</t>
  </si>
  <si>
    <t>Step 3</t>
  </si>
  <si>
    <t>Rating Grade</t>
  </si>
  <si>
    <t>Country Of Instrument</t>
  </si>
  <si>
    <t>Final Derived PD Transition Matrix</t>
  </si>
  <si>
    <t>Month</t>
  </si>
  <si>
    <t>Yearly Cumulative PD</t>
  </si>
  <si>
    <t>Forwar Looking Yearly Cumulative PD%</t>
  </si>
  <si>
    <t>Final Derived Forward Looking PiT PD%</t>
  </si>
  <si>
    <t>Country</t>
  </si>
  <si>
    <t>Valuation Date</t>
  </si>
  <si>
    <t>Expiry Date</t>
  </si>
  <si>
    <t>PD-12 m</t>
  </si>
  <si>
    <t>Discount Rate- 12 M</t>
  </si>
  <si>
    <t>LGD</t>
  </si>
  <si>
    <t>LECL</t>
  </si>
  <si>
    <t>12-M ECL</t>
  </si>
  <si>
    <t>Final ECL</t>
  </si>
  <si>
    <t>Stage</t>
  </si>
  <si>
    <t>No.</t>
  </si>
  <si>
    <t>Monthly Dates</t>
  </si>
  <si>
    <t>EAD-End of Period</t>
  </si>
  <si>
    <t>Days for Discounting</t>
  </si>
  <si>
    <t>PD Marginal</t>
  </si>
  <si>
    <t>Discount Rate</t>
  </si>
  <si>
    <t>EL</t>
  </si>
  <si>
    <t>CUM EL</t>
  </si>
  <si>
    <t>12-M Selector</t>
  </si>
  <si>
    <t>12-M EL</t>
  </si>
  <si>
    <t>Macro Adjusted PD</t>
  </si>
  <si>
    <t>Reporting Date</t>
  </si>
  <si>
    <t>Interest Payment Frequency</t>
  </si>
  <si>
    <t>Lookup Number (Repayment every Year)</t>
  </si>
  <si>
    <t>Annual</t>
  </si>
  <si>
    <t>Quarterly</t>
  </si>
  <si>
    <t>Half Yearly</t>
  </si>
  <si>
    <t>Monthly</t>
  </si>
  <si>
    <t>Unrated Ratings</t>
  </si>
  <si>
    <t>Replacable</t>
  </si>
  <si>
    <t>Yes</t>
  </si>
  <si>
    <t>No</t>
  </si>
  <si>
    <t>Regulatory LGD</t>
  </si>
  <si>
    <t>Inputs to ECL Calculator</t>
  </si>
  <si>
    <t>Equally distributing WR(Withdrawal Rating) Rating percentages</t>
  </si>
  <si>
    <t>Payment Indicator</t>
  </si>
  <si>
    <t>Payment Date</t>
  </si>
  <si>
    <t>Principal Payment Frequency</t>
  </si>
  <si>
    <t>Principal Repayment Dates</t>
  </si>
  <si>
    <t>Interest payment Frequency</t>
  </si>
  <si>
    <t>S.No</t>
  </si>
  <si>
    <t>Principal Amount</t>
  </si>
  <si>
    <t>Principal Repayment Indicator</t>
  </si>
  <si>
    <t>Principal Repayment</t>
  </si>
  <si>
    <t>Interest Repayment Dates</t>
  </si>
  <si>
    <t>Interest Repayment Indicator</t>
  </si>
  <si>
    <t>Interest Repayment</t>
  </si>
  <si>
    <t>Total Repayment</t>
  </si>
  <si>
    <t>Principal Repayments</t>
  </si>
  <si>
    <t>Interest Repayments</t>
  </si>
  <si>
    <t>USD</t>
  </si>
  <si>
    <t>Pricipal Exposure</t>
  </si>
  <si>
    <t>Egypt</t>
  </si>
  <si>
    <t>Total Outstanding</t>
  </si>
  <si>
    <t>Accrued Interest</t>
  </si>
  <si>
    <t>Interest Rate</t>
  </si>
  <si>
    <t>Interest Amount (Future)</t>
  </si>
  <si>
    <t>Interest accrued (Till Date)</t>
  </si>
  <si>
    <t>Stage 2</t>
  </si>
  <si>
    <t>Stage 3</t>
  </si>
  <si>
    <t>Stage 1</t>
  </si>
  <si>
    <t>Final Score Staging</t>
  </si>
  <si>
    <t>ECL %age</t>
  </si>
  <si>
    <t>Total Interest Amount</t>
  </si>
  <si>
    <t>Future Interest Amount</t>
  </si>
  <si>
    <t>AA-</t>
  </si>
  <si>
    <t>A-</t>
  </si>
  <si>
    <t>BBB-</t>
  </si>
  <si>
    <t>BB-</t>
  </si>
  <si>
    <t>B-</t>
  </si>
  <si>
    <t>CCC-</t>
  </si>
  <si>
    <t>S&amp;P/CI</t>
  </si>
  <si>
    <t>PROJ_NO</t>
  </si>
  <si>
    <t>PROJ_ENG_NAME</t>
  </si>
  <si>
    <t>TALKHA FERTILIZER PLANT</t>
  </si>
  <si>
    <t>ELECTRICAL DISPAT CENTERS</t>
  </si>
  <si>
    <t>KING TALAL DAM.</t>
  </si>
  <si>
    <t>SANAA WATER</t>
  </si>
  <si>
    <t>OMAR AL-KHAIAM HOTEL</t>
  </si>
  <si>
    <t>ELECTRICITY AND SITRA WATER (1)</t>
  </si>
  <si>
    <t>ETUDE SOUSSE NORD TUNI</t>
  </si>
  <si>
    <t>RAILWAYS PASS. WAGONS</t>
  </si>
  <si>
    <t>EMBALLAGES METALIQUES</t>
  </si>
  <si>
    <t>SOUTH. UPLAND R.DEVE. (1)</t>
  </si>
  <si>
    <t>ABI QAIR ELECTRICITY</t>
  </si>
  <si>
    <t>AZRAQ SAUDI BORDERS ROAD</t>
  </si>
  <si>
    <t>RESIDENTIAL BUIDLING</t>
  </si>
  <si>
    <t>SMALL SCALE INDUSSTRIES</t>
  </si>
  <si>
    <t>SITRA P&amp;W STATION</t>
  </si>
  <si>
    <t>PURSHASING OF FISHING BOATS</t>
  </si>
  <si>
    <t>GEOLOGICAL SURVEY</t>
  </si>
  <si>
    <t>COTTON SPINNING FACTORIES</t>
  </si>
  <si>
    <t>FISHERIES DEVELOPMENT</t>
  </si>
  <si>
    <t>MACHINE TOOLS FACTORY</t>
  </si>
  <si>
    <t>GARHWAL RISHIKSH HY.E.</t>
  </si>
  <si>
    <t>BALHAJ ABDULLAH COTTON FACTORY</t>
  </si>
  <si>
    <t>GAS FIELDS DEVELOPMENT IN EBAL</t>
  </si>
  <si>
    <t>SELINGUE DAM PROJECT</t>
  </si>
  <si>
    <t>SABAH FLOUR &amp; FEED MI.</t>
  </si>
  <si>
    <t>SARAWAK LAND DEVELOPMENT</t>
  </si>
  <si>
    <t>DWALA BAOUND ROAD</t>
  </si>
  <si>
    <t>TRANSPORTATION NET DEVELOPMENT</t>
  </si>
  <si>
    <t>BANDUNG POWER DIST.</t>
  </si>
  <si>
    <t>YANDOM AIRPORT</t>
  </si>
  <si>
    <t>AL-HASA PHOSPHAT MINING</t>
  </si>
  <si>
    <t>BAGHLAN SUGAR</t>
  </si>
  <si>
    <t>BEIRUT PORT FOURTH BASIN</t>
  </si>
  <si>
    <t>ELECTRICITY DEVELOPMENT</t>
  </si>
  <si>
    <t>KAGERA SUGER PROJECT</t>
  </si>
  <si>
    <t>STEEL BARS MILL</t>
  </si>
  <si>
    <t>ALSOUIC CANAL DEVELOPMENT</t>
  </si>
  <si>
    <t>BANIAS POWER STATION</t>
  </si>
  <si>
    <t>SUDAN RAILWAYS DEVELOPMENT</t>
  </si>
  <si>
    <t>BAHRAIN EL.(RIFFA)</t>
  </si>
  <si>
    <t>CEMENT CLINKER PROD</t>
  </si>
  <si>
    <t>KAMOBEUL DAM</t>
  </si>
  <si>
    <t>INTERNATIONAL AIRPORT</t>
  </si>
  <si>
    <t>WADI SIHAM PROJECT</t>
  </si>
  <si>
    <t>EAST WEST ELECT INTERCO.</t>
  </si>
  <si>
    <t>MARSA SHALOK PORT</t>
  </si>
  <si>
    <t>TAIZ WATER &amp; SEWERAGE</t>
  </si>
  <si>
    <t>AFRICAN TEX. MILL REHAB</t>
  </si>
  <si>
    <t>HULULE AIRPORT CONSTRUCTION</t>
  </si>
  <si>
    <t>OIL FIELD DEVELOPMENT</t>
  </si>
  <si>
    <t>ANJWAN AIRPORT</t>
  </si>
  <si>
    <t>ALGARB AGRICULTURAL</t>
  </si>
  <si>
    <t>PHOSPHAT FRETILIZER</t>
  </si>
  <si>
    <t>KIFA ALNUMA ROAD</t>
  </si>
  <si>
    <t>ANDEKALEKA ELEC. POWER</t>
  </si>
  <si>
    <t>PRASLIN ELECTRICAL PROJECT</t>
  </si>
  <si>
    <t>ICE PLANT</t>
  </si>
  <si>
    <t>GUELB IRON ORE MINING</t>
  </si>
  <si>
    <t>CUMURE-BISSAU ROAD</t>
  </si>
  <si>
    <t>PHOSPHAT FACTORY IN AL-AQABA</t>
  </si>
  <si>
    <t>NASHTUN PORT</t>
  </si>
  <si>
    <t>ADEN ELECTRICITY</t>
  </si>
  <si>
    <t>SOUTH. UPLANDS R. DEVELOPMENT (2)</t>
  </si>
  <si>
    <t>PETRO CHEMICAL FACTORY</t>
  </si>
  <si>
    <t>AGRICULTURAL GARJOL PROJECT</t>
  </si>
  <si>
    <t>FISHING PROJECT</t>
  </si>
  <si>
    <t>MASERU INTERNATIONAL AIRPORT</t>
  </si>
  <si>
    <t>DHAMAR TAIZ TRANSMISSION</t>
  </si>
  <si>
    <t>ELECTRICAL POWER IN ANOUARIN</t>
  </si>
  <si>
    <t>KIGALI INTERNATIONAL AIRPORT</t>
  </si>
  <si>
    <t>SEVARE-GAO ROAD</t>
  </si>
  <si>
    <t>CONGO RAILWAY RE-ALI.</t>
  </si>
  <si>
    <t>TARBELA DAM</t>
  </si>
  <si>
    <t>MALTA ELECTRICITY</t>
  </si>
  <si>
    <t>CHITTA GONG AL UREA FERTILIZER</t>
  </si>
  <si>
    <t>MARE-AUX VACOAS W.S</t>
  </si>
  <si>
    <t>MOSSO SUGAR PROJECT</t>
  </si>
  <si>
    <t>ROADS &amp; WATER PROJECT</t>
  </si>
  <si>
    <t>AL-HOUS AL-AWSAT</t>
  </si>
  <si>
    <t>JERID OASES DEVELOPMENT</t>
  </si>
  <si>
    <t>RESUT CEMENT PROJECT</t>
  </si>
  <si>
    <t>FEEDER ROADS</t>
  </si>
  <si>
    <t>ADEN PORT DEVELOPMENT</t>
  </si>
  <si>
    <t>KABARNET TAMBACK ROAD</t>
  </si>
  <si>
    <t>DJIBOUTI AIRPORT IMPROV.</t>
  </si>
  <si>
    <t>AGRICULTURAL MATAM SAED</t>
  </si>
  <si>
    <t>RURAL DEVELOPMENT</t>
  </si>
  <si>
    <t>ELECTRICAL STATION &amp;WATER</t>
  </si>
  <si>
    <t>RECLAMATION LAND NOBARIA</t>
  </si>
  <si>
    <t>SOCIAL FUND FOR DEVELOPMENT</t>
  </si>
  <si>
    <t>LEBANON HOUSES</t>
  </si>
  <si>
    <t>BANI HAROON DAM</t>
  </si>
  <si>
    <t>TESTA DAM</t>
  </si>
  <si>
    <t>ALRUSIAL NAZWA ROAD 1</t>
  </si>
  <si>
    <t>ELECTRICAL POWER GENERATION STATION IN AL GHABRAH 4</t>
  </si>
  <si>
    <t>ELECTRICAL POWER &amp; TRANSMISSION</t>
  </si>
  <si>
    <t>INTEGRATED HEALTH PROJET</t>
  </si>
  <si>
    <t>EXTENSION OF TRANSMISSION NET</t>
  </si>
  <si>
    <t>THE SMALL DAMS PROJECT IN SAMANDINI</t>
  </si>
  <si>
    <t>FISHING PORT IN SOUR</t>
  </si>
  <si>
    <t>SOCIAL HOUSING</t>
  </si>
  <si>
    <t>WADI AL RAMEL</t>
  </si>
  <si>
    <t>TELECOMMUNICATIONS</t>
  </si>
  <si>
    <t>NET OF NEW ROADS</t>
  </si>
  <si>
    <t>DREDGING &amp; LAND RECLAMATION</t>
  </si>
  <si>
    <t>HEALTH PROJECTS</t>
  </si>
  <si>
    <t>GENERATION POWER IN ALHAMAH</t>
  </si>
  <si>
    <t>AL-ZARGA SPRING- EDLEP</t>
  </si>
  <si>
    <t>TRANSMISSION STATIONS</t>
  </si>
  <si>
    <t>TARTOUS MIX SPINNING FACTORY</t>
  </si>
  <si>
    <t>COMPOSED TURN IN TUSHRIN STATION</t>
  </si>
  <si>
    <t>YARMOK VALLEY DEVELOPMENT</t>
  </si>
  <si>
    <t>INTEGRATED SOUTHERN GHURS DEVELOPMENT</t>
  </si>
  <si>
    <t>RECLAMATION OF NEW PORT &amp; INDUSTRIAL AREA IN AL-HAD</t>
  </si>
  <si>
    <t>AL-WAHDA DAM</t>
  </si>
  <si>
    <t>ADDITIONAL LOAN</t>
  </si>
  <si>
    <t>CONSTRUCTION OF KARAGANDA - ASTANA ROAD</t>
  </si>
  <si>
    <t>MEDITERRANEAN CYCLE ROAD</t>
  </si>
  <si>
    <t>GAS TURBINES FOR ALJELE STATION</t>
  </si>
  <si>
    <t>CONSTRUCTION OF 20 DAMS</t>
  </si>
  <si>
    <t>SOCIAL HOUSING (2)</t>
  </si>
  <si>
    <t>MARWI DAM</t>
  </si>
  <si>
    <t>TANGIER PORT</t>
  </si>
  <si>
    <t>THE RECONSTRUCTION AND DEVELOPMENT OF EARTHQUAKE AFFECTED REGIONS PROJECT 1</t>
  </si>
  <si>
    <t>ALLEPPO COUNTRY ELECTRICITY</t>
  </si>
  <si>
    <t>TAISHIR HYDROPOWER PROJECT</t>
  </si>
  <si>
    <t>QRIAT-SOUR ROAD</t>
  </si>
  <si>
    <t>MARWI DAM (ADDITIONAL LOAN)</t>
  </si>
  <si>
    <t>CIRCULAR ROAD AROUND SATTAT CITY</t>
  </si>
  <si>
    <t>DEVELOPING SOUTHERN LOCATION OF AL-SHALALAH AT AL-AQABA</t>
  </si>
  <si>
    <t>CHILDREN HOSPITAL</t>
  </si>
  <si>
    <t>BAKU BYPASS HIGHWAY</t>
  </si>
  <si>
    <t>QRIAT-MUSCAT ROAD</t>
  </si>
  <si>
    <t>AL NABATIYA WATER PROJECT</t>
  </si>
  <si>
    <t>SEWERAG PROJECT IN EHDEN AND KORAH DISTRIC</t>
  </si>
  <si>
    <t>MAIN ROADS INTERCHANGES  IN BEIRUT</t>
  </si>
  <si>
    <t>REHABILITATION AND DEVELOPMENT OF SEWERAGE PROJECT IN THE NORTH REGIONS</t>
  </si>
  <si>
    <t>PEDIATRIC HOSPITAL IN AL HUSSEIN MEDICAL CITY PROJECT</t>
  </si>
  <si>
    <t>THE RECONSTRUCTION AND DEVELOPMENT OF EARTHQUAK AFFECTED REGION PROJECT 2</t>
  </si>
  <si>
    <t>SERAT DAM</t>
  </si>
  <si>
    <t>EXTENTION OF DEIR ALI ELECTRICAL POWER STATION</t>
  </si>
  <si>
    <t>THE REHABILITATION OF ARPA-SEVEN TUNNEL PROJECT</t>
  </si>
  <si>
    <t>THE HIGHWAY BETWEEN FAS &amp; WEJDA</t>
  </si>
  <si>
    <t>SOCIAL HOUSING (PHASE 2)</t>
  </si>
  <si>
    <t>PRIMARY SCHOOL IN ASSAILAH</t>
  </si>
  <si>
    <t>AUTO TERMINAL STATION IN ASSAILAH</t>
  </si>
  <si>
    <t>MARWI  DAM  ( ADDITIONAL LOAN  # 2  ) .</t>
  </si>
  <si>
    <t>THE RAISE OF ROSEIRES DAM</t>
  </si>
  <si>
    <t>BALANCE OF PAYMENT</t>
  </si>
  <si>
    <t>INFRASTRUCTURE PROJECTS  .</t>
  </si>
  <si>
    <t>WHITE NILE SUGAR CO. LTD.</t>
  </si>
  <si>
    <t>LABE - SERIBA - MADINA GOUNASSE ROAD  PROJECT  .</t>
  </si>
  <si>
    <t>Ouidah - Allada &amp; Pahou Tori Road Project</t>
  </si>
  <si>
    <t>KIDAHWE _ UVINZA ROAD PROJECT   .</t>
  </si>
  <si>
    <t>SAMENDENI DAM PROJECT   .</t>
  </si>
  <si>
    <t>TIMKIT DAM</t>
  </si>
  <si>
    <t>HOUSING &amp; INFRASTRUCTURE PROJECTS IN TSUNAMI AFFECTED AREAS  .</t>
  </si>
  <si>
    <t>HOUSING UNITS PROJECT IN ASSAILAH CITY - PHASE II</t>
  </si>
  <si>
    <t>ASILAH MUSEUM</t>
  </si>
  <si>
    <t>REGIONAL WATER SUPPLY SYSTEM PROJECT</t>
  </si>
  <si>
    <t>EXPANDING &amp;  IMPROVING OF  ALBASHIR HOSPITAL (  SUPPLY OF MEDICAL EQUIPMENTS ).</t>
  </si>
  <si>
    <t>DEVELOPMENT OF ELECTRICAL POWER TRANSMISSION NETWORKS WITH TWO EFFORTS OF 220 AND 66 KV</t>
  </si>
  <si>
    <t>KULYAB - KALAIKHUMB ROAD ( SHORBAD - SHAGON )</t>
  </si>
  <si>
    <t>NUNO - MODOGASHE ROAD PROJECT  .</t>
  </si>
  <si>
    <t>TAOUSSA DAM PROJECT  .</t>
  </si>
  <si>
    <t>HIGH-SPEED TRAIN - TANGIR - CASABLANCA  .</t>
  </si>
  <si>
    <t>BANHA ELECTRICAL POWER STATION  .</t>
  </si>
  <si>
    <t>JENDA - EDINGENI ROAD PROJECT  .</t>
  </si>
  <si>
    <t>MANDINABA - SOMA ROAD PROJECT</t>
  </si>
  <si>
    <t>CONSTRUCTION OF THE BAHRAIN'S EMBASSY COMPLEX</t>
  </si>
  <si>
    <t>JANUB THERMAL POWER PLANT PROJECT</t>
  </si>
  <si>
    <t>CONSTRUCTION OF SHIKALBAHA 225 MW DUAL FUEL (GAS &amp; FO) COMBINED CYCLE POWER PLANT PROJECT</t>
  </si>
  <si>
    <t>KANDADJI DAM PHASE 1</t>
  </si>
  <si>
    <t>TIRANA- ELBASAN ROAD PROJECT</t>
  </si>
  <si>
    <t>BISHKEK - TORUGART  HIGHWAY  ( DOLON -  AT  BASHE SECTION )  .</t>
  </si>
  <si>
    <t>GEDO-FINCHA-LEMLEM BEREHA ROAD PROJECT (SECTION GEDO-MENE BEGNA)</t>
  </si>
  <si>
    <t>METOLONG DAM FOR POTABLE WATER PROJECT .</t>
  </si>
  <si>
    <t>TOKEH - LUMLEY ROAD</t>
  </si>
  <si>
    <t>GRAIN SILOS IN THE EMIRATE OF FUJIRAH</t>
  </si>
  <si>
    <t>TIRANA NORTHERN BOULEVARD &amp; RIVER REGENERATION PROJECT</t>
  </si>
  <si>
    <t>BANGLADESH SASEC ROAD CONNECTIVITY PROJECT</t>
  </si>
  <si>
    <t>RURAL ELECTRIFICATION IN FIVE REGIONS</t>
  </si>
  <si>
    <t>H.Q OF UAE MISSIONS</t>
  </si>
  <si>
    <t>AL NEAMA - BANCO - PASCNO - FUSALA ROAD PROJECT (MALI BORDER)</t>
  </si>
  <si>
    <t>REHABILITATION OF NDIOUM-OUROSSOGUI-BAKEL ROAD (RN2) AND ASSOCIATED TRACK ROADS</t>
  </si>
  <si>
    <t>DEVELOPMENT OF IRRIGATED AGRICULTURE - PHASE I</t>
  </si>
  <si>
    <t>WIND POWER STATIONS</t>
  </si>
  <si>
    <t>SOLAR PARK FREETOWN PROJECT  .</t>
  </si>
  <si>
    <t>RECONSTRUCTION AND UPGRADING OF THE LAMINKOTO - PASSIMUS ROAD PROJECT</t>
  </si>
  <si>
    <t>AL DAHRA AGRICULTURAL CO-TOSHKA " EGYPT " .</t>
  </si>
  <si>
    <t>DEVELOPMENT &amp; ASPHALTING OF THE MADAGASCAR RN5-SOANIERANA IVONGO-MANANARA .</t>
  </si>
  <si>
    <t>MANZINI-MBADLANE HIGHWAY (PHASE I) PROJECT</t>
  </si>
  <si>
    <t>GRAIN SILOS IN THE EMIRATE OF FUJAIRAH  .</t>
  </si>
  <si>
    <t>DAMS UPPER ATBARA AND STATE</t>
  </si>
  <si>
    <t>ROUTE SOKODE-BASSAR</t>
  </si>
  <si>
    <t>THE ESTABLISHMENT OF A FACTORY FOR THE MANUFACTURE OF TRAINING AIRCRAFT</t>
  </si>
  <si>
    <t>SUPPORT OF AGRICULTURAL SECTOR PROJECT</t>
  </si>
  <si>
    <t>HYBRID RENEWABLE ENERGY SYSTEMS FOR RURAL ELECTRFICATION IN 30 VILLAGES</t>
  </si>
  <si>
    <t>SMALL SCALE WASTE TO ENERGY PROJECT</t>
  </si>
  <si>
    <t>THE 10 MWP GRID CONCENTRATER SOLAR PV PROJECT</t>
  </si>
  <si>
    <t>THE GEOTHERMAL ENERGY PROJECT</t>
  </si>
  <si>
    <t>NAHUEVE HYDROPOWER PROJECT</t>
  </si>
  <si>
    <t>SUPPORT THE GENERAL BUDGET</t>
  </si>
  <si>
    <t>HYBRID SOLAR AND WIND POWER PROJECT</t>
  </si>
  <si>
    <t>EXPANSION OF THE ESTABLISHMENT OF CALIDUS  AIRFRAFT  MANUFACTURING COMPANY</t>
  </si>
  <si>
    <t>10 MW SOLAR POWER PLANT IN TOSHKA - PHASE 2 ARABIC REPULIC OF EGYPT</t>
  </si>
  <si>
    <t>VELANA INTERNATIONAL AIRPORT</t>
  </si>
  <si>
    <t>PERMANENT MISSION BUILDING OF THE UAE , IN NEW YORK .</t>
  </si>
  <si>
    <t>THE LLE DE ROMAINVILLE SOLAR POWER FIELD PROJECT</t>
  </si>
  <si>
    <t>SUPPORT AND DEVELOPMENT OF FISHING EQUIPMENT PROJECT</t>
  </si>
  <si>
    <t>SOLAR ENERGY PROJECT FOR RURAL ELECTRIFICATION</t>
  </si>
  <si>
    <t>SUPPORT THE NATIONAL SOCIAL HOUSING STRATEGY PROJECT</t>
  </si>
  <si>
    <t>THE RURAL ELECTRIFICATION PROJECT ( KALUNGU COMPONENT)</t>
  </si>
  <si>
    <t>AL-AIN DARIY FARM</t>
  </si>
  <si>
    <t>AL JAZIRA HOTEL (1 )</t>
  </si>
  <si>
    <t>OPERATING THE EXE. PLAN</t>
  </si>
  <si>
    <t>DAIRY FACTORY &amp; FARM</t>
  </si>
  <si>
    <t>COCA COLA FACTORY</t>
  </si>
  <si>
    <t>AL JAZIRA HOTEL(2)</t>
  </si>
  <si>
    <t>AL JAZIRA HOTEL(3)</t>
  </si>
  <si>
    <t>DALMA COMPANY FOR INVESTMENT</t>
  </si>
  <si>
    <t>EMIRATES &amp;MOROCOO CO.</t>
  </si>
  <si>
    <t>COUNTRY</t>
  </si>
  <si>
    <t>Syrian Arab Republic</t>
  </si>
  <si>
    <t>Jordan</t>
  </si>
  <si>
    <t>Yemen</t>
  </si>
  <si>
    <t>Tunisia</t>
  </si>
  <si>
    <t>Morocco</t>
  </si>
  <si>
    <t>Burundi</t>
  </si>
  <si>
    <t>Bangladesh</t>
  </si>
  <si>
    <t>India</t>
  </si>
  <si>
    <t>Sudan</t>
  </si>
  <si>
    <t>Mali</t>
  </si>
  <si>
    <t>Malaysia</t>
  </si>
  <si>
    <t>Sri Lanka</t>
  </si>
  <si>
    <t>Cameroon</t>
  </si>
  <si>
    <t>Indonesia</t>
  </si>
  <si>
    <t>Gambia</t>
  </si>
  <si>
    <t>Afghanistan</t>
  </si>
  <si>
    <t>Tanzania, United Republic of</t>
  </si>
  <si>
    <t>Mauritania</t>
  </si>
  <si>
    <t>Guinea</t>
  </si>
  <si>
    <t>Senegal</t>
  </si>
  <si>
    <t>Lesotho</t>
  </si>
  <si>
    <t>Malta</t>
  </si>
  <si>
    <t>Uganda</t>
  </si>
  <si>
    <t>Maldives</t>
  </si>
  <si>
    <t>Comoros</t>
  </si>
  <si>
    <t>Madagascar</t>
  </si>
  <si>
    <t>Seychelles</t>
  </si>
  <si>
    <t>Guinea-Bissau</t>
  </si>
  <si>
    <t>Turkey</t>
  </si>
  <si>
    <t>Cabo Verde</t>
  </si>
  <si>
    <t>Niger</t>
  </si>
  <si>
    <t>Rwanda</t>
  </si>
  <si>
    <t>Congo</t>
  </si>
  <si>
    <t>Pakistan</t>
  </si>
  <si>
    <t>Mauritius</t>
  </si>
  <si>
    <t>Kenya</t>
  </si>
  <si>
    <t>Djibouti</t>
  </si>
  <si>
    <t>Algeria</t>
  </si>
  <si>
    <t>Eritrea</t>
  </si>
  <si>
    <t>Burkina Faso</t>
  </si>
  <si>
    <t>Turkmenistan</t>
  </si>
  <si>
    <t>Kazakhstan</t>
  </si>
  <si>
    <t>Mongolia</t>
  </si>
  <si>
    <t>Azerbaijan</t>
  </si>
  <si>
    <t>Armenia</t>
  </si>
  <si>
    <t>Benin</t>
  </si>
  <si>
    <t>Montenegro</t>
  </si>
  <si>
    <t>Tajikistan</t>
  </si>
  <si>
    <t>Malawi</t>
  </si>
  <si>
    <t>Albania</t>
  </si>
  <si>
    <t>Kyrgyzstan</t>
  </si>
  <si>
    <t>Ethiopia</t>
  </si>
  <si>
    <t>Sierra Leone</t>
  </si>
  <si>
    <t>United Arab Emirates</t>
  </si>
  <si>
    <t>Serbia</t>
  </si>
  <si>
    <t>Belarus</t>
  </si>
  <si>
    <t>Swaziland</t>
  </si>
  <si>
    <t>Togo</t>
  </si>
  <si>
    <t>Cuba</t>
  </si>
  <si>
    <t>Saint Vincent and the Grenadines</t>
  </si>
  <si>
    <t>Argentina</t>
  </si>
  <si>
    <t>Antigua and Barbuda</t>
  </si>
  <si>
    <t>Somalia</t>
  </si>
  <si>
    <t>Guyana</t>
  </si>
  <si>
    <t>Libya</t>
  </si>
  <si>
    <t>CUR_CURR_CODE</t>
  </si>
  <si>
    <t>AED</t>
  </si>
  <si>
    <t>INTEREST</t>
  </si>
  <si>
    <t>SIGNED_DATE</t>
  </si>
  <si>
    <t>EXECUTION_DATE</t>
  </si>
  <si>
    <t>EFFECTIVE_DATE</t>
  </si>
  <si>
    <t>MATURITY_DATE</t>
  </si>
  <si>
    <t>SANCTIONED_AMT</t>
  </si>
  <si>
    <t>WITHDRAWN_AMT</t>
  </si>
  <si>
    <t>OUTSTANDING_PRINCIPAL</t>
  </si>
  <si>
    <t>ACCRUED_INTEREST</t>
  </si>
  <si>
    <t>Staging Lookup</t>
  </si>
  <si>
    <t>ECL Calculation</t>
  </si>
  <si>
    <t>ADFD Portfolio</t>
  </si>
  <si>
    <t>Disbursement Frequency</t>
  </si>
  <si>
    <t>Disbursment Frequency</t>
  </si>
  <si>
    <t>Disbursement Amount</t>
  </si>
  <si>
    <t>Remaining Loan Amount</t>
  </si>
  <si>
    <t>Sanction Amount</t>
  </si>
  <si>
    <t>Loan Disbursment Date</t>
  </si>
  <si>
    <t>Loan Disbursment Indicator</t>
  </si>
  <si>
    <t>Disbursment</t>
  </si>
  <si>
    <t>Outstanding Principal</t>
  </si>
  <si>
    <t>Remaining Principal Exposure</t>
  </si>
  <si>
    <t>Principal Exposure as of Monthly date</t>
  </si>
  <si>
    <t>Payment Till Date</t>
  </si>
  <si>
    <t>First Principal  Date</t>
  </si>
  <si>
    <t>First Interest  Date</t>
  </si>
  <si>
    <t>Settlement Year</t>
  </si>
  <si>
    <t>Current Rating</t>
  </si>
  <si>
    <t>First Principal Payment Date</t>
  </si>
  <si>
    <t>First Interest Payment Date</t>
  </si>
  <si>
    <t>Abu Dhabi</t>
  </si>
  <si>
    <t>Angola</t>
  </si>
  <si>
    <t>Australia</t>
  </si>
  <si>
    <t>Austria</t>
  </si>
  <si>
    <t>Bahamas</t>
  </si>
  <si>
    <t>Barbados</t>
  </si>
  <si>
    <t>Belgium</t>
  </si>
  <si>
    <t>Belize</t>
  </si>
  <si>
    <t>Benin [2]</t>
  </si>
  <si>
    <t>Bermuda</t>
  </si>
  <si>
    <t>Bolivia</t>
  </si>
  <si>
    <t>Bosnia and Herzegovina</t>
  </si>
  <si>
    <t>Botswana</t>
  </si>
  <si>
    <t>Brazil</t>
  </si>
  <si>
    <t>Bulgaria</t>
  </si>
  <si>
    <t>Cambodia</t>
  </si>
  <si>
    <t>Canada</t>
  </si>
  <si>
    <t>Cayman Islands</t>
  </si>
  <si>
    <t>Chile</t>
  </si>
  <si>
    <t>China</t>
  </si>
  <si>
    <t>Colombia</t>
  </si>
  <si>
    <t>Costa Rica</t>
  </si>
  <si>
    <t>Cote d'Ivoire</t>
  </si>
  <si>
    <t>Croatia</t>
  </si>
  <si>
    <t>Cyprus</t>
  </si>
  <si>
    <t>Czech Republic</t>
  </si>
  <si>
    <t>Democratic Republic of the Congo</t>
  </si>
  <si>
    <t>Denmark</t>
  </si>
  <si>
    <t>Dominican Republic</t>
  </si>
  <si>
    <t>Ecuador</t>
  </si>
  <si>
    <t>El Salvador</t>
  </si>
  <si>
    <t>Estonia</t>
  </si>
  <si>
    <t>eSwatini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</si>
  <si>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</si>
  <si>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</si>
  <si>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</si>
  <si>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</si>
  <si>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</si>
  <si>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</si>
  <si>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</si>
  <si>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</si>
  <si>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</si>
  <si>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Honduras</t>
  </si>
  <si>
    <t>Hong Kong</t>
  </si>
  <si>
    <t>Hungary</t>
  </si>
  <si>
    <t>Iceland</t>
  </si>
  <si>
    <t>Iraq</t>
  </si>
  <si>
    <t>Ireland</t>
  </si>
  <si>
    <t>Isle of Man</t>
  </si>
  <si>
    <t>Israel</t>
  </si>
  <si>
    <t>Italy</t>
  </si>
  <si>
    <t>Jamaica</t>
  </si>
  <si>
    <t>Japan</t>
  </si>
  <si>
    <t>Korea</t>
  </si>
  <si>
    <t>Kyrgyz Republic</t>
  </si>
  <si>
    <t>Latvia</t>
  </si>
  <si>
    <t>Liechtenstein</t>
  </si>
  <si>
    <t>Lithuania</t>
  </si>
  <si>
    <t>Luxembourg</t>
  </si>
  <si>
    <t>Macao</t>
  </si>
  <si>
    <t>Mexico</t>
  </si>
  <si>
    <t>Moldova</t>
  </si>
  <si>
    <t>Mozambique</t>
  </si>
  <si>
    <t>Namibia</t>
  </si>
  <si>
    <t>Netherlands</t>
  </si>
  <si>
    <t>New Zealand</t>
  </si>
  <si>
    <t>Nicaragua</t>
  </si>
  <si>
    <t>Nigeria</t>
  </si>
  <si>
    <t>Norway</t>
  </si>
  <si>
    <t>Panama</t>
  </si>
  <si>
    <t>Papua New Guinea</t>
  </si>
  <si>
    <t>Paraguay</t>
  </si>
  <si>
    <t>Peru</t>
  </si>
  <si>
    <t>Philippines</t>
  </si>
  <si>
    <t>Poland</t>
  </si>
  <si>
    <t>Portugal</t>
  </si>
  <si>
    <t>Republic of the Congo</t>
  </si>
  <si>
    <t>Romania</t>
  </si>
  <si>
    <t>Russia</t>
  </si>
  <si>
    <t>Sharjah</t>
  </si>
  <si>
    <t>Singapore</t>
  </si>
  <si>
    <t>Slovakia</t>
  </si>
  <si>
    <t>Slovenia</t>
  </si>
  <si>
    <t>Solomon Islands</t>
  </si>
  <si>
    <t>South Africa</t>
  </si>
  <si>
    <t>Spain</t>
  </si>
  <si>
    <t>Sint Maarten</t>
  </si>
  <si>
    <t>St. Vincent &amp; the Grenadines</t>
  </si>
  <si>
    <t>Suriname</t>
  </si>
  <si>
    <t>Sweden</t>
  </si>
  <si>
    <t>Switzerland</t>
  </si>
  <si>
    <t>Taiwan</t>
  </si>
  <si>
    <t>Tanzania</t>
  </si>
  <si>
    <t>Thailand</t>
  </si>
  <si>
    <t>Trinidad and Tobago</t>
  </si>
  <si>
    <t>Ukraine</t>
  </si>
  <si>
    <t>United Kingdom</t>
  </si>
  <si>
    <t>United States of America</t>
  </si>
  <si>
    <t>Uzbekistan</t>
  </si>
  <si>
    <t>Uruguay</t>
  </si>
  <si>
    <t>Venezuela</t>
  </si>
  <si>
    <t>Vietnam</t>
  </si>
  <si>
    <t>Zambia</t>
  </si>
  <si>
    <t>-</t>
  </si>
  <si>
    <t>Moody's Current Rating</t>
  </si>
  <si>
    <t>Moody's Current Numeral</t>
  </si>
  <si>
    <t>Moody's Initial Rating</t>
  </si>
  <si>
    <t>Moody's Initial Numeral</t>
  </si>
  <si>
    <t>Assumptions</t>
  </si>
  <si>
    <t>For the PD matrix calculation since the relaibale source calculates based on grouped rating due to limitation of the population size, the following assumption is considered</t>
  </si>
  <si>
    <t>PD Metrix Rating</t>
  </si>
  <si>
    <t>https://www.theguardian.com/news/datablog/2010/apr/30/credit-ratings-country-fitch-moodys-standard#data</t>
  </si>
  <si>
    <t>Initial Rating (as of 2013)</t>
  </si>
  <si>
    <t>Andorra</t>
  </si>
  <si>
    <t>Aruba</t>
  </si>
  <si>
    <t>Cape Verde</t>
  </si>
  <si>
    <t>Cook Islands</t>
  </si>
  <si>
    <t>Grenada</t>
  </si>
  <si>
    <t>Guernsey</t>
  </si>
  <si>
    <t>Macedonia</t>
  </si>
  <si>
    <t>Montserrat</t>
  </si>
  <si>
    <t>St. Maarten</t>
  </si>
  <si>
    <t>Notch Downgrade</t>
  </si>
  <si>
    <t>Maturity Date</t>
  </si>
  <si>
    <t>Congo, The Democratic Republic of the</t>
  </si>
  <si>
    <t>Loan Type</t>
  </si>
  <si>
    <t>Abu Dhabi Government Loan</t>
  </si>
  <si>
    <t>Interest Exempted</t>
  </si>
  <si>
    <t>Grant</t>
  </si>
  <si>
    <t>Moody's Rating</t>
  </si>
  <si>
    <t xml:space="preserve">Current Rating Staging </t>
  </si>
  <si>
    <t>Downgrade Staging</t>
  </si>
  <si>
    <t>Restructure Flag</t>
  </si>
  <si>
    <t>Restructure Stage</t>
  </si>
  <si>
    <t>Final Stage</t>
  </si>
  <si>
    <t>Management Staging</t>
  </si>
  <si>
    <t>All those projects where the total Outstanding and remaining withdrawal amount is 0 have been filtered out from the calculation.</t>
  </si>
  <si>
    <t>For the staging purposes the following downgrade criteria is applied:</t>
  </si>
  <si>
    <t>Grade</t>
  </si>
  <si>
    <t>Non investment Grade</t>
  </si>
  <si>
    <t>Data</t>
  </si>
  <si>
    <t>Loss Given Default</t>
  </si>
  <si>
    <t>Staging</t>
  </si>
  <si>
    <t>For Initial Rating, data of 2013 has been used. Below is the link of the source:</t>
  </si>
  <si>
    <t>Loss Given default is considered to be 45% as per the guidelines</t>
  </si>
  <si>
    <r>
      <t xml:space="preserve">For all those countries who's rating was not available, they are assumed to be at non- investment grade i.e. </t>
    </r>
    <r>
      <rPr>
        <b/>
        <i/>
        <sz val="11"/>
        <color theme="1"/>
        <rFont val="Cambria"/>
        <family val="1"/>
      </rPr>
      <t>B3</t>
    </r>
  </si>
  <si>
    <t>Other Assumptions</t>
  </si>
  <si>
    <t>All those loans where the payments have defaulted has been considered under Stage 2</t>
  </si>
  <si>
    <t>All those loans which has been restructured are being considered under Stage 2</t>
  </si>
  <si>
    <t>Default Flag</t>
  </si>
  <si>
    <t>Withdrawal Amount</t>
  </si>
  <si>
    <t>Every 2 months</t>
  </si>
  <si>
    <t>Payment Frequency Type</t>
  </si>
  <si>
    <t>11 Year</t>
  </si>
  <si>
    <t>12 Year</t>
  </si>
  <si>
    <t>13 Year</t>
  </si>
  <si>
    <t>14 Year</t>
  </si>
  <si>
    <t>15 Year</t>
  </si>
  <si>
    <t>16 Year</t>
  </si>
  <si>
    <t>17 Year</t>
  </si>
  <si>
    <t>18 Year</t>
  </si>
  <si>
    <t>19 Year</t>
  </si>
  <si>
    <t>20 Year</t>
  </si>
  <si>
    <t>21 Year</t>
  </si>
  <si>
    <t>22 Year</t>
  </si>
  <si>
    <t>23 Year</t>
  </si>
  <si>
    <t>24 Year</t>
  </si>
  <si>
    <t>Average 12-month rating migration rates, 1983-2018</t>
  </si>
  <si>
    <t>Sovereign Issuers</t>
  </si>
  <si>
    <t>From/To:</t>
  </si>
  <si>
    <t>Withdrawn</t>
  </si>
  <si>
    <t>Defaulted</t>
  </si>
  <si>
    <t>1-Default</t>
  </si>
  <si>
    <t>Default Rate Matrix for 20 Years using Markov Chain Multiplication</t>
  </si>
  <si>
    <t>Subject Descriptor</t>
  </si>
  <si>
    <t>Units</t>
  </si>
  <si>
    <t>General government revenue</t>
  </si>
  <si>
    <t>Percent of GDP</t>
  </si>
  <si>
    <t>Direction</t>
  </si>
  <si>
    <t>Baseline Scenario</t>
  </si>
  <si>
    <t>Optimistic Scenario</t>
  </si>
  <si>
    <t>Pessimistic Scenario</t>
  </si>
  <si>
    <t>Average Z-Value</t>
  </si>
  <si>
    <t>Scenario Weightage</t>
  </si>
  <si>
    <t>Average Shift in Macro-economic</t>
  </si>
  <si>
    <t>Scale</t>
  </si>
  <si>
    <t>% St. Dev.</t>
  </si>
  <si>
    <t>Forecast Average</t>
  </si>
  <si>
    <t>Baseline</t>
  </si>
  <si>
    <t>Optimistic</t>
  </si>
  <si>
    <t>Pessimistic</t>
  </si>
  <si>
    <t>Number of Projects</t>
  </si>
  <si>
    <t>Missing Interest Rate</t>
  </si>
  <si>
    <t>Missing Signed Date</t>
  </si>
  <si>
    <t>Missing Execution Date</t>
  </si>
  <si>
    <t>Missing Effective Date</t>
  </si>
  <si>
    <t>Missing Maturity Date</t>
  </si>
  <si>
    <t>Missing First Principal  Date</t>
  </si>
  <si>
    <t>Missing First Interest  Date</t>
  </si>
  <si>
    <t>Missing Settlement Year</t>
  </si>
  <si>
    <t>Checks</t>
  </si>
  <si>
    <t>Missing Principal Payment Frequency</t>
  </si>
  <si>
    <t>Missing Interest payment Frequency</t>
  </si>
  <si>
    <t>Missing Disbursment Frequency</t>
  </si>
  <si>
    <t>Missing Restructure Flag</t>
  </si>
  <si>
    <t>Missing Default Flag</t>
  </si>
  <si>
    <t>Input Checks</t>
  </si>
  <si>
    <t>Principal Repayment Amount</t>
  </si>
  <si>
    <t>Total Interest Repayment Amount</t>
  </si>
  <si>
    <t>Others</t>
  </si>
  <si>
    <t>Number of Years</t>
  </si>
  <si>
    <t>Number of Months</t>
  </si>
  <si>
    <t>Divisor</t>
  </si>
  <si>
    <t>Tenor</t>
  </si>
  <si>
    <t>Cumulative PD</t>
  </si>
  <si>
    <t>Monthly PD</t>
  </si>
  <si>
    <t>25 Year</t>
  </si>
  <si>
    <t>26 Year</t>
  </si>
  <si>
    <t>27 Year</t>
  </si>
  <si>
    <t>28 Year</t>
  </si>
  <si>
    <t>29 Year</t>
  </si>
  <si>
    <t>30 Year</t>
  </si>
  <si>
    <t>Total</t>
  </si>
  <si>
    <t>Payment Default Staging</t>
  </si>
  <si>
    <t>Future Disbursment Flag</t>
  </si>
  <si>
    <t>Future Disbursment Amount</t>
  </si>
  <si>
    <t xml:space="preserve">Loan </t>
  </si>
  <si>
    <t>Loan</t>
  </si>
  <si>
    <t>High Risk Project</t>
  </si>
  <si>
    <r>
      <t>The remaining disbursment amount i.e. the remaining amount to be withdrawn is considered as 100% as of reporting date</t>
    </r>
    <r>
      <rPr>
        <i/>
        <sz val="11"/>
        <color theme="1"/>
        <rFont val="Cambria"/>
        <family val="1"/>
      </rPr>
      <t xml:space="preserve"> (This is similar to the concept of Credit Conversion factor (CCF) in Banks).</t>
    </r>
  </si>
  <si>
    <t>Average Interest rate of each country has been considered for the Discounting purposes.</t>
  </si>
  <si>
    <t>*only if it goes to non-investment grade i.e. movement of investment to non investment grade with a downgrade of 2 or more notches.</t>
  </si>
  <si>
    <t>Stage 3 ECL will be calculated as the entire outstanding Principal amount</t>
  </si>
  <si>
    <t>Government Loan</t>
  </si>
  <si>
    <t>For all those accounts which have been restructured and the maturity date has crossed reporting date with outstanding is greater than 0 then maturity it is assumed to be 5 years from the reporting date.</t>
  </si>
  <si>
    <t>Using -6.0% for Others</t>
  </si>
  <si>
    <t>Using -4.86% for Others</t>
  </si>
  <si>
    <t>Pasted values</t>
  </si>
  <si>
    <t>Initial (as reported)</t>
  </si>
  <si>
    <t>Linked</t>
  </si>
  <si>
    <t>Difference</t>
  </si>
  <si>
    <t>YEAR 2018</t>
  </si>
  <si>
    <t>As per updated ECL model</t>
  </si>
  <si>
    <t>As restated - based on Deloitte adjusted working</t>
  </si>
  <si>
    <t>Difference between (Deloitte ECL summary and this ECL model data)</t>
  </si>
  <si>
    <t>Figures as recomputd by this ECL model after adjusting stages for 10 loans identified by ADFD as stage 3 (retrospectively for 2018 data)</t>
  </si>
  <si>
    <t>As restated - based on this ECL model (adjusted)</t>
  </si>
  <si>
    <t>Proj No.</t>
  </si>
  <si>
    <t>Moody's Long-term</t>
  </si>
  <si>
    <t>Moody's Short-term</t>
  </si>
  <si>
    <t>S&amp;P/CI Long-term</t>
  </si>
  <si>
    <t>S&amp;P Short-term</t>
  </si>
  <si>
    <t>Fitch Long-term</t>
  </si>
  <si>
    <t>Fitch Short-term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</si>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</sst>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_(* #,##0_);_(* \(#,##0\);_(* &quot;-&quot;??_);_(@_)"/>
    <numFmt numFmtId="166" formatCode="0.000%"/>
    <numFmt numFmtId="167" formatCode="0.0000%"/>
    <numFmt numFmtId="168" formatCode="0.0000"/>
    <numFmt numFmtId="169" formatCode="_(* #,##0.000_);_(* \(#,##0.000\);_(* &quot;-&quot;??_);_(@_)"/>
    <numFmt numFmtId="170" formatCode="_(* #,##0.0000_);_(* \(#,##0.0000\);_(* &quot;-&quot;??_);_(@_)"/>
    <numFmt numFmtId="171" formatCode="0.00000000000000"/>
    <numFmt numFmtId="172" formatCode="0.0%"/>
  </numFmts>
  <fonts count="4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Georgia"/>
      <family val="1"/>
      <scheme val="major"/>
    </font>
    <font>
      <sz val="11"/>
      <color theme="0"/>
      <name val="Georgia"/>
      <family val="1"/>
      <scheme val="major"/>
    </font>
    <font>
      <sz val="9"/>
      <color theme="1"/>
      <name val="Arial"/>
      <family val="2"/>
      <scheme val="minor"/>
    </font>
    <font>
      <sz val="9"/>
      <color theme="1"/>
      <name val="Georgia"/>
      <family val="1"/>
      <scheme val="major"/>
    </font>
    <font>
      <b/>
      <sz val="11"/>
      <color theme="1"/>
      <name val="Georgia"/>
      <family val="1"/>
      <scheme val="major"/>
    </font>
    <font>
      <sz val="8"/>
      <color theme="1"/>
      <name val="Georgia"/>
      <family val="1"/>
      <scheme val="major"/>
    </font>
    <font>
      <sz val="9"/>
      <color theme="0"/>
      <name val="Georgia"/>
      <family val="1"/>
      <scheme val="major"/>
    </font>
    <font>
      <b/>
      <i/>
      <sz val="9"/>
      <color theme="1"/>
      <name val="Georgia"/>
      <family val="1"/>
      <scheme val="major"/>
    </font>
    <font>
      <b/>
      <sz val="9"/>
      <color theme="0"/>
      <name val="Georgia"/>
      <family val="1"/>
      <scheme val="major"/>
    </font>
    <font>
      <sz val="9"/>
      <color rgb="FF000000"/>
      <name val="Georgia"/>
      <family val="1"/>
      <scheme val="major"/>
    </font>
    <font>
      <b/>
      <sz val="11"/>
      <color theme="0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sz val="9"/>
      <color theme="0"/>
      <name val="Cambria"/>
      <family val="1"/>
    </font>
    <font>
      <sz val="9"/>
      <color theme="1"/>
      <name val="Cambria"/>
      <family val="1"/>
    </font>
    <font>
      <b/>
      <sz val="10"/>
      <color theme="0"/>
      <name val="Cambria"/>
      <family val="1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10"/>
      <color theme="0"/>
      <name val="Cambria"/>
      <family val="1"/>
    </font>
    <font>
      <i/>
      <sz val="11"/>
      <color theme="1"/>
      <name val="Cambria"/>
      <family val="1"/>
    </font>
    <font>
      <sz val="9"/>
      <name val="Cambria"/>
      <family val="1"/>
    </font>
    <font>
      <b/>
      <sz val="15"/>
      <color theme="0"/>
      <name val="Cambria"/>
      <family val="1"/>
    </font>
    <font>
      <b/>
      <sz val="10"/>
      <name val="Cambria"/>
      <family val="1"/>
    </font>
    <font>
      <b/>
      <sz val="9"/>
      <color theme="1"/>
      <name val="Cambria"/>
      <family val="1"/>
    </font>
    <font>
      <u/>
      <sz val="11"/>
      <color theme="10"/>
      <name val="Arial"/>
      <family val="2"/>
      <scheme val="minor"/>
    </font>
    <font>
      <b/>
      <i/>
      <sz val="11"/>
      <color theme="1"/>
      <name val="Cambria"/>
      <family val="1"/>
    </font>
    <font>
      <b/>
      <sz val="12"/>
      <color theme="0"/>
      <name val="Cambria"/>
      <family val="1"/>
    </font>
    <font>
      <b/>
      <i/>
      <sz val="11"/>
      <color theme="0"/>
      <name val="Cambria"/>
      <family val="1"/>
    </font>
    <font>
      <i/>
      <u/>
      <sz val="10"/>
      <color theme="10"/>
      <name val="Georgia"/>
      <family val="1"/>
      <scheme val="major"/>
    </font>
    <font>
      <b/>
      <sz val="11"/>
      <color theme="0"/>
      <name val="Georgia"/>
      <family val="1"/>
      <scheme val="major"/>
    </font>
    <font>
      <b/>
      <sz val="8"/>
      <color theme="1"/>
      <name val="Georgia"/>
      <family val="1"/>
      <scheme val="major"/>
    </font>
    <font>
      <b/>
      <sz val="10"/>
      <color theme="1"/>
      <name val="Georgia"/>
      <family val="1"/>
      <scheme val="major"/>
    </font>
    <font>
      <b/>
      <i/>
      <sz val="7"/>
      <color theme="1"/>
      <name val="Cambria"/>
      <family val="1"/>
    </font>
    <font>
      <sz val="10"/>
      <name val="Arial"/>
      <family val="2"/>
    </font>
    <font>
      <b/>
      <sz val="9"/>
      <name val="Arial"/>
      <family val="2"/>
      <scheme val="minor"/>
    </font>
    <font>
      <sz val="9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i/>
      <sz val="9"/>
      <color rgb="FF00B0F0"/>
      <name val="Arial"/>
      <family val="2"/>
      <scheme val="minor"/>
    </font>
    <font>
      <b/>
      <i/>
      <sz val="9"/>
      <color rgb="FFFF0000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5055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DEBFB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35" fillId="0" borderId="0"/>
  </cellStyleXfs>
  <cellXfs count="30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center" wrapText="1"/>
    </xf>
    <xf numFmtId="10" fontId="0" fillId="0" borderId="1" xfId="0" applyNumberFormat="1" applyBorder="1"/>
    <xf numFmtId="10" fontId="2" fillId="0" borderId="1" xfId="0" applyNumberFormat="1" applyFont="1" applyBorder="1" applyAlignment="1">
      <alignment horizontal="center"/>
    </xf>
    <xf numFmtId="0" fontId="5" fillId="0" borderId="3" xfId="0" applyFont="1" applyBorder="1"/>
    <xf numFmtId="0" fontId="5" fillId="0" borderId="0" xfId="0" applyFont="1"/>
    <xf numFmtId="0" fontId="2" fillId="0" borderId="0" xfId="0" applyFont="1"/>
    <xf numFmtId="10" fontId="2" fillId="0" borderId="1" xfId="2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 wrapText="1"/>
    </xf>
    <xf numFmtId="15" fontId="18" fillId="0" borderId="0" xfId="0" applyNumberFormat="1" applyFont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center" vertical="center" wrapText="1"/>
      <protection locked="0"/>
    </xf>
    <xf numFmtId="14" fontId="15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center"/>
      <protection locked="0"/>
    </xf>
    <xf numFmtId="14" fontId="16" fillId="0" borderId="1" xfId="0" applyNumberFormat="1" applyFont="1" applyBorder="1" applyAlignment="1" applyProtection="1">
      <alignment horizontal="center"/>
      <protection locked="0"/>
    </xf>
    <xf numFmtId="0" fontId="16" fillId="0" borderId="1" xfId="0" applyFont="1" applyBorder="1" applyAlignment="1" applyProtection="1">
      <alignment horizontal="center"/>
      <protection hidden="1"/>
    </xf>
    <xf numFmtId="0" fontId="16" fillId="0" borderId="0" xfId="0" applyFont="1" applyProtection="1">
      <protection hidden="1"/>
    </xf>
    <xf numFmtId="1" fontId="16" fillId="0" borderId="2" xfId="0" applyNumberFormat="1" applyFont="1" applyBorder="1" applyAlignment="1" applyProtection="1">
      <alignment horizontal="center"/>
      <protection hidden="1"/>
    </xf>
    <xf numFmtId="0" fontId="19" fillId="0" borderId="1" xfId="0" applyFont="1" applyBorder="1" applyAlignment="1" applyProtection="1">
      <alignment horizontal="center" vertical="center"/>
      <protection hidden="1"/>
    </xf>
    <xf numFmtId="0" fontId="17" fillId="9" borderId="1" xfId="0" applyFont="1" applyFill="1" applyBorder="1" applyAlignment="1" applyProtection="1">
      <alignment horizontal="center" vertical="center" wrapText="1"/>
      <protection hidden="1"/>
    </xf>
    <xf numFmtId="15" fontId="18" fillId="12" borderId="1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Protection="1">
      <protection hidden="1"/>
    </xf>
    <xf numFmtId="1" fontId="17" fillId="0" borderId="0" xfId="0" applyNumberFormat="1" applyFont="1" applyProtection="1">
      <protection hidden="1"/>
    </xf>
    <xf numFmtId="0" fontId="20" fillId="0" borderId="0" xfId="0" applyFont="1" applyProtection="1">
      <protection hidden="1"/>
    </xf>
    <xf numFmtId="165" fontId="19" fillId="11" borderId="1" xfId="0" applyNumberFormat="1" applyFont="1" applyFill="1" applyBorder="1" applyAlignment="1" applyProtection="1">
      <alignment horizontal="center" vertical="center"/>
      <protection hidden="1"/>
    </xf>
    <xf numFmtId="15" fontId="19" fillId="0" borderId="0" xfId="0" applyNumberFormat="1" applyFont="1" applyProtection="1">
      <protection hidden="1"/>
    </xf>
    <xf numFmtId="0" fontId="17" fillId="4" borderId="1" xfId="0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left"/>
      <protection hidden="1"/>
    </xf>
    <xf numFmtId="164" fontId="19" fillId="0" borderId="0" xfId="1" applyFont="1" applyFill="1" applyBorder="1" applyProtection="1">
      <protection hidden="1"/>
    </xf>
    <xf numFmtId="15" fontId="19" fillId="0" borderId="1" xfId="0" applyNumberFormat="1" applyFont="1" applyBorder="1" applyAlignment="1" applyProtection="1">
      <alignment horizontal="center" vertical="center"/>
      <protection hidden="1"/>
    </xf>
    <xf numFmtId="164" fontId="19" fillId="0" borderId="1" xfId="1" applyFont="1" applyBorder="1" applyAlignment="1" applyProtection="1">
      <alignment horizontal="center" vertical="center"/>
      <protection hidden="1"/>
    </xf>
    <xf numFmtId="10" fontId="19" fillId="0" borderId="1" xfId="2" applyNumberFormat="1" applyFont="1" applyBorder="1" applyAlignment="1" applyProtection="1">
      <alignment horizontal="center" vertical="center"/>
      <protection hidden="1"/>
    </xf>
    <xf numFmtId="168" fontId="19" fillId="0" borderId="0" xfId="0" applyNumberFormat="1" applyFont="1" applyAlignment="1" applyProtection="1">
      <alignment wrapText="1"/>
      <protection hidden="1"/>
    </xf>
    <xf numFmtId="0" fontId="19" fillId="0" borderId="0" xfId="0" applyFont="1" applyAlignment="1" applyProtection="1">
      <alignment wrapText="1"/>
      <protection hidden="1"/>
    </xf>
    <xf numFmtId="2" fontId="19" fillId="0" borderId="0" xfId="0" applyNumberFormat="1" applyFont="1" applyProtection="1">
      <protection hidden="1"/>
    </xf>
    <xf numFmtId="164" fontId="19" fillId="0" borderId="0" xfId="1" applyFont="1" applyProtection="1">
      <protection hidden="1"/>
    </xf>
    <xf numFmtId="0" fontId="17" fillId="4" borderId="1" xfId="0" applyFont="1" applyFill="1" applyBorder="1" applyAlignment="1" applyProtection="1">
      <alignment horizontal="center" vertical="center" wrapText="1"/>
      <protection hidden="1"/>
    </xf>
    <xf numFmtId="1" fontId="17" fillId="4" borderId="1" xfId="0" applyNumberFormat="1" applyFont="1" applyFill="1" applyBorder="1" applyAlignment="1" applyProtection="1">
      <alignment horizontal="center" vertical="center" wrapText="1"/>
      <protection hidden="1"/>
    </xf>
    <xf numFmtId="9" fontId="19" fillId="0" borderId="0" xfId="2" applyFont="1" applyBorder="1" applyAlignment="1" applyProtection="1">
      <alignment wrapText="1"/>
      <protection hidden="1"/>
    </xf>
    <xf numFmtId="164" fontId="19" fillId="0" borderId="0" xfId="0" applyNumberFormat="1" applyFont="1" applyAlignment="1" applyProtection="1">
      <alignment wrapText="1"/>
      <protection hidden="1"/>
    </xf>
    <xf numFmtId="164" fontId="19" fillId="0" borderId="0" xfId="1" applyFont="1" applyBorder="1" applyAlignment="1" applyProtection="1">
      <alignment wrapText="1"/>
      <protection hidden="1"/>
    </xf>
    <xf numFmtId="14" fontId="19" fillId="0" borderId="0" xfId="1" applyNumberFormat="1" applyFont="1" applyAlignment="1" applyProtection="1">
      <alignment wrapText="1"/>
      <protection hidden="1"/>
    </xf>
    <xf numFmtId="164" fontId="19" fillId="0" borderId="0" xfId="1" applyFont="1" applyAlignment="1" applyProtection="1">
      <alignment wrapText="1"/>
      <protection hidden="1"/>
    </xf>
    <xf numFmtId="0" fontId="18" fillId="0" borderId="1" xfId="0" applyFont="1" applyBorder="1" applyAlignment="1" applyProtection="1">
      <alignment horizontal="center" vertical="center" wrapText="1"/>
      <protection hidden="1"/>
    </xf>
    <xf numFmtId="164" fontId="19" fillId="0" borderId="1" xfId="0" applyNumberFormat="1" applyFont="1" applyBorder="1" applyAlignment="1" applyProtection="1">
      <alignment horizontal="center" vertical="center" wrapText="1"/>
      <protection hidden="1"/>
    </xf>
    <xf numFmtId="10" fontId="19" fillId="0" borderId="1" xfId="0" applyNumberFormat="1" applyFont="1" applyBorder="1" applyAlignment="1" applyProtection="1">
      <alignment horizontal="center" vertical="center"/>
      <protection hidden="1"/>
    </xf>
    <xf numFmtId="164" fontId="19" fillId="0" borderId="1" xfId="1" applyFont="1" applyBorder="1" applyAlignment="1" applyProtection="1">
      <alignment horizontal="center"/>
      <protection hidden="1"/>
    </xf>
    <xf numFmtId="164" fontId="19" fillId="0" borderId="0" xfId="1" applyFont="1" applyBorder="1" applyProtection="1">
      <protection hidden="1"/>
    </xf>
    <xf numFmtId="14" fontId="19" fillId="0" borderId="0" xfId="0" applyNumberFormat="1" applyFont="1" applyProtection="1">
      <protection hidden="1"/>
    </xf>
    <xf numFmtId="164" fontId="19" fillId="0" borderId="0" xfId="0" applyNumberFormat="1" applyFont="1" applyProtection="1">
      <protection hidden="1"/>
    </xf>
    <xf numFmtId="169" fontId="19" fillId="0" borderId="0" xfId="1" applyNumberFormat="1" applyFont="1" applyFill="1" applyBorder="1" applyProtection="1">
      <protection hidden="1"/>
    </xf>
    <xf numFmtId="0" fontId="20" fillId="6" borderId="0" xfId="0" applyFont="1" applyFill="1" applyAlignment="1" applyProtection="1">
      <alignment horizontal="center" vertical="center" wrapText="1"/>
      <protection hidden="1"/>
    </xf>
    <xf numFmtId="0" fontId="18" fillId="11" borderId="1" xfId="0" applyFont="1" applyFill="1" applyBorder="1" applyProtection="1">
      <protection hidden="1"/>
    </xf>
    <xf numFmtId="14" fontId="19" fillId="0" borderId="1" xfId="1" applyNumberFormat="1" applyFont="1" applyBorder="1" applyProtection="1">
      <protection hidden="1"/>
    </xf>
    <xf numFmtId="0" fontId="19" fillId="0" borderId="1" xfId="0" applyFont="1" applyBorder="1" applyProtection="1">
      <protection hidden="1"/>
    </xf>
    <xf numFmtId="14" fontId="19" fillId="0" borderId="1" xfId="0" applyNumberFormat="1" applyFont="1" applyBorder="1" applyProtection="1">
      <protection hidden="1"/>
    </xf>
    <xf numFmtId="167" fontId="19" fillId="0" borderId="0" xfId="2" applyNumberFormat="1" applyFont="1" applyBorder="1" applyProtection="1">
      <protection hidden="1"/>
    </xf>
    <xf numFmtId="170" fontId="19" fillId="0" borderId="0" xfId="0" applyNumberFormat="1" applyFont="1" applyProtection="1">
      <protection hidden="1"/>
    </xf>
    <xf numFmtId="10" fontId="19" fillId="0" borderId="0" xfId="2" applyNumberFormat="1" applyFont="1" applyBorder="1" applyProtection="1">
      <protection hidden="1"/>
    </xf>
    <xf numFmtId="1" fontId="19" fillId="0" borderId="0" xfId="0" applyNumberFormat="1" applyFont="1" applyProtection="1">
      <protection hidden="1"/>
    </xf>
    <xf numFmtId="164" fontId="19" fillId="0" borderId="1" xfId="0" applyNumberFormat="1" applyFont="1" applyBorder="1" applyAlignment="1" applyProtection="1">
      <alignment horizontal="center" vertical="center"/>
      <protection hidden="1"/>
    </xf>
    <xf numFmtId="0" fontId="17" fillId="9" borderId="1" xfId="0" applyFont="1" applyFill="1" applyBorder="1" applyAlignment="1" applyProtection="1">
      <alignment horizontal="center" vertical="center" wrapText="1"/>
      <protection locked="0" hidden="1"/>
    </xf>
    <xf numFmtId="15" fontId="18" fillId="12" borderId="1" xfId="0" applyNumberFormat="1" applyFont="1" applyFill="1" applyBorder="1" applyAlignment="1" applyProtection="1">
      <alignment horizontal="center" vertical="center"/>
      <protection locked="0" hidden="1"/>
    </xf>
    <xf numFmtId="0" fontId="14" fillId="0" borderId="0" xfId="0" applyFont="1" applyProtection="1">
      <protection locked="0" hidden="1"/>
    </xf>
    <xf numFmtId="0" fontId="21" fillId="0" borderId="0" xfId="0" applyFont="1" applyProtection="1">
      <protection locked="0" hidden="1"/>
    </xf>
    <xf numFmtId="1" fontId="24" fillId="15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4" fillId="15" borderId="1" xfId="0" applyFont="1" applyFill="1" applyBorder="1" applyAlignment="1" applyProtection="1">
      <alignment horizontal="center" vertical="center" wrapText="1"/>
      <protection locked="0" hidden="1"/>
    </xf>
    <xf numFmtId="0" fontId="13" fillId="16" borderId="1" xfId="0" applyFont="1" applyFill="1" applyBorder="1" applyProtection="1">
      <protection locked="0" hidden="1"/>
    </xf>
    <xf numFmtId="165" fontId="14" fillId="0" borderId="1" xfId="1" applyNumberFormat="1" applyFont="1" applyBorder="1" applyProtection="1">
      <protection locked="0" hidden="1"/>
    </xf>
    <xf numFmtId="10" fontId="14" fillId="0" borderId="1" xfId="2" applyNumberFormat="1" applyFont="1" applyBorder="1" applyProtection="1">
      <protection locked="0" hidden="1"/>
    </xf>
    <xf numFmtId="0" fontId="13" fillId="0" borderId="0" xfId="0" applyFont="1" applyProtection="1">
      <protection locked="0" hidden="1"/>
    </xf>
    <xf numFmtId="0" fontId="15" fillId="8" borderId="1" xfId="0" applyFont="1" applyFill="1" applyBorder="1" applyAlignment="1" applyProtection="1">
      <alignment horizontal="center" vertical="center" wrapText="1"/>
      <protection hidden="1"/>
    </xf>
    <xf numFmtId="0" fontId="15" fillId="4" borderId="1" xfId="0" applyFont="1" applyFill="1" applyBorder="1" applyAlignment="1" applyProtection="1">
      <alignment horizontal="center" vertical="center" wrapText="1"/>
      <protection hidden="1"/>
    </xf>
    <xf numFmtId="1" fontId="15" fillId="8" borderId="1" xfId="0" applyNumberFormat="1" applyFont="1" applyFill="1" applyBorder="1" applyAlignment="1" applyProtection="1">
      <alignment horizontal="center" vertical="center" wrapText="1"/>
      <protection hidden="1"/>
    </xf>
    <xf numFmtId="2" fontId="15" fillId="8" borderId="1" xfId="0" applyNumberFormat="1" applyFont="1" applyFill="1" applyBorder="1" applyAlignment="1" applyProtection="1">
      <alignment horizontal="center" vertical="center" wrapText="1"/>
      <protection hidden="1"/>
    </xf>
    <xf numFmtId="0" fontId="17" fillId="0" borderId="0" xfId="0" applyFont="1" applyAlignment="1" applyProtection="1">
      <alignment horizontal="center" vertical="center" wrapText="1"/>
      <protection hidden="1"/>
    </xf>
    <xf numFmtId="0" fontId="5" fillId="0" borderId="0" xfId="0" applyFont="1" applyProtection="1"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8" fillId="2" borderId="7" xfId="0" applyFont="1" applyFill="1" applyBorder="1" applyAlignment="1" applyProtection="1">
      <alignment horizontal="center" vertical="center"/>
      <protection hidden="1"/>
    </xf>
    <xf numFmtId="0" fontId="8" fillId="2" borderId="8" xfId="0" applyFont="1" applyFill="1" applyBorder="1" applyAlignment="1" applyProtection="1">
      <alignment horizontal="center" vertical="center"/>
      <protection hidden="1"/>
    </xf>
    <xf numFmtId="0" fontId="8" fillId="2" borderId="9" xfId="0" applyFont="1" applyFill="1" applyBorder="1" applyAlignment="1" applyProtection="1">
      <alignment horizontal="center" vertical="center"/>
      <protection hidden="1"/>
    </xf>
    <xf numFmtId="10" fontId="5" fillId="7" borderId="1" xfId="0" applyNumberFormat="1" applyFont="1" applyFill="1" applyBorder="1" applyProtection="1"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/>
      <protection hidden="1"/>
    </xf>
    <xf numFmtId="0" fontId="15" fillId="8" borderId="2" xfId="0" applyFont="1" applyFill="1" applyBorder="1" applyAlignment="1" applyProtection="1">
      <alignment horizontal="center" vertical="center" wrapText="1"/>
      <protection hidden="1"/>
    </xf>
    <xf numFmtId="0" fontId="19" fillId="0" borderId="1" xfId="0" applyFont="1" applyBorder="1" applyAlignment="1" applyProtection="1">
      <alignment horizontal="left"/>
      <protection hidden="1"/>
    </xf>
    <xf numFmtId="0" fontId="17" fillId="13" borderId="1" xfId="0" applyFont="1" applyFill="1" applyBorder="1" applyAlignment="1" applyProtection="1">
      <alignment horizontal="center" vertical="center"/>
      <protection hidden="1"/>
    </xf>
    <xf numFmtId="165" fontId="19" fillId="0" borderId="1" xfId="1" applyNumberFormat="1" applyFont="1" applyBorder="1" applyAlignment="1" applyProtection="1">
      <alignment horizontal="center" vertical="center"/>
      <protection hidden="1"/>
    </xf>
    <xf numFmtId="0" fontId="19" fillId="0" borderId="1" xfId="0" applyFont="1" applyBorder="1" applyAlignment="1" applyProtection="1">
      <alignment horizontal="left" vertical="center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hidden="1"/>
    </xf>
    <xf numFmtId="0" fontId="14" fillId="0" borderId="0" xfId="0" applyFont="1"/>
    <xf numFmtId="1" fontId="15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19" fillId="0" borderId="0" xfId="0" applyNumberFormat="1" applyFont="1" applyAlignment="1" applyProtection="1">
      <alignment horizontal="center" vertical="center"/>
      <protection locked="0"/>
    </xf>
    <xf numFmtId="1" fontId="16" fillId="0" borderId="1" xfId="0" applyNumberFormat="1" applyFont="1" applyBorder="1" applyAlignment="1" applyProtection="1">
      <alignment horizontal="center"/>
      <protection locked="0"/>
    </xf>
    <xf numFmtId="1" fontId="16" fillId="0" borderId="0" xfId="0" applyNumberFormat="1" applyFont="1" applyAlignment="1" applyProtection="1">
      <alignment horizontal="center"/>
      <protection locked="0"/>
    </xf>
    <xf numFmtId="0" fontId="17" fillId="13" borderId="1" xfId="0" applyFont="1" applyFill="1" applyBorder="1" applyAlignment="1" applyProtection="1">
      <alignment horizontal="center" vertical="center" wrapText="1"/>
      <protection hidden="1"/>
    </xf>
    <xf numFmtId="0" fontId="15" fillId="4" borderId="0" xfId="0" applyFont="1" applyFill="1" applyAlignment="1" applyProtection="1">
      <alignment horizontal="center" vertical="center" wrapText="1"/>
      <protection hidden="1"/>
    </xf>
    <xf numFmtId="2" fontId="16" fillId="0" borderId="1" xfId="0" applyNumberFormat="1" applyFont="1" applyBorder="1" applyAlignment="1" applyProtection="1">
      <alignment horizontal="center" vertical="center"/>
      <protection locked="0"/>
    </xf>
    <xf numFmtId="0" fontId="13" fillId="11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30" fillId="0" borderId="0" xfId="3" applyFont="1"/>
    <xf numFmtId="1" fontId="19" fillId="0" borderId="1" xfId="0" applyNumberFormat="1" applyFont="1" applyBorder="1" applyAlignment="1" applyProtection="1">
      <alignment horizontal="center" vertical="center"/>
      <protection hidden="1"/>
    </xf>
    <xf numFmtId="164" fontId="17" fillId="4" borderId="1" xfId="1" applyFont="1" applyFill="1" applyBorder="1" applyAlignment="1" applyProtection="1">
      <alignment horizontal="center" vertical="center" wrapText="1"/>
      <protection hidden="1"/>
    </xf>
    <xf numFmtId="164" fontId="19" fillId="0" borderId="0" xfId="1" applyFont="1" applyAlignment="1" applyProtection="1">
      <alignment horizontal="center" vertical="center"/>
      <protection hidden="1"/>
    </xf>
    <xf numFmtId="164" fontId="19" fillId="0" borderId="0" xfId="1" applyFont="1" applyBorder="1" applyAlignment="1" applyProtection="1">
      <alignment horizontal="center" vertical="center"/>
      <protection hidden="1"/>
    </xf>
    <xf numFmtId="1" fontId="16" fillId="0" borderId="1" xfId="0" applyNumberFormat="1" applyFont="1" applyBorder="1" applyAlignment="1" applyProtection="1">
      <alignment horizontal="center" vertical="center"/>
      <protection hidden="1"/>
    </xf>
    <xf numFmtId="1" fontId="16" fillId="0" borderId="1" xfId="0" applyNumberFormat="1" applyFont="1" applyBorder="1" applyAlignment="1" applyProtection="1">
      <alignment horizontal="center"/>
      <protection hidden="1"/>
    </xf>
    <xf numFmtId="9" fontId="16" fillId="0" borderId="2" xfId="2" applyFont="1" applyBorder="1" applyAlignment="1" applyProtection="1">
      <alignment horizontal="center"/>
      <protection hidden="1"/>
    </xf>
    <xf numFmtId="0" fontId="16" fillId="0" borderId="2" xfId="2" applyNumberFormat="1" applyFont="1" applyBorder="1" applyAlignment="1" applyProtection="1">
      <alignment horizontal="center"/>
      <protection hidden="1"/>
    </xf>
    <xf numFmtId="1" fontId="18" fillId="0" borderId="0" xfId="0" applyNumberFormat="1" applyFont="1" applyProtection="1"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10" fontId="5" fillId="0" borderId="1" xfId="2" applyNumberFormat="1" applyFont="1" applyBorder="1" applyAlignment="1" applyProtection="1">
      <alignment horizontal="center" vertical="center"/>
      <protection hidden="1"/>
    </xf>
    <xf numFmtId="10" fontId="5" fillId="0" borderId="0" xfId="2" applyNumberFormat="1" applyFont="1" applyProtection="1">
      <protection hidden="1"/>
    </xf>
    <xf numFmtId="10" fontId="5" fillId="0" borderId="0" xfId="0" applyNumberFormat="1" applyFont="1" applyProtection="1">
      <protection hidden="1"/>
    </xf>
    <xf numFmtId="164" fontId="15" fillId="8" borderId="1" xfId="1" applyFont="1" applyFill="1" applyBorder="1" applyAlignment="1" applyProtection="1">
      <alignment horizontal="center" vertical="center" wrapText="1"/>
      <protection hidden="1"/>
    </xf>
    <xf numFmtId="164" fontId="16" fillId="0" borderId="2" xfId="1" applyFont="1" applyBorder="1" applyAlignment="1" applyProtection="1">
      <alignment horizontal="center"/>
      <protection hidden="1"/>
    </xf>
    <xf numFmtId="14" fontId="19" fillId="0" borderId="1" xfId="0" applyNumberFormat="1" applyFont="1" applyBorder="1" applyAlignment="1" applyProtection="1">
      <alignment horizontal="center" vertical="center"/>
      <protection hidden="1"/>
    </xf>
    <xf numFmtId="14" fontId="19" fillId="0" borderId="1" xfId="1" applyNumberFormat="1" applyFont="1" applyBorder="1" applyAlignment="1" applyProtection="1">
      <alignment horizontal="center" vertical="center"/>
      <protection hidden="1"/>
    </xf>
    <xf numFmtId="9" fontId="19" fillId="0" borderId="1" xfId="1" applyNumberFormat="1" applyFont="1" applyBorder="1" applyAlignment="1" applyProtection="1">
      <alignment horizontal="center" vertical="center"/>
      <protection hidden="1"/>
    </xf>
    <xf numFmtId="170" fontId="19" fillId="0" borderId="1" xfId="1" applyNumberFormat="1" applyFont="1" applyBorder="1" applyAlignment="1" applyProtection="1">
      <alignment horizontal="center" vertical="center"/>
      <protection hidden="1"/>
    </xf>
    <xf numFmtId="0" fontId="18" fillId="5" borderId="1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Protection="1">
      <protection hidden="1"/>
    </xf>
    <xf numFmtId="165" fontId="19" fillId="0" borderId="1" xfId="0" applyNumberFormat="1" applyFont="1" applyBorder="1" applyAlignment="1" applyProtection="1">
      <alignment horizontal="center" vertical="center"/>
      <protection hidden="1"/>
    </xf>
    <xf numFmtId="165" fontId="19" fillId="0" borderId="0" xfId="0" applyNumberFormat="1" applyFont="1" applyProtection="1">
      <protection hidden="1"/>
    </xf>
    <xf numFmtId="0" fontId="8" fillId="2" borderId="2" xfId="0" applyFont="1" applyFill="1" applyBorder="1" applyAlignment="1" applyProtection="1">
      <alignment horizontal="center" vertical="center" wrapText="1"/>
      <protection hidden="1"/>
    </xf>
    <xf numFmtId="10" fontId="5" fillId="0" borderId="0" xfId="1" applyNumberFormat="1" applyFont="1" applyProtection="1">
      <protection hidden="1"/>
    </xf>
    <xf numFmtId="164" fontId="5" fillId="0" borderId="1" xfId="1" applyFont="1" applyBorder="1" applyAlignment="1" applyProtection="1">
      <alignment horizontal="center" vertical="center"/>
      <protection hidden="1"/>
    </xf>
    <xf numFmtId="0" fontId="5" fillId="0" borderId="1" xfId="0" applyFont="1" applyBorder="1" applyProtection="1">
      <protection hidden="1"/>
    </xf>
    <xf numFmtId="0" fontId="8" fillId="0" borderId="0" xfId="0" applyFont="1" applyAlignment="1" applyProtection="1">
      <alignment horizontal="center" vertical="center" wrapText="1"/>
      <protection hidden="1"/>
    </xf>
    <xf numFmtId="10" fontId="5" fillId="0" borderId="0" xfId="2" applyNumberFormat="1" applyFont="1" applyFill="1" applyBorder="1" applyAlignment="1" applyProtection="1">
      <alignment horizontal="center"/>
      <protection hidden="1"/>
    </xf>
    <xf numFmtId="10" fontId="5" fillId="0" borderId="1" xfId="0" applyNumberFormat="1" applyFont="1" applyBorder="1" applyAlignment="1" applyProtection="1">
      <alignment horizontal="center"/>
      <protection hidden="1"/>
    </xf>
    <xf numFmtId="10" fontId="5" fillId="0" borderId="0" xfId="2" applyNumberFormat="1" applyFont="1" applyBorder="1" applyAlignment="1" applyProtection="1">
      <alignment horizontal="center" vertical="center"/>
      <protection hidden="1"/>
    </xf>
    <xf numFmtId="10" fontId="5" fillId="0" borderId="1" xfId="2" applyNumberFormat="1" applyFont="1" applyBorder="1" applyAlignment="1" applyProtection="1">
      <alignment horizontal="center"/>
      <protection hidden="1"/>
    </xf>
    <xf numFmtId="10" fontId="5" fillId="0" borderId="14" xfId="2" applyNumberFormat="1" applyFont="1" applyBorder="1" applyAlignment="1" applyProtection="1">
      <alignment horizontal="center"/>
      <protection hidden="1"/>
    </xf>
    <xf numFmtId="0" fontId="34" fillId="0" borderId="0" xfId="0" applyFont="1"/>
    <xf numFmtId="0" fontId="7" fillId="0" borderId="0" xfId="0" applyFont="1" applyProtection="1">
      <protection hidden="1"/>
    </xf>
    <xf numFmtId="9" fontId="7" fillId="0" borderId="0" xfId="0" applyNumberFormat="1" applyFont="1" applyProtection="1">
      <protection hidden="1"/>
    </xf>
    <xf numFmtId="0" fontId="32" fillId="0" borderId="13" xfId="0" applyFont="1" applyBorder="1" applyAlignment="1" applyProtection="1">
      <alignment horizontal="center"/>
      <protection hidden="1"/>
    </xf>
    <xf numFmtId="0" fontId="32" fillId="0" borderId="0" xfId="0" applyFont="1" applyAlignment="1" applyProtection="1">
      <alignment horizontal="center"/>
      <protection hidden="1"/>
    </xf>
    <xf numFmtId="0" fontId="7" fillId="0" borderId="13" xfId="0" applyFont="1" applyBorder="1" applyAlignment="1" applyProtection="1">
      <alignment horizontal="center"/>
      <protection hidden="1"/>
    </xf>
    <xf numFmtId="0" fontId="7" fillId="0" borderId="13" xfId="0" applyFont="1" applyBorder="1" applyProtection="1">
      <protection hidden="1"/>
    </xf>
    <xf numFmtId="164" fontId="7" fillId="0" borderId="13" xfId="1" applyFont="1" applyBorder="1" applyAlignment="1" applyProtection="1">
      <alignment horizontal="center"/>
      <protection hidden="1"/>
    </xf>
    <xf numFmtId="164" fontId="7" fillId="0" borderId="13" xfId="1" applyFont="1" applyBorder="1" applyProtection="1">
      <protection hidden="1"/>
    </xf>
    <xf numFmtId="166" fontId="7" fillId="0" borderId="13" xfId="2" applyNumberFormat="1" applyFont="1" applyBorder="1" applyAlignment="1" applyProtection="1">
      <alignment horizontal="center"/>
      <protection hidden="1"/>
    </xf>
    <xf numFmtId="164" fontId="7" fillId="0" borderId="0" xfId="1" applyFont="1" applyBorder="1" applyProtection="1">
      <protection hidden="1"/>
    </xf>
    <xf numFmtId="10" fontId="7" fillId="0" borderId="13" xfId="2" applyNumberFormat="1" applyFont="1" applyBorder="1" applyProtection="1">
      <protection hidden="1"/>
    </xf>
    <xf numFmtId="172" fontId="7" fillId="0" borderId="13" xfId="2" applyNumberFormat="1" applyFont="1" applyBorder="1" applyProtection="1">
      <protection hidden="1"/>
    </xf>
    <xf numFmtId="164" fontId="7" fillId="0" borderId="13" xfId="0" applyNumberFormat="1" applyFont="1" applyBorder="1" applyAlignment="1" applyProtection="1">
      <alignment horizontal="center"/>
      <protection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6" fillId="0" borderId="0" xfId="0" applyFont="1" applyProtection="1">
      <protection locked="0" hidden="1"/>
    </xf>
    <xf numFmtId="0" fontId="16" fillId="0" borderId="1" xfId="0" applyFont="1" applyBorder="1" applyAlignment="1" applyProtection="1">
      <alignment horizontal="center"/>
      <protection locked="0" hidden="1"/>
    </xf>
    <xf numFmtId="9" fontId="16" fillId="0" borderId="1" xfId="0" applyNumberFormat="1" applyFont="1" applyBorder="1" applyAlignment="1" applyProtection="1">
      <alignment horizontal="center" vertical="center"/>
      <protection locked="0" hidden="1"/>
    </xf>
    <xf numFmtId="0" fontId="15" fillId="10" borderId="1" xfId="0" applyFont="1" applyFill="1" applyBorder="1" applyAlignment="1" applyProtection="1">
      <alignment horizontal="center" vertical="center"/>
      <protection locked="0" hidden="1"/>
    </xf>
    <xf numFmtId="0" fontId="16" fillId="0" borderId="2" xfId="0" applyFont="1" applyBorder="1" applyAlignment="1" applyProtection="1">
      <alignment horizontal="center"/>
      <protection locked="0" hidden="1"/>
    </xf>
    <xf numFmtId="0" fontId="16" fillId="0" borderId="4" xfId="0" applyFont="1" applyBorder="1" applyProtection="1">
      <protection locked="0" hidden="1"/>
    </xf>
    <xf numFmtId="0" fontId="16" fillId="0" borderId="1" xfId="0" applyFont="1" applyBorder="1" applyProtection="1">
      <protection locked="0" hidden="1"/>
    </xf>
    <xf numFmtId="0" fontId="22" fillId="0" borderId="1" xfId="0" applyFont="1" applyBorder="1" applyAlignment="1" applyProtection="1">
      <alignment horizontal="left" vertical="center" wrapText="1"/>
      <protection locked="0" hidden="1"/>
    </xf>
    <xf numFmtId="10" fontId="16" fillId="0" borderId="2" xfId="0" applyNumberFormat="1" applyFont="1" applyBorder="1" applyAlignment="1" applyProtection="1">
      <alignment vertical="center" wrapText="1"/>
      <protection locked="0" hidden="1"/>
    </xf>
    <xf numFmtId="10" fontId="16" fillId="0" borderId="1" xfId="0" applyNumberFormat="1" applyFont="1" applyBorder="1" applyAlignment="1" applyProtection="1">
      <alignment vertical="center" wrapText="1"/>
      <protection locked="0" hidden="1"/>
    </xf>
    <xf numFmtId="10" fontId="16" fillId="0" borderId="0" xfId="0" applyNumberFormat="1" applyFont="1" applyAlignment="1" applyProtection="1">
      <alignment vertical="center" wrapText="1"/>
      <protection locked="0" hidden="1"/>
    </xf>
    <xf numFmtId="0" fontId="16" fillId="0" borderId="1" xfId="0" applyFont="1" applyBorder="1" applyAlignment="1" applyProtection="1">
      <alignment horizontal="left"/>
      <protection locked="0" hidden="1"/>
    </xf>
    <xf numFmtId="0" fontId="32" fillId="20" borderId="13" xfId="0" applyFont="1" applyFill="1" applyBorder="1" applyAlignment="1" applyProtection="1">
      <alignment horizontal="center"/>
      <protection locked="0" hidden="1"/>
    </xf>
    <xf numFmtId="9" fontId="25" fillId="0" borderId="13" xfId="0" applyNumberFormat="1" applyFont="1" applyBorder="1" applyAlignment="1" applyProtection="1">
      <alignment horizontal="center"/>
      <protection locked="0" hidden="1"/>
    </xf>
    <xf numFmtId="0" fontId="25" fillId="16" borderId="1" xfId="0" applyFont="1" applyFill="1" applyBorder="1" applyAlignment="1" applyProtection="1">
      <alignment horizontal="center" vertical="center"/>
      <protection locked="0" hidden="1"/>
    </xf>
    <xf numFmtId="0" fontId="32" fillId="0" borderId="13" xfId="0" applyFont="1" applyBorder="1" applyAlignment="1" applyProtection="1">
      <alignment horizontal="center"/>
      <protection locked="0" hidden="1"/>
    </xf>
    <xf numFmtId="164" fontId="16" fillId="0" borderId="13" xfId="1" applyFont="1" applyBorder="1" applyAlignment="1" applyProtection="1">
      <alignment horizontal="center"/>
      <protection locked="0" hidden="1"/>
    </xf>
    <xf numFmtId="10" fontId="16" fillId="0" borderId="13" xfId="2" applyNumberFormat="1" applyFont="1" applyBorder="1" applyAlignment="1" applyProtection="1">
      <alignment horizontal="center"/>
      <protection locked="0" hidden="1"/>
    </xf>
    <xf numFmtId="0" fontId="16" fillId="0" borderId="0" xfId="0" applyFont="1" applyAlignment="1" applyProtection="1">
      <alignment horizontal="left"/>
      <protection locked="0" hidden="1"/>
    </xf>
    <xf numFmtId="0" fontId="19" fillId="0" borderId="0" xfId="0" applyFont="1" applyAlignment="1" applyProtection="1">
      <alignment vertical="center"/>
      <protection hidden="1"/>
    </xf>
    <xf numFmtId="1" fontId="15" fillId="4" borderId="1" xfId="0" applyNumberFormat="1" applyFont="1" applyFill="1" applyBorder="1" applyAlignment="1" applyProtection="1">
      <alignment horizontal="center" vertical="center" wrapText="1"/>
      <protection hidden="1"/>
    </xf>
    <xf numFmtId="0" fontId="16" fillId="0" borderId="1" xfId="0" applyFont="1" applyBorder="1" applyProtection="1">
      <protection hidden="1"/>
    </xf>
    <xf numFmtId="14" fontId="16" fillId="0" borderId="1" xfId="0" applyNumberFormat="1" applyFont="1" applyBorder="1" applyAlignment="1" applyProtection="1">
      <alignment horizontal="center"/>
      <protection hidden="1"/>
    </xf>
    <xf numFmtId="171" fontId="16" fillId="0" borderId="0" xfId="0" applyNumberFormat="1" applyFont="1" applyProtection="1">
      <protection hidden="1"/>
    </xf>
    <xf numFmtId="1" fontId="16" fillId="0" borderId="0" xfId="0" applyNumberFormat="1" applyFont="1" applyAlignment="1" applyProtection="1">
      <alignment horizontal="center"/>
      <protection hidden="1"/>
    </xf>
    <xf numFmtId="0" fontId="16" fillId="0" borderId="0" xfId="0" applyFont="1" applyAlignment="1" applyProtection="1">
      <alignment horizontal="center"/>
      <protection hidden="1"/>
    </xf>
    <xf numFmtId="0" fontId="16" fillId="0" borderId="0" xfId="0" applyFont="1" applyAlignment="1" applyProtection="1">
      <alignment horizont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14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hidden="1"/>
    </xf>
    <xf numFmtId="164" fontId="16" fillId="0" borderId="1" xfId="1" applyFont="1" applyBorder="1" applyAlignment="1" applyProtection="1">
      <alignment horizontal="center"/>
      <protection locked="0"/>
    </xf>
    <xf numFmtId="164" fontId="16" fillId="0" borderId="4" xfId="1" applyFont="1" applyBorder="1" applyAlignment="1" applyProtection="1">
      <alignment horizontal="center"/>
      <protection locked="0"/>
    </xf>
    <xf numFmtId="15" fontId="16" fillId="0" borderId="1" xfId="0" applyNumberFormat="1" applyFont="1" applyBorder="1" applyAlignment="1" applyProtection="1">
      <alignment horizontal="center"/>
      <protection hidden="1"/>
    </xf>
    <xf numFmtId="164" fontId="16" fillId="0" borderId="1" xfId="0" applyNumberFormat="1" applyFont="1" applyBorder="1" applyAlignment="1" applyProtection="1">
      <alignment horizontal="center"/>
      <protection hidden="1"/>
    </xf>
    <xf numFmtId="164" fontId="16" fillId="0" borderId="1" xfId="1" applyFont="1" applyFill="1" applyBorder="1" applyAlignment="1" applyProtection="1">
      <alignment horizontal="center"/>
      <protection locked="0"/>
    </xf>
    <xf numFmtId="164" fontId="16" fillId="0" borderId="4" xfId="1" applyFont="1" applyFill="1" applyBorder="1" applyAlignment="1" applyProtection="1">
      <alignment horizontal="center"/>
      <protection locked="0"/>
    </xf>
    <xf numFmtId="14" fontId="16" fillId="0" borderId="0" xfId="0" applyNumberFormat="1" applyFont="1" applyAlignment="1" applyProtection="1">
      <alignment horizontal="center"/>
      <protection hidden="1"/>
    </xf>
    <xf numFmtId="164" fontId="16" fillId="0" borderId="0" xfId="1" applyFont="1" applyAlignment="1" applyProtection="1">
      <alignment horizontal="center"/>
      <protection hidden="1"/>
    </xf>
    <xf numFmtId="2" fontId="16" fillId="0" borderId="0" xfId="0" applyNumberFormat="1" applyFont="1" applyAlignment="1" applyProtection="1">
      <alignment horizontal="center"/>
      <protection hidden="1"/>
    </xf>
    <xf numFmtId="14" fontId="16" fillId="0" borderId="0" xfId="0" applyNumberFormat="1" applyFont="1" applyAlignment="1" applyProtection="1">
      <alignment horizontal="center"/>
      <protection locked="0"/>
    </xf>
    <xf numFmtId="164" fontId="16" fillId="0" borderId="0" xfId="1" applyFont="1" applyAlignment="1" applyProtection="1">
      <alignment horizontal="center"/>
      <protection locked="0"/>
    </xf>
    <xf numFmtId="164" fontId="19" fillId="0" borderId="0" xfId="1" applyFont="1" applyAlignment="1" applyProtection="1">
      <alignment horizontal="center" vertical="center"/>
      <protection locked="0"/>
    </xf>
    <xf numFmtId="164" fontId="15" fillId="4" borderId="1" xfId="1" applyFont="1" applyFill="1" applyBorder="1" applyAlignment="1" applyProtection="1">
      <alignment horizontal="center" vertical="center" wrapText="1"/>
      <protection locked="0"/>
    </xf>
    <xf numFmtId="0" fontId="17" fillId="4" borderId="1" xfId="0" applyFont="1" applyFill="1" applyBorder="1" applyAlignment="1" applyProtection="1">
      <alignment horizontal="left" vertical="center" wrapText="1"/>
      <protection hidden="1"/>
    </xf>
    <xf numFmtId="14" fontId="17" fillId="4" borderId="1" xfId="0" applyNumberFormat="1" applyFont="1" applyFill="1" applyBorder="1" applyAlignment="1" applyProtection="1">
      <alignment horizontal="center" vertical="center" wrapText="1"/>
      <protection hidden="1"/>
    </xf>
    <xf numFmtId="172" fontId="19" fillId="0" borderId="0" xfId="2" applyNumberFormat="1" applyFont="1" applyProtection="1">
      <protection hidden="1"/>
    </xf>
    <xf numFmtId="172" fontId="19" fillId="0" borderId="0" xfId="2" applyNumberFormat="1" applyFont="1" applyBorder="1" applyProtection="1">
      <protection hidden="1"/>
    </xf>
    <xf numFmtId="172" fontId="17" fillId="4" borderId="1" xfId="2" applyNumberFormat="1" applyFont="1" applyFill="1" applyBorder="1" applyAlignment="1" applyProtection="1">
      <alignment horizontal="center" vertical="center" wrapText="1"/>
      <protection hidden="1"/>
    </xf>
    <xf numFmtId="172" fontId="19" fillId="0" borderId="1" xfId="2" applyNumberFormat="1" applyFont="1" applyBorder="1" applyAlignment="1" applyProtection="1">
      <alignment horizontal="center" vertical="center"/>
      <protection hidden="1"/>
    </xf>
    <xf numFmtId="164" fontId="17" fillId="4" borderId="1" xfId="1" applyFont="1" applyFill="1" applyBorder="1" applyAlignment="1" applyProtection="1">
      <alignment horizontal="center" vertical="center"/>
      <protection hidden="1"/>
    </xf>
    <xf numFmtId="164" fontId="18" fillId="0" borderId="0" xfId="1" applyFont="1" applyFill="1" applyBorder="1" applyAlignment="1" applyProtection="1">
      <alignment horizontal="center"/>
      <protection hidden="1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14" fillId="0" borderId="0" xfId="0" applyFont="1" applyProtection="1">
      <protection hidden="1"/>
    </xf>
    <xf numFmtId="0" fontId="31" fillId="10" borderId="1" xfId="0" applyFont="1" applyFill="1" applyBorder="1" applyAlignment="1" applyProtection="1">
      <alignment horizontal="center"/>
      <protection hidden="1"/>
    </xf>
    <xf numFmtId="0" fontId="31" fillId="10" borderId="1" xfId="0" applyFont="1" applyFill="1" applyBorder="1" applyAlignment="1" applyProtection="1">
      <alignment horizontal="center" vertical="center"/>
      <protection hidden="1"/>
    </xf>
    <xf numFmtId="0" fontId="9" fillId="21" borderId="1" xfId="0" applyFont="1" applyFill="1" applyBorder="1" applyProtection="1">
      <protection hidden="1"/>
    </xf>
    <xf numFmtId="0" fontId="33" fillId="0" borderId="1" xfId="0" applyFont="1" applyBorder="1" applyAlignment="1" applyProtection="1">
      <alignment horizontal="center" vertical="center"/>
      <protection hidden="1"/>
    </xf>
    <xf numFmtId="0" fontId="31" fillId="19" borderId="1" xfId="0" applyFont="1" applyFill="1" applyBorder="1" applyAlignment="1" applyProtection="1">
      <alignment horizontal="center" vertical="center"/>
      <protection hidden="1"/>
    </xf>
    <xf numFmtId="0" fontId="2" fillId="16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10" fontId="2" fillId="0" borderId="1" xfId="2" applyNumberFormat="1" applyFont="1" applyBorder="1" applyAlignment="1" applyProtection="1">
      <alignment horizontal="center" vertical="center"/>
      <protection hidden="1"/>
    </xf>
    <xf numFmtId="10" fontId="2" fillId="0" borderId="1" xfId="0" applyNumberFormat="1" applyFont="1" applyBorder="1" applyAlignment="1" applyProtection="1">
      <alignment horizontal="center" vertical="center"/>
      <protection hidden="1"/>
    </xf>
    <xf numFmtId="0" fontId="31" fillId="2" borderId="0" xfId="0" applyFont="1" applyFill="1" applyAlignment="1" applyProtection="1">
      <alignment horizontal="center" vertical="center"/>
      <protection hidden="1"/>
    </xf>
    <xf numFmtId="9" fontId="2" fillId="0" borderId="1" xfId="2" applyFont="1" applyBorder="1" applyAlignment="1" applyProtection="1">
      <alignment horizontal="center" vertical="center"/>
      <protection hidden="1"/>
    </xf>
    <xf numFmtId="166" fontId="2" fillId="0" borderId="1" xfId="2" applyNumberFormat="1" applyFont="1" applyBorder="1" applyAlignment="1" applyProtection="1">
      <alignment horizontal="center" vertical="center"/>
      <protection hidden="1"/>
    </xf>
    <xf numFmtId="9" fontId="2" fillId="0" borderId="0" xfId="0" applyNumberFormat="1" applyFont="1" applyAlignment="1" applyProtection="1">
      <alignment horizontal="center" vertical="center"/>
      <protection hidden="1"/>
    </xf>
    <xf numFmtId="0" fontId="31" fillId="2" borderId="1" xfId="0" applyFont="1" applyFill="1" applyBorder="1" applyAlignment="1" applyProtection="1">
      <alignment horizontal="center" vertical="center"/>
      <protection hidden="1"/>
    </xf>
    <xf numFmtId="0" fontId="19" fillId="22" borderId="1" xfId="0" applyFont="1" applyFill="1" applyBorder="1" applyAlignment="1" applyProtection="1">
      <alignment horizontal="left" vertical="center"/>
      <protection hidden="1"/>
    </xf>
    <xf numFmtId="0" fontId="16" fillId="7" borderId="1" xfId="0" applyFont="1" applyFill="1" applyBorder="1" applyAlignment="1" applyProtection="1">
      <alignment horizontal="center"/>
      <protection locked="0"/>
    </xf>
    <xf numFmtId="0" fontId="37" fillId="6" borderId="0" xfId="4" applyFont="1" applyFill="1"/>
    <xf numFmtId="0" fontId="4" fillId="6" borderId="0" xfId="0" applyFont="1" applyFill="1"/>
    <xf numFmtId="165" fontId="4" fillId="6" borderId="0" xfId="0" applyNumberFormat="1" applyFont="1" applyFill="1"/>
    <xf numFmtId="0" fontId="37" fillId="6" borderId="17" xfId="4" applyFont="1" applyFill="1" applyBorder="1"/>
    <xf numFmtId="0" fontId="37" fillId="6" borderId="18" xfId="4" applyFont="1" applyFill="1" applyBorder="1"/>
    <xf numFmtId="165" fontId="37" fillId="6" borderId="0" xfId="1" applyNumberFormat="1" applyFont="1" applyFill="1" applyBorder="1"/>
    <xf numFmtId="10" fontId="37" fillId="6" borderId="18" xfId="2" applyNumberFormat="1" applyFont="1" applyFill="1" applyBorder="1"/>
    <xf numFmtId="0" fontId="36" fillId="6" borderId="17" xfId="4" applyFont="1" applyFill="1" applyBorder="1"/>
    <xf numFmtId="165" fontId="36" fillId="6" borderId="0" xfId="4" applyNumberFormat="1" applyFont="1" applyFill="1"/>
    <xf numFmtId="10" fontId="36" fillId="6" borderId="18" xfId="2" applyNumberFormat="1" applyFont="1" applyFill="1" applyBorder="1"/>
    <xf numFmtId="0" fontId="39" fillId="6" borderId="18" xfId="4" applyFont="1" applyFill="1" applyBorder="1"/>
    <xf numFmtId="0" fontId="37" fillId="6" borderId="11" xfId="4" applyFont="1" applyFill="1" applyBorder="1"/>
    <xf numFmtId="0" fontId="37" fillId="6" borderId="3" xfId="4" applyFont="1" applyFill="1" applyBorder="1"/>
    <xf numFmtId="0" fontId="40" fillId="6" borderId="3" xfId="4" applyFont="1" applyFill="1" applyBorder="1"/>
    <xf numFmtId="0" fontId="37" fillId="6" borderId="19" xfId="4" applyFont="1" applyFill="1" applyBorder="1"/>
    <xf numFmtId="0" fontId="36" fillId="6" borderId="11" xfId="4" applyFont="1" applyFill="1" applyBorder="1"/>
    <xf numFmtId="165" fontId="36" fillId="6" borderId="3" xfId="4" applyNumberFormat="1" applyFont="1" applyFill="1" applyBorder="1"/>
    <xf numFmtId="10" fontId="36" fillId="6" borderId="19" xfId="2" applyNumberFormat="1" applyFont="1" applyFill="1" applyBorder="1"/>
    <xf numFmtId="165" fontId="40" fillId="6" borderId="3" xfId="4" applyNumberFormat="1" applyFont="1" applyFill="1" applyBorder="1"/>
    <xf numFmtId="164" fontId="19" fillId="0" borderId="0" xfId="2" applyNumberFormat="1" applyFont="1" applyFill="1" applyBorder="1" applyProtection="1">
      <protection hidden="1"/>
    </xf>
    <xf numFmtId="0" fontId="10" fillId="2" borderId="1" xfId="0" applyFont="1" applyFill="1" applyBorder="1" applyAlignment="1">
      <alignment vertical="center" wrapText="1"/>
    </xf>
    <xf numFmtId="0" fontId="36" fillId="6" borderId="15" xfId="4" applyFont="1" applyFill="1" applyBorder="1" applyAlignment="1">
      <alignment horizontal="center"/>
    </xf>
    <xf numFmtId="0" fontId="36" fillId="6" borderId="5" xfId="4" applyFont="1" applyFill="1" applyBorder="1" applyAlignment="1">
      <alignment horizontal="center"/>
    </xf>
    <xf numFmtId="0" fontId="36" fillId="6" borderId="16" xfId="4" applyFont="1" applyFill="1" applyBorder="1" applyAlignment="1">
      <alignment horizontal="center"/>
    </xf>
    <xf numFmtId="0" fontId="38" fillId="6" borderId="5" xfId="0" applyFont="1" applyFill="1" applyBorder="1" applyAlignment="1">
      <alignment horizontal="center" vertical="center" wrapText="1"/>
    </xf>
    <xf numFmtId="0" fontId="38" fillId="6" borderId="0" xfId="0" applyFont="1" applyFill="1" applyAlignment="1">
      <alignment horizontal="center" vertical="center" wrapText="1"/>
    </xf>
    <xf numFmtId="0" fontId="38" fillId="6" borderId="15" xfId="0" applyFont="1" applyFill="1" applyBorder="1" applyAlignment="1">
      <alignment horizontal="center" vertical="center"/>
    </xf>
    <xf numFmtId="0" fontId="38" fillId="6" borderId="5" xfId="0" applyFont="1" applyFill="1" applyBorder="1" applyAlignment="1">
      <alignment horizontal="center" vertical="center"/>
    </xf>
    <xf numFmtId="0" fontId="38" fillId="6" borderId="16" xfId="0" applyFont="1" applyFill="1" applyBorder="1" applyAlignment="1">
      <alignment horizontal="center" vertical="center"/>
    </xf>
    <xf numFmtId="0" fontId="38" fillId="6" borderId="17" xfId="0" applyFont="1" applyFill="1" applyBorder="1" applyAlignment="1">
      <alignment horizontal="center" vertical="center"/>
    </xf>
    <xf numFmtId="0" fontId="38" fillId="6" borderId="0" xfId="0" applyFont="1" applyFill="1" applyAlignment="1">
      <alignment horizontal="center" vertical="center"/>
    </xf>
    <xf numFmtId="0" fontId="38" fillId="6" borderId="18" xfId="0" applyFont="1" applyFill="1" applyBorder="1" applyAlignment="1">
      <alignment horizontal="center" vertical="center"/>
    </xf>
    <xf numFmtId="0" fontId="38" fillId="6" borderId="11" xfId="0" applyFont="1" applyFill="1" applyBorder="1" applyAlignment="1">
      <alignment horizontal="center" vertical="center"/>
    </xf>
    <xf numFmtId="0" fontId="38" fillId="6" borderId="3" xfId="0" applyFont="1" applyFill="1" applyBorder="1" applyAlignment="1">
      <alignment horizontal="center" vertical="center"/>
    </xf>
    <xf numFmtId="0" fontId="38" fillId="6" borderId="19" xfId="0" applyFont="1" applyFill="1" applyBorder="1" applyAlignment="1">
      <alignment horizontal="center" vertical="center"/>
    </xf>
    <xf numFmtId="0" fontId="29" fillId="17" borderId="0" xfId="0" applyFont="1" applyFill="1" applyAlignment="1">
      <alignment horizontal="center" wrapText="1"/>
    </xf>
    <xf numFmtId="0" fontId="28" fillId="4" borderId="0" xfId="0" applyFont="1" applyFill="1" applyAlignment="1">
      <alignment horizontal="center" vertical="center" wrapText="1"/>
    </xf>
    <xf numFmtId="0" fontId="12" fillId="4" borderId="0" xfId="0" applyFont="1" applyFill="1" applyAlignment="1" applyProtection="1">
      <alignment horizontal="center" wrapText="1"/>
      <protection locked="0" hidden="1"/>
    </xf>
    <xf numFmtId="0" fontId="31" fillId="2" borderId="0" xfId="0" applyFont="1" applyFill="1" applyAlignment="1" applyProtection="1">
      <alignment horizontal="center" vertical="center" wrapText="1"/>
      <protection hidden="1"/>
    </xf>
    <xf numFmtId="0" fontId="23" fillId="14" borderId="11" xfId="0" applyFont="1" applyFill="1" applyBorder="1" applyAlignment="1" applyProtection="1">
      <alignment horizontal="center" vertical="center"/>
      <protection hidden="1"/>
    </xf>
    <xf numFmtId="0" fontId="23" fillId="14" borderId="3" xfId="0" applyFont="1" applyFill="1" applyBorder="1" applyAlignment="1" applyProtection="1">
      <alignment horizontal="center" vertical="center"/>
      <protection hidden="1"/>
    </xf>
    <xf numFmtId="0" fontId="11" fillId="3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0" fontId="3" fillId="2" borderId="5" xfId="0" applyNumberFormat="1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31" fillId="18" borderId="1" xfId="0" applyFont="1" applyFill="1" applyBorder="1" applyAlignment="1" applyProtection="1">
      <alignment horizontal="center" vertical="center" wrapText="1"/>
      <protection hidden="1"/>
    </xf>
    <xf numFmtId="0" fontId="31" fillId="10" borderId="4" xfId="0" applyFont="1" applyFill="1" applyBorder="1" applyAlignment="1" applyProtection="1">
      <alignment horizontal="center" vertical="center" wrapText="1"/>
      <protection hidden="1"/>
    </xf>
    <xf numFmtId="0" fontId="31" fillId="10" borderId="12" xfId="0" applyFont="1" applyFill="1" applyBorder="1" applyAlignment="1" applyProtection="1">
      <alignment horizontal="center" vertical="center" wrapText="1"/>
      <protection hidden="1"/>
    </xf>
    <xf numFmtId="0" fontId="31" fillId="10" borderId="2" xfId="0" applyFont="1" applyFill="1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left"/>
      <protection hidden="1"/>
    </xf>
    <xf numFmtId="0" fontId="8" fillId="2" borderId="10" xfId="0" applyFont="1" applyFill="1" applyBorder="1" applyAlignment="1" applyProtection="1">
      <alignment horizontal="center"/>
      <protection hidden="1"/>
    </xf>
    <xf numFmtId="0" fontId="8" fillId="2" borderId="2" xfId="0" applyFont="1" applyFill="1" applyBorder="1" applyAlignment="1" applyProtection="1">
      <alignment horizontal="center"/>
      <protection hidden="1"/>
    </xf>
    <xf numFmtId="0" fontId="15" fillId="2" borderId="3" xfId="0" applyFont="1" applyFill="1" applyBorder="1" applyAlignment="1" applyProtection="1">
      <alignment horizontal="center" vertical="center"/>
      <protection locked="0" hidden="1"/>
    </xf>
    <xf numFmtId="0" fontId="8" fillId="2" borderId="1" xfId="0" applyFont="1" applyFill="1" applyBorder="1" applyAlignment="1" applyProtection="1">
      <alignment horizontal="center" vertical="center"/>
      <protection hidden="1"/>
    </xf>
    <xf numFmtId="0" fontId="0" fillId="0" borderId="0" xfId="0" applyAlignment="1"/>
    <xf numFmtId="0" fontId="5" fillId="0" borderId="1" xfId="0" applyFont="1" applyBorder="1" applyAlignment="1" applyProtection="1">
      <protection hidden="1"/>
    </xf>
    <xf numFmtId="15" fontId="5" fillId="0" borderId="1" xfId="0" applyNumberFormat="1" applyFont="1" applyBorder="1" applyAlignment="1" applyProtection="1">
      <alignment horizontal="center"/>
      <protection hidden="1"/>
    </xf>
    <xf numFmtId="15" fontId="5" fillId="0" borderId="1" xfId="0" applyNumberFormat="1" applyFont="1" applyBorder="1" applyAlignment="1" applyProtection="1">
      <alignment horizontal="center" vertical="center"/>
      <protection hidden="1"/>
    </xf>
    <xf numFmtId="15" fontId="5" fillId="0" borderId="1" xfId="0" applyNumberFormat="1" applyFont="1" applyBorder="1" applyAlignment="1" applyProtection="1">
      <protection hidden="1"/>
    </xf>
    <xf numFmtId="0" fontId="0" fillId="0" borderId="1" xfId="0" applyBorder="1" applyAlignment="1"/>
    <xf numFmtId="15" fontId="0" fillId="0" borderId="1" xfId="0" applyNumberFormat="1" applyBorder="1" applyAlignment="1"/>
  </cellXfs>
  <cellStyles count="5">
    <cellStyle name="Comma" xfId="1" builtinId="3"/>
    <cellStyle name="Hyperlink" xfId="3" builtinId="8"/>
    <cellStyle name="Normal" xfId="0" builtinId="0"/>
    <cellStyle name="Normal 2" xfId="4" xr:uid="{2BC66E14-0CEB-4532-A4C7-0529023F6DFA}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fill>
        <patternFill>
          <bgColor rgb="FFFFEBEB"/>
        </patternFill>
      </fill>
    </dxf>
    <dxf>
      <font>
        <b/>
        <i/>
        <color rgb="FF00B050"/>
      </font>
      <fill>
        <patternFill>
          <bgColor rgb="FFDDFFEE"/>
        </patternFill>
      </fill>
    </dxf>
    <dxf>
      <font>
        <b/>
        <i/>
        <color rgb="FF00B050"/>
      </font>
      <fill>
        <patternFill>
          <bgColor rgb="FFDCF4E8"/>
        </patternFill>
      </fill>
    </dxf>
    <dxf>
      <font>
        <b/>
        <i/>
        <color rgb="FFFF0000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E1E1"/>
      <color rgb="FFDCF4E8"/>
      <color rgb="FFDDFFEE"/>
      <color rgb="FFFFEBEB"/>
      <color rgb="FFDDEBFB"/>
      <color rgb="FF55055B"/>
      <color rgb="FF336600"/>
      <color rgb="FFC9ED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'PiT PD Structure'!$O$45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'PiT PD Structure'!$O$46:$O$333</c:f>
              <c:numCache>
                <c:formatCode>General</c:formatCode>
                <c:ptCount val="28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F-4D73-9243-204973E33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439280"/>
        <c:axId val="544430128"/>
      </c:lineChart>
      <c:lineChart>
        <c:grouping val="stacked"/>
        <c:varyColors val="0"/>
        <c:ser>
          <c:idx val="1"/>
          <c:order val="1"/>
          <c:tx>
            <c:strRef>
              <c:f>'PiT PD Structure'!$E$45</c:f>
              <c:strCache>
                <c:ptCount val="1"/>
                <c:pt idx="0">
                  <c:v>Yearly Cumulative PD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'PiT PD Structure'!$E$46:$E$333</c:f>
              <c:numCache>
                <c:formatCode>0.00%</c:formatCode>
                <c:ptCount val="288"/>
                <c:pt idx="0">
                  <c:v>3.5185289237346532E-4</c:v>
                </c:pt>
                <c:pt idx="1">
                  <c:v>7.0901496063255224E-4</c:v>
                </c:pt>
                <c:pt idx="2">
                  <c:v>1.0770290434147607E-3</c:v>
                </c:pt>
                <c:pt idx="3">
                  <c:v>1.4616766716271088E-3</c:v>
                </c:pt>
                <c:pt idx="4">
                  <c:v>1.8687751194591926E-3</c:v>
                </c:pt>
                <c:pt idx="5">
                  <c:v>2.3040162987630576E-3</c:v>
                </c:pt>
                <c:pt idx="6">
                  <c:v>2.7728432114457785E-3</c:v>
                </c:pt>
                <c:pt idx="7">
                  <c:v>3.2803589749466292E-3</c:v>
                </c:pt>
                <c:pt idx="8">
                  <c:v>3.8312633627630406E-3</c:v>
                </c:pt>
                <c:pt idx="9">
                  <c:v>4.4298120821174751E-3</c:v>
                </c:pt>
                <c:pt idx="10">
                  <c:v>5.0797944707928044E-3</c:v>
                </c:pt>
                <c:pt idx="11">
                  <c:v>5.7845258274502659E-3</c:v>
                </c:pt>
                <c:pt idx="12">
                  <c:v>6.5468511301079455E-3</c:v>
                </c:pt>
                <c:pt idx="13">
                  <c:v>7.3691574095334647E-3</c:v>
                </c:pt>
                <c:pt idx="14">
                  <c:v>8.2533925094585257E-3</c:v>
                </c:pt>
                <c:pt idx="15">
                  <c:v>9.2010883761241696E-3</c:v>
                </c:pt>
                <c:pt idx="16">
                  <c:v>1.0213387374680489E-2</c:v>
                </c:pt>
                <c:pt idx="17">
                  <c:v>1.1291070432106906E-2</c:v>
                </c:pt>
                <c:pt idx="18">
                  <c:v>1.2434586060238926E-2</c:v>
                </c:pt>
                <c:pt idx="19">
                  <c:v>1.3644079523643785E-2</c:v>
                </c:pt>
                <c:pt idx="20">
                  <c:v>1.4919421591074147E-2</c:v>
                </c:pt>
                <c:pt idx="21">
                  <c:v>1.626023645138543E-2</c:v>
                </c:pt>
                <c:pt idx="22">
                  <c:v>1.7665928490015751E-2</c:v>
                </c:pt>
                <c:pt idx="23">
                  <c:v>1.9135707714744793E-2</c:v>
                </c:pt>
                <c:pt idx="24">
                  <c:v>2.0668613693260521E-2</c:v>
                </c:pt>
                <c:pt idx="25">
                  <c:v>2.2263537923329357E-2</c:v>
                </c:pt>
                <c:pt idx="26">
                  <c:v>2.3919244601855946E-2</c:v>
                </c:pt>
                <c:pt idx="27">
                  <c:v>2.5634389794166795E-2</c:v>
                </c:pt>
                <c:pt idx="28">
                  <c:v>2.7407539031411559E-2</c:v>
                </c:pt>
                <c:pt idx="29">
                  <c:v>2.923718338367098E-2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F-4D73-9243-204973E33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111728"/>
        <c:axId val="983903008"/>
      </c:lineChart>
      <c:catAx>
        <c:axId val="54443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30128"/>
        <c:crosses val="autoZero"/>
        <c:auto val="1"/>
        <c:lblAlgn val="ctr"/>
        <c:lblOffset val="100"/>
        <c:noMultiLvlLbl val="0"/>
      </c:catAx>
      <c:valAx>
        <c:axId val="5444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39280"/>
        <c:crosses val="autoZero"/>
        <c:crossBetween val="between"/>
      </c:valAx>
      <c:valAx>
        <c:axId val="9839030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11728"/>
        <c:crosses val="max"/>
        <c:crossBetween val="between"/>
      </c:valAx>
      <c:catAx>
        <c:axId val="999111728"/>
        <c:scaling>
          <c:orientation val="minMax"/>
        </c:scaling>
        <c:delete val="1"/>
        <c:axPos val="b"/>
        <c:majorTickMark val="out"/>
        <c:minorTickMark val="none"/>
        <c:tickLblPos val="nextTo"/>
        <c:crossAx val="98390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28575</xdr:rowOff>
    </xdr:from>
    <xdr:to>
      <xdr:col>3</xdr:col>
      <xdr:colOff>725805</xdr:colOff>
      <xdr:row>1</xdr:row>
      <xdr:rowOff>83820</xdr:rowOff>
    </xdr:to>
    <xdr:sp macro="[0]!ECL_Update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ltGray">
        <a:xfrm>
          <a:off x="4057650" y="28575"/>
          <a:ext cx="1402080" cy="436245"/>
        </a:xfrm>
        <a:prstGeom prst="round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dirty="0" err="1">
              <a:solidFill>
                <a:schemeClr val="bg1"/>
              </a:solidFill>
              <a:latin typeface="Georgia" pitchFamily="18" charset="0"/>
            </a:rPr>
            <a:t>Calculate</a:t>
          </a:r>
          <a:r>
            <a:rPr lang="en-US" sz="1100" b="1" baseline="0" dirty="0" err="1">
              <a:solidFill>
                <a:schemeClr val="bg1"/>
              </a:solidFill>
              <a:latin typeface="Georgia" pitchFamily="18" charset="0"/>
            </a:rPr>
            <a:t> ECL</a:t>
          </a:r>
          <a:endParaRPr lang="en-US" sz="1100" b="1" dirty="0" err="1">
            <a:solidFill>
              <a:schemeClr val="bg1"/>
            </a:solidFill>
            <a:latin typeface="Georgia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396240</xdr:colOff>
      <xdr:row>41</xdr:row>
      <xdr:rowOff>125730</xdr:rowOff>
    </xdr:from>
    <xdr:to>
      <xdr:col>40</xdr:col>
      <xdr:colOff>76200</xdr:colOff>
      <xdr:row>62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heguardian.com/news/datablog/2010/apr/30/credit-ratings-country-fitch-moodys-standar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3E51A-8045-43C9-BB25-BE7EAD1B05A0}">
  <dimension ref="A2:R25"/>
  <sheetViews>
    <sheetView zoomScale="90" zoomScaleNormal="90" workbookViewId="0">
      <selection activeCell="J22" sqref="J22"/>
    </sheetView>
  </sheetViews>
  <sheetFormatPr defaultRowHeight="12" x14ac:dyDescent="0.2"/>
  <cols>
    <col min="1" max="1" width="5.875" style="241" bestFit="1" customWidth="1"/>
    <col min="2" max="2" width="12.875" style="241" bestFit="1" customWidth="1"/>
    <col min="3" max="3" width="16.125" style="241" bestFit="1" customWidth="1"/>
    <col min="4" max="4" width="14.625" style="241" customWidth="1"/>
    <col min="5" max="5" width="7.25" style="241" bestFit="1" customWidth="1"/>
    <col min="6" max="6" width="9" style="241"/>
    <col min="7" max="7" width="5.875" style="241" bestFit="1" customWidth="1"/>
    <col min="8" max="8" width="12.875" style="241" bestFit="1" customWidth="1"/>
    <col min="9" max="9" width="20.375" style="241" customWidth="1"/>
    <col min="10" max="10" width="15" style="241" bestFit="1" customWidth="1"/>
    <col min="11" max="11" width="12.5" style="241" bestFit="1" customWidth="1"/>
    <col min="12" max="16384" width="9" style="241"/>
  </cols>
  <sheetData>
    <row r="2" spans="1:18" x14ac:dyDescent="0.2">
      <c r="A2" s="261" t="s">
        <v>811</v>
      </c>
      <c r="B2" s="262"/>
      <c r="C2" s="262"/>
      <c r="D2" s="262"/>
      <c r="E2" s="263"/>
      <c r="F2" s="240"/>
      <c r="G2" s="261" t="s">
        <v>816</v>
      </c>
      <c r="H2" s="262"/>
      <c r="I2" s="262"/>
      <c r="J2" s="262"/>
      <c r="K2" s="263"/>
    </row>
    <row r="3" spans="1:18" x14ac:dyDescent="0.2">
      <c r="A3" s="243" t="s">
        <v>188</v>
      </c>
      <c r="B3" s="240" t="s">
        <v>220</v>
      </c>
      <c r="C3" s="240" t="s">
        <v>242</v>
      </c>
      <c r="D3" s="240" t="s">
        <v>187</v>
      </c>
      <c r="E3" s="244" t="s">
        <v>241</v>
      </c>
      <c r="F3" s="240"/>
      <c r="G3" s="243" t="s">
        <v>188</v>
      </c>
      <c r="H3" s="240" t="s">
        <v>220</v>
      </c>
      <c r="I3" s="240" t="s">
        <v>242</v>
      </c>
      <c r="J3" s="240" t="s">
        <v>187</v>
      </c>
      <c r="K3" s="244" t="s">
        <v>241</v>
      </c>
      <c r="M3" s="266" t="s">
        <v>814</v>
      </c>
      <c r="N3" s="267"/>
      <c r="O3" s="267"/>
      <c r="P3" s="267"/>
      <c r="Q3" s="267"/>
      <c r="R3" s="268"/>
    </row>
    <row r="4" spans="1:18" x14ac:dyDescent="0.2">
      <c r="A4" s="243" t="s">
        <v>239</v>
      </c>
      <c r="B4" s="245">
        <v>6611214524.04</v>
      </c>
      <c r="C4" s="245">
        <v>1160540896.2865388</v>
      </c>
      <c r="D4" s="245">
        <v>33063889.823706698</v>
      </c>
      <c r="E4" s="246">
        <f>D4/B4</f>
        <v>5.0011824156481798E-3</v>
      </c>
      <c r="F4" s="240"/>
      <c r="G4" s="243" t="s">
        <v>239</v>
      </c>
      <c r="H4" s="245">
        <v>6611214524.04</v>
      </c>
      <c r="I4" s="245">
        <v>1160540896.2865388</v>
      </c>
      <c r="J4" s="245">
        <v>33063889.823706698</v>
      </c>
      <c r="K4" s="246">
        <f>J4/H4</f>
        <v>5.0011824156481798E-3</v>
      </c>
      <c r="M4" s="269"/>
      <c r="N4" s="270"/>
      <c r="O4" s="270"/>
      <c r="P4" s="270"/>
      <c r="Q4" s="270"/>
      <c r="R4" s="271"/>
    </row>
    <row r="5" spans="1:18" x14ac:dyDescent="0.2">
      <c r="A5" s="243" t="s">
        <v>237</v>
      </c>
      <c r="B5" s="245">
        <v>2079204025.1330001</v>
      </c>
      <c r="C5" s="245">
        <v>306607170.83994538</v>
      </c>
      <c r="D5" s="245">
        <v>291735116.55856866</v>
      </c>
      <c r="E5" s="246">
        <f t="shared" ref="E5:E7" si="0">D5/B5</f>
        <v>0.14031096180660158</v>
      </c>
      <c r="F5" s="240"/>
      <c r="G5" s="243" t="s">
        <v>237</v>
      </c>
      <c r="H5" s="245">
        <v>1048934243.9129999</v>
      </c>
      <c r="I5" s="245">
        <v>194245012.39431632</v>
      </c>
      <c r="J5" s="245">
        <v>145160650.35715747</v>
      </c>
      <c r="K5" s="246">
        <f t="shared" ref="K5:K7" si="1">J5/H5</f>
        <v>0.13838870377197574</v>
      </c>
      <c r="M5" s="269"/>
      <c r="N5" s="270"/>
      <c r="O5" s="270"/>
      <c r="P5" s="270"/>
      <c r="Q5" s="270"/>
      <c r="R5" s="271"/>
    </row>
    <row r="6" spans="1:18" x14ac:dyDescent="0.2">
      <c r="A6" s="243" t="s">
        <v>238</v>
      </c>
      <c r="B6" s="245">
        <v>805649986.25999999</v>
      </c>
      <c r="C6" s="245">
        <v>117881224.66434422</v>
      </c>
      <c r="D6" s="245">
        <v>805649986.25999999</v>
      </c>
      <c r="E6" s="246">
        <f t="shared" si="0"/>
        <v>1</v>
      </c>
      <c r="F6" s="240"/>
      <c r="G6" s="243" t="s">
        <v>238</v>
      </c>
      <c r="H6" s="245">
        <v>1835919767.4800003</v>
      </c>
      <c r="I6" s="245">
        <v>230243383.10997328</v>
      </c>
      <c r="J6" s="245">
        <v>1835919767.4800003</v>
      </c>
      <c r="K6" s="246">
        <f t="shared" si="1"/>
        <v>1</v>
      </c>
      <c r="M6" s="269"/>
      <c r="N6" s="270"/>
      <c r="O6" s="270"/>
      <c r="P6" s="270"/>
      <c r="Q6" s="270"/>
      <c r="R6" s="271"/>
    </row>
    <row r="7" spans="1:18" x14ac:dyDescent="0.2">
      <c r="A7" s="247" t="s">
        <v>795</v>
      </c>
      <c r="B7" s="248">
        <f>SUM(B4:B6)</f>
        <v>9496068535.4330006</v>
      </c>
      <c r="C7" s="248">
        <f t="shared" ref="C7:D7" si="2">SUM(C4:C6)</f>
        <v>1585029291.7908285</v>
      </c>
      <c r="D7" s="248">
        <f t="shared" si="2"/>
        <v>1130448992.6422753</v>
      </c>
      <c r="E7" s="249">
        <f t="shared" si="0"/>
        <v>0.11904389573687184</v>
      </c>
      <c r="F7" s="240"/>
      <c r="G7" s="247" t="s">
        <v>795</v>
      </c>
      <c r="H7" s="248">
        <f>SUM(H4:H6)</f>
        <v>9496068535.4330006</v>
      </c>
      <c r="I7" s="248">
        <f t="shared" ref="I7:J7" si="3">SUM(I4:I6)</f>
        <v>1585029291.7908285</v>
      </c>
      <c r="J7" s="248">
        <f t="shared" si="3"/>
        <v>2014144307.6608644</v>
      </c>
      <c r="K7" s="249">
        <f t="shared" si="1"/>
        <v>0.21210296662723313</v>
      </c>
      <c r="M7" s="269"/>
      <c r="N7" s="270"/>
      <c r="O7" s="270"/>
      <c r="P7" s="270"/>
      <c r="Q7" s="270"/>
      <c r="R7" s="271"/>
    </row>
    <row r="8" spans="1:18" x14ac:dyDescent="0.2">
      <c r="A8" s="243"/>
      <c r="B8" s="240"/>
      <c r="C8" s="240"/>
      <c r="D8" s="240"/>
      <c r="E8" s="244"/>
      <c r="F8" s="240"/>
      <c r="G8" s="243"/>
      <c r="H8" s="240"/>
      <c r="I8" s="240"/>
      <c r="J8" s="240"/>
      <c r="K8" s="244"/>
      <c r="M8" s="269"/>
      <c r="N8" s="270"/>
      <c r="O8" s="270"/>
      <c r="P8" s="270"/>
      <c r="Q8" s="270"/>
      <c r="R8" s="271"/>
    </row>
    <row r="9" spans="1:18" x14ac:dyDescent="0.2">
      <c r="A9" s="243"/>
      <c r="B9" s="240"/>
      <c r="C9" s="240"/>
      <c r="D9" s="240"/>
      <c r="E9" s="244"/>
      <c r="F9" s="240"/>
      <c r="G9" s="243"/>
      <c r="H9" s="240"/>
      <c r="I9" s="240" t="s">
        <v>815</v>
      </c>
      <c r="J9" s="245">
        <f>'Provision Summary'!E10</f>
        <v>2014331340.4251277</v>
      </c>
      <c r="K9" s="250" t="s">
        <v>812</v>
      </c>
      <c r="M9" s="269"/>
      <c r="N9" s="270"/>
      <c r="O9" s="270"/>
      <c r="P9" s="270"/>
      <c r="Q9" s="270"/>
      <c r="R9" s="271"/>
    </row>
    <row r="10" spans="1:18" x14ac:dyDescent="0.2">
      <c r="A10" s="251"/>
      <c r="B10" s="252"/>
      <c r="C10" s="252"/>
      <c r="D10" s="252"/>
      <c r="E10" s="254"/>
      <c r="F10" s="240"/>
      <c r="G10" s="251"/>
      <c r="H10" s="252"/>
      <c r="I10" s="253" t="s">
        <v>813</v>
      </c>
      <c r="J10" s="258">
        <f>J7-J9</f>
        <v>-187032.76426339149</v>
      </c>
      <c r="K10" s="254"/>
      <c r="M10" s="272"/>
      <c r="N10" s="273"/>
      <c r="O10" s="273"/>
      <c r="P10" s="273"/>
      <c r="Q10" s="273"/>
      <c r="R10" s="274"/>
    </row>
    <row r="11" spans="1:18" x14ac:dyDescent="0.2">
      <c r="D11" s="242"/>
      <c r="K11" s="242"/>
    </row>
    <row r="13" spans="1:18" x14ac:dyDescent="0.2">
      <c r="G13" s="261" t="s">
        <v>819</v>
      </c>
      <c r="H13" s="262"/>
      <c r="I13" s="262"/>
      <c r="J13" s="262"/>
      <c r="K13" s="263"/>
      <c r="M13" s="264" t="s">
        <v>818</v>
      </c>
      <c r="N13" s="264"/>
      <c r="O13" s="264"/>
      <c r="P13" s="264"/>
      <c r="Q13" s="264"/>
      <c r="R13" s="264"/>
    </row>
    <row r="14" spans="1:18" x14ac:dyDescent="0.2">
      <c r="G14" s="243" t="s">
        <v>188</v>
      </c>
      <c r="H14" s="240" t="s">
        <v>220</v>
      </c>
      <c r="I14" s="240" t="s">
        <v>242</v>
      </c>
      <c r="J14" s="240" t="s">
        <v>187</v>
      </c>
      <c r="K14" s="244" t="s">
        <v>241</v>
      </c>
      <c r="M14" s="265"/>
      <c r="N14" s="265"/>
      <c r="O14" s="265"/>
      <c r="P14" s="265"/>
      <c r="Q14" s="265"/>
      <c r="R14" s="265"/>
    </row>
    <row r="15" spans="1:18" x14ac:dyDescent="0.2">
      <c r="G15" s="243" t="s">
        <v>239</v>
      </c>
      <c r="H15" s="245">
        <f>'Provision Summary'!C6</f>
        <v>6611214524.04</v>
      </c>
      <c r="I15" s="245">
        <f>'Provision Summary'!D6</f>
        <v>1160540896.2865388</v>
      </c>
      <c r="J15" s="245">
        <f>'Provision Summary'!E6</f>
        <v>33098107.927852731</v>
      </c>
      <c r="K15" s="246">
        <f>J15/H15</f>
        <v>5.0063581823732812E-3</v>
      </c>
      <c r="M15" s="265"/>
      <c r="N15" s="265"/>
      <c r="O15" s="265"/>
      <c r="P15" s="265"/>
      <c r="Q15" s="265"/>
      <c r="R15" s="265"/>
    </row>
    <row r="16" spans="1:18" x14ac:dyDescent="0.2">
      <c r="G16" s="243" t="s">
        <v>237</v>
      </c>
      <c r="H16" s="245">
        <f>'Provision Summary'!C7</f>
        <v>1048934243.9129999</v>
      </c>
      <c r="I16" s="245">
        <f>'Provision Summary'!D7</f>
        <v>194245012.39431632</v>
      </c>
      <c r="J16" s="245">
        <f>'Provision Summary'!E7</f>
        <v>145313465.01727471</v>
      </c>
      <c r="K16" s="246">
        <f t="shared" ref="K16:K18" si="4">J16/H16</f>
        <v>0.13853438941528848</v>
      </c>
      <c r="M16" s="265"/>
      <c r="N16" s="265"/>
      <c r="O16" s="265"/>
      <c r="P16" s="265"/>
      <c r="Q16" s="265"/>
      <c r="R16" s="265"/>
    </row>
    <row r="17" spans="7:18" x14ac:dyDescent="0.2">
      <c r="G17" s="243" t="s">
        <v>238</v>
      </c>
      <c r="H17" s="245">
        <f>'Provision Summary'!C8</f>
        <v>1835919767.4800003</v>
      </c>
      <c r="I17" s="245">
        <f>'Provision Summary'!D8</f>
        <v>230243383.10997328</v>
      </c>
      <c r="J17" s="245">
        <f>'Provision Summary'!E8</f>
        <v>1835919767.4800003</v>
      </c>
      <c r="K17" s="246">
        <f t="shared" si="4"/>
        <v>1</v>
      </c>
      <c r="M17" s="265"/>
      <c r="N17" s="265"/>
      <c r="O17" s="265"/>
      <c r="P17" s="265"/>
      <c r="Q17" s="265"/>
      <c r="R17" s="265"/>
    </row>
    <row r="18" spans="7:18" x14ac:dyDescent="0.2">
      <c r="G18" s="255" t="s">
        <v>795</v>
      </c>
      <c r="H18" s="256">
        <f>SUM(H15:H17)</f>
        <v>9496068535.4330006</v>
      </c>
      <c r="I18" s="256">
        <f t="shared" ref="I18:J18" si="5">SUM(I15:I17)</f>
        <v>1585029291.7908285</v>
      </c>
      <c r="J18" s="256">
        <f t="shared" si="5"/>
        <v>2014331340.4251277</v>
      </c>
      <c r="K18" s="257">
        <f t="shared" si="4"/>
        <v>0.21212266243751141</v>
      </c>
      <c r="M18" s="265"/>
      <c r="N18" s="265"/>
      <c r="O18" s="265"/>
      <c r="P18" s="265"/>
      <c r="Q18" s="265"/>
      <c r="R18" s="265"/>
    </row>
    <row r="19" spans="7:18" x14ac:dyDescent="0.2">
      <c r="M19" s="265"/>
      <c r="N19" s="265"/>
      <c r="O19" s="265"/>
      <c r="P19" s="265"/>
      <c r="Q19" s="265"/>
      <c r="R19" s="265"/>
    </row>
    <row r="20" spans="7:18" x14ac:dyDescent="0.2">
      <c r="G20" s="261" t="s">
        <v>817</v>
      </c>
      <c r="H20" s="262"/>
      <c r="I20" s="262"/>
      <c r="J20" s="262"/>
      <c r="K20" s="263"/>
      <c r="M20" s="265"/>
      <c r="N20" s="265"/>
      <c r="O20" s="265"/>
      <c r="P20" s="265"/>
      <c r="Q20" s="265"/>
      <c r="R20" s="265"/>
    </row>
    <row r="21" spans="7:18" x14ac:dyDescent="0.2">
      <c r="G21" s="243" t="s">
        <v>188</v>
      </c>
      <c r="H21" s="240" t="s">
        <v>220</v>
      </c>
      <c r="I21" s="240" t="s">
        <v>242</v>
      </c>
      <c r="J21" s="240" t="s">
        <v>187</v>
      </c>
      <c r="K21" s="244"/>
      <c r="M21" s="265"/>
      <c r="N21" s="265"/>
      <c r="O21" s="265"/>
      <c r="P21" s="265"/>
      <c r="Q21" s="265"/>
      <c r="R21" s="265"/>
    </row>
    <row r="22" spans="7:18" x14ac:dyDescent="0.2">
      <c r="G22" s="243" t="s">
        <v>239</v>
      </c>
      <c r="H22" s="245">
        <f>H4-H15</f>
        <v>0</v>
      </c>
      <c r="I22" s="245">
        <f t="shared" ref="I22:J22" si="6">I4-I15</f>
        <v>0</v>
      </c>
      <c r="J22" s="245">
        <f t="shared" si="6"/>
        <v>-34218.104146033525</v>
      </c>
      <c r="K22" s="246"/>
      <c r="M22" s="265"/>
      <c r="N22" s="265"/>
      <c r="O22" s="265"/>
      <c r="P22" s="265"/>
      <c r="Q22" s="265"/>
      <c r="R22" s="265"/>
    </row>
    <row r="23" spans="7:18" x14ac:dyDescent="0.2">
      <c r="G23" s="243" t="s">
        <v>237</v>
      </c>
      <c r="H23" s="245">
        <f t="shared" ref="H23:J24" si="7">H5-H16</f>
        <v>0</v>
      </c>
      <c r="I23" s="245">
        <f t="shared" si="7"/>
        <v>0</v>
      </c>
      <c r="J23" s="245">
        <f t="shared" si="7"/>
        <v>-152814.66011723876</v>
      </c>
      <c r="K23" s="246"/>
      <c r="M23" s="265"/>
      <c r="N23" s="265"/>
      <c r="O23" s="265"/>
      <c r="P23" s="265"/>
      <c r="Q23" s="265"/>
      <c r="R23" s="265"/>
    </row>
    <row r="24" spans="7:18" x14ac:dyDescent="0.2">
      <c r="G24" s="243" t="s">
        <v>238</v>
      </c>
      <c r="H24" s="245">
        <f t="shared" si="7"/>
        <v>0</v>
      </c>
      <c r="I24" s="245">
        <f t="shared" si="7"/>
        <v>0</v>
      </c>
      <c r="J24" s="245">
        <f t="shared" si="7"/>
        <v>0</v>
      </c>
      <c r="K24" s="246"/>
      <c r="M24" s="265"/>
      <c r="N24" s="265"/>
      <c r="O24" s="265"/>
      <c r="P24" s="265"/>
      <c r="Q24" s="265"/>
      <c r="R24" s="265"/>
    </row>
    <row r="25" spans="7:18" x14ac:dyDescent="0.2">
      <c r="G25" s="255" t="s">
        <v>795</v>
      </c>
      <c r="H25" s="256">
        <f>SUM(H22:H24)</f>
        <v>0</v>
      </c>
      <c r="I25" s="256">
        <f t="shared" ref="I25:J25" si="8">SUM(I22:I24)</f>
        <v>0</v>
      </c>
      <c r="J25" s="256">
        <f t="shared" si="8"/>
        <v>-187032.76426327229</v>
      </c>
      <c r="K25" s="257"/>
      <c r="M25" s="265"/>
      <c r="N25" s="265"/>
      <c r="O25" s="265"/>
      <c r="P25" s="265"/>
      <c r="Q25" s="265"/>
      <c r="R25" s="265"/>
    </row>
  </sheetData>
  <mergeCells count="6">
    <mergeCell ref="G13:K13"/>
    <mergeCell ref="G20:K20"/>
    <mergeCell ref="M13:R25"/>
    <mergeCell ref="A2:E2"/>
    <mergeCell ref="G2:K2"/>
    <mergeCell ref="M3:R10"/>
  </mergeCells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B3:V69"/>
  <sheetViews>
    <sheetView showGridLines="0" topLeftCell="C3" workbookViewId="0">
      <selection activeCell="B5" sqref="B5:V15"/>
    </sheetView>
  </sheetViews>
  <sheetFormatPr defaultRowHeight="14.25" x14ac:dyDescent="0.2"/>
  <cols>
    <col min="2" max="2" width="13.625" customWidth="1"/>
    <col min="3" max="3" width="11.875" customWidth="1"/>
  </cols>
  <sheetData>
    <row r="3" spans="2:22" x14ac:dyDescent="0.2">
      <c r="B3" s="283"/>
      <c r="C3" s="283"/>
    </row>
    <row r="4" spans="2:22" x14ac:dyDescent="0.2">
      <c r="B4" s="11" t="s">
        <v>94</v>
      </c>
      <c r="C4" s="11"/>
      <c r="D4" s="11"/>
      <c r="E4" s="11"/>
      <c r="F4" s="11"/>
      <c r="G4" s="11"/>
      <c r="H4" s="11"/>
      <c r="I4" s="11"/>
      <c r="J4" s="11"/>
      <c r="K4" s="12"/>
      <c r="L4" s="12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2:22" x14ac:dyDescent="0.2">
      <c r="B5" s="3" t="s">
        <v>25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  <c r="U5" s="3">
        <v>19</v>
      </c>
      <c r="V5" s="3">
        <v>20</v>
      </c>
    </row>
    <row r="6" spans="2:22" x14ac:dyDescent="0.2">
      <c r="B6" s="3" t="s">
        <v>33</v>
      </c>
      <c r="C6" s="14">
        <v>0</v>
      </c>
      <c r="D6" s="14">
        <v>1.2999999999999999E-4</v>
      </c>
      <c r="E6" s="14">
        <v>1.2999999999999999E-4</v>
      </c>
      <c r="F6" s="14">
        <v>3.8999999999999999E-4</v>
      </c>
      <c r="G6" s="14">
        <v>6.8000000000000005E-4</v>
      </c>
      <c r="H6" s="14">
        <v>1.0199999999999999E-3</v>
      </c>
      <c r="I6" s="14">
        <v>1.3900000000000002E-3</v>
      </c>
      <c r="J6" s="14">
        <v>1.4299999999999998E-3</v>
      </c>
      <c r="K6" s="14">
        <v>1.4299999999999998E-3</v>
      </c>
      <c r="L6" s="14">
        <v>1.4299999999999998E-3</v>
      </c>
      <c r="M6" s="14">
        <v>1.4299999999999998E-3</v>
      </c>
      <c r="N6" s="14">
        <v>1.4299999999999998E-3</v>
      </c>
      <c r="O6" s="14">
        <v>1.4299999999999998E-3</v>
      </c>
      <c r="P6" s="14">
        <v>1.4299999999999998E-3</v>
      </c>
      <c r="Q6" s="14">
        <v>1.4299999999999998E-3</v>
      </c>
      <c r="R6" s="14">
        <v>1.4299999999999998E-3</v>
      </c>
      <c r="S6" s="14">
        <v>1.4299999999999998E-3</v>
      </c>
      <c r="T6" s="14">
        <v>1.4299999999999998E-3</v>
      </c>
      <c r="U6" s="14">
        <v>1.4299999999999998E-3</v>
      </c>
      <c r="V6" s="14">
        <v>1.4299999999999998E-3</v>
      </c>
    </row>
    <row r="7" spans="2:22" x14ac:dyDescent="0.2">
      <c r="B7" s="3" t="s">
        <v>90</v>
      </c>
      <c r="C7" s="14">
        <v>2.4000000000000001E-4</v>
      </c>
      <c r="D7" s="14">
        <v>6.7000000000000002E-4</v>
      </c>
      <c r="E7" s="14">
        <v>1.23E-3</v>
      </c>
      <c r="F7" s="14">
        <v>2.0999999999999999E-3</v>
      </c>
      <c r="G7" s="14">
        <v>3.2100000000000002E-3</v>
      </c>
      <c r="H7" s="14">
        <v>4.1900000000000001E-3</v>
      </c>
      <c r="I7" s="14">
        <v>5.1700000000000001E-3</v>
      </c>
      <c r="J7" s="14">
        <v>6.0299999999999998E-3</v>
      </c>
      <c r="K7" s="14">
        <v>6.7400000000000003E-3</v>
      </c>
      <c r="L7" s="14">
        <v>7.5700000000000003E-3</v>
      </c>
      <c r="M7" s="14">
        <v>8.6099999999999996E-3</v>
      </c>
      <c r="N7" s="14">
        <v>1.0019999999999999E-2</v>
      </c>
      <c r="O7" s="14">
        <v>1.142E-2</v>
      </c>
      <c r="P7" s="14">
        <v>1.2370000000000001E-2</v>
      </c>
      <c r="Q7" s="14">
        <v>1.324E-2</v>
      </c>
      <c r="R7" s="14">
        <v>1.414E-2</v>
      </c>
      <c r="S7" s="14">
        <v>1.5260000000000001E-2</v>
      </c>
      <c r="T7" s="14">
        <v>1.7049999999999999E-2</v>
      </c>
      <c r="U7" s="14">
        <v>1.966E-2</v>
      </c>
      <c r="V7" s="14">
        <v>2.1930000000000002E-2</v>
      </c>
    </row>
    <row r="8" spans="2:22" x14ac:dyDescent="0.2">
      <c r="B8" s="3" t="s">
        <v>26</v>
      </c>
      <c r="C8" s="14">
        <v>6.0999999999999997E-4</v>
      </c>
      <c r="D8" s="14">
        <v>1.8599999999999999E-3</v>
      </c>
      <c r="E8" s="14">
        <v>3.9399999999999999E-3</v>
      </c>
      <c r="F8" s="14">
        <v>6.0899999999999999E-3</v>
      </c>
      <c r="G8" s="14">
        <v>8.7100000000000007E-3</v>
      </c>
      <c r="H8" s="14">
        <v>1.159E-2</v>
      </c>
      <c r="I8" s="14">
        <v>1.4570000000000001E-2</v>
      </c>
      <c r="J8" s="14">
        <v>1.7739999999999999E-2</v>
      </c>
      <c r="K8" s="14">
        <v>2.0959999999999999E-2</v>
      </c>
      <c r="L8" s="14">
        <v>2.4089999999999997E-2</v>
      </c>
      <c r="M8" s="14">
        <v>2.7149999999999997E-2</v>
      </c>
      <c r="N8" s="14">
        <v>3.0120000000000001E-2</v>
      </c>
      <c r="O8" s="14">
        <v>3.3399999999999999E-2</v>
      </c>
      <c r="P8" s="14">
        <v>3.7269999999999998E-2</v>
      </c>
      <c r="Q8" s="14">
        <v>4.181E-2</v>
      </c>
      <c r="R8" s="14">
        <v>4.641E-2</v>
      </c>
      <c r="S8" s="14">
        <v>5.1040000000000002E-2</v>
      </c>
      <c r="T8" s="14">
        <v>5.6079999999999998E-2</v>
      </c>
      <c r="U8" s="14">
        <v>6.0260000000000001E-2</v>
      </c>
      <c r="V8" s="14">
        <v>6.4439999999999997E-2</v>
      </c>
    </row>
    <row r="9" spans="2:22" x14ac:dyDescent="0.2">
      <c r="B9" s="3" t="s">
        <v>91</v>
      </c>
      <c r="C9" s="14">
        <v>2E-3</v>
      </c>
      <c r="D9" s="14">
        <v>5.0800000000000003E-3</v>
      </c>
      <c r="E9" s="14">
        <v>8.539999999999999E-3</v>
      </c>
      <c r="F9" s="14">
        <v>1.2659999999999999E-2</v>
      </c>
      <c r="G9" s="14">
        <v>1.6789999999999999E-2</v>
      </c>
      <c r="H9" s="14">
        <v>2.104E-2</v>
      </c>
      <c r="I9" s="14">
        <v>2.503E-2</v>
      </c>
      <c r="J9" s="14">
        <v>2.8999999999999998E-2</v>
      </c>
      <c r="K9" s="14">
        <v>3.3170000000000005E-2</v>
      </c>
      <c r="L9" s="14">
        <v>3.7769999999999998E-2</v>
      </c>
      <c r="M9" s="14">
        <v>4.3040000000000002E-2</v>
      </c>
      <c r="N9" s="14">
        <v>4.8809999999999999E-2</v>
      </c>
      <c r="O9" s="14">
        <v>5.5190000000000003E-2</v>
      </c>
      <c r="P9" s="14">
        <v>6.1269999999999998E-2</v>
      </c>
      <c r="Q9" s="14">
        <v>6.7279999999999993E-2</v>
      </c>
      <c r="R9" s="14">
        <v>7.4359999999999996E-2</v>
      </c>
      <c r="S9" s="14">
        <v>8.2089999999999996E-2</v>
      </c>
      <c r="T9" s="14">
        <v>8.9529999999999998E-2</v>
      </c>
      <c r="U9" s="14">
        <v>9.6620000000000011E-2</v>
      </c>
      <c r="V9" s="14">
        <v>0.10163999999999999</v>
      </c>
    </row>
    <row r="10" spans="2:22" x14ac:dyDescent="0.2">
      <c r="B10" s="3" t="s">
        <v>92</v>
      </c>
      <c r="C10" s="14">
        <v>9.58E-3</v>
      </c>
      <c r="D10" s="14">
        <v>2.6629999999999997E-2</v>
      </c>
      <c r="E10" s="14">
        <v>4.7279999999999996E-2</v>
      </c>
      <c r="F10" s="14">
        <v>6.9029999999999994E-2</v>
      </c>
      <c r="G10" s="14">
        <v>8.811999999999999E-2</v>
      </c>
      <c r="H10" s="14">
        <v>0.10567</v>
      </c>
      <c r="I10" s="14">
        <v>0.12135</v>
      </c>
      <c r="J10" s="14">
        <v>0.13603999999999999</v>
      </c>
      <c r="K10" s="14">
        <v>0.15004000000000001</v>
      </c>
      <c r="L10" s="14">
        <v>0.16405</v>
      </c>
      <c r="M10" s="14">
        <v>0.17676999999999998</v>
      </c>
      <c r="N10" s="14">
        <v>0.18920999999999999</v>
      </c>
      <c r="O10" s="14">
        <v>0.20068999999999998</v>
      </c>
      <c r="P10" s="14">
        <v>0.21273</v>
      </c>
      <c r="Q10" s="14">
        <v>0.22617999999999999</v>
      </c>
      <c r="R10" s="14">
        <v>0.23823</v>
      </c>
      <c r="S10" s="14">
        <v>0.24826000000000001</v>
      </c>
      <c r="T10" s="14">
        <v>0.25840000000000002</v>
      </c>
      <c r="U10" s="14">
        <v>0.27168999999999999</v>
      </c>
      <c r="V10" s="14">
        <v>0.28117999999999999</v>
      </c>
    </row>
    <row r="11" spans="2:22" x14ac:dyDescent="0.2">
      <c r="B11" s="3" t="s">
        <v>27</v>
      </c>
      <c r="C11" s="14">
        <v>3.6220000000000002E-2</v>
      </c>
      <c r="D11" s="14">
        <v>8.5639999999999994E-2</v>
      </c>
      <c r="E11" s="14">
        <v>0.13589999999999999</v>
      </c>
      <c r="F11" s="14">
        <v>0.18085999999999999</v>
      </c>
      <c r="G11" s="14">
        <v>0.22184000000000001</v>
      </c>
      <c r="H11" s="14">
        <v>0.25856999999999997</v>
      </c>
      <c r="I11" s="14">
        <v>0.29207</v>
      </c>
      <c r="J11" s="14">
        <v>0.32012999999999997</v>
      </c>
      <c r="K11" s="14">
        <v>0.34415000000000001</v>
      </c>
      <c r="L11" s="14">
        <v>0.36310999999999999</v>
      </c>
      <c r="M11" s="14">
        <v>0.37792000000000003</v>
      </c>
      <c r="N11" s="14">
        <v>0.39121</v>
      </c>
      <c r="O11" s="14">
        <v>0.40436</v>
      </c>
      <c r="P11" s="14">
        <v>0.41826000000000002</v>
      </c>
      <c r="Q11" s="14">
        <v>0.42981999999999998</v>
      </c>
      <c r="R11" s="14">
        <v>0.43957999999999997</v>
      </c>
      <c r="S11" s="14">
        <v>0.44972999999999996</v>
      </c>
      <c r="T11" s="14">
        <v>0.46006999999999998</v>
      </c>
      <c r="U11" s="14">
        <v>0.46921999999999997</v>
      </c>
      <c r="V11" s="14">
        <v>0.48063</v>
      </c>
    </row>
    <row r="12" spans="2:22" x14ac:dyDescent="0.2">
      <c r="B12" s="3" t="s">
        <v>93</v>
      </c>
      <c r="C12" s="14">
        <v>0.10578</v>
      </c>
      <c r="D12" s="14">
        <v>0.18728999999999998</v>
      </c>
      <c r="E12" s="14">
        <v>0.25529000000000002</v>
      </c>
      <c r="F12" s="14">
        <v>0.31020999999999999</v>
      </c>
      <c r="G12" s="14">
        <v>0.35572000000000004</v>
      </c>
      <c r="H12" s="14">
        <v>0.38985999999999998</v>
      </c>
      <c r="I12" s="14">
        <v>0.41637000000000002</v>
      </c>
      <c r="J12" s="14">
        <v>0.43944000000000005</v>
      </c>
      <c r="K12" s="14">
        <v>0.45906999999999998</v>
      </c>
      <c r="L12" s="14">
        <v>0.47752</v>
      </c>
      <c r="M12" s="14">
        <v>0.49034</v>
      </c>
      <c r="N12" s="14">
        <v>0.49798999999999999</v>
      </c>
      <c r="O12" s="14">
        <v>0.50346999999999997</v>
      </c>
      <c r="P12" s="14">
        <v>0.50478000000000001</v>
      </c>
      <c r="Q12" s="14">
        <v>0.50783</v>
      </c>
      <c r="R12" s="14">
        <v>0.51419999999999999</v>
      </c>
      <c r="S12" s="14">
        <v>0.51612999999999998</v>
      </c>
      <c r="T12" s="14">
        <v>0.51612999999999998</v>
      </c>
      <c r="U12" s="14">
        <v>0.51612999999999998</v>
      </c>
      <c r="V12" s="14">
        <v>0.51612999999999998</v>
      </c>
    </row>
    <row r="13" spans="2:22" x14ac:dyDescent="0.2">
      <c r="B13" s="3" t="s">
        <v>95</v>
      </c>
      <c r="C13" s="14">
        <v>1E-3</v>
      </c>
      <c r="D13" s="14">
        <v>2.65E-3</v>
      </c>
      <c r="E13" s="14">
        <v>4.7699999999999999E-3</v>
      </c>
      <c r="F13" s="14">
        <v>7.1799999999999998E-3</v>
      </c>
      <c r="G13" s="14">
        <v>9.8200000000000006E-3</v>
      </c>
      <c r="H13" s="14">
        <v>1.2549999999999999E-2</v>
      </c>
      <c r="I13" s="14">
        <v>1.5229999999999999E-2</v>
      </c>
      <c r="J13" s="14">
        <v>1.7909999999999999E-2</v>
      </c>
      <c r="K13" s="14">
        <v>2.0630000000000003E-2</v>
      </c>
      <c r="L13" s="14">
        <v>2.3460000000000002E-2</v>
      </c>
      <c r="M13" s="14">
        <v>2.6469999999999997E-2</v>
      </c>
      <c r="N13" s="14">
        <v>2.963E-2</v>
      </c>
      <c r="O13" s="14">
        <v>3.304E-2</v>
      </c>
      <c r="P13" s="14">
        <v>3.6469999999999995E-2</v>
      </c>
      <c r="Q13" s="14">
        <v>4.0090000000000001E-2</v>
      </c>
      <c r="R13" s="14">
        <v>4.3959999999999999E-2</v>
      </c>
      <c r="S13" s="14">
        <v>4.8000000000000001E-2</v>
      </c>
      <c r="T13" s="14">
        <v>5.2249999999999998E-2</v>
      </c>
      <c r="U13" s="14">
        <v>5.6219999999999999E-2</v>
      </c>
      <c r="V13" s="14">
        <v>5.9630000000000002E-2</v>
      </c>
    </row>
    <row r="14" spans="2:22" x14ac:dyDescent="0.2">
      <c r="B14" s="3" t="s">
        <v>96</v>
      </c>
      <c r="C14" s="14">
        <v>4.2089999999999995E-2</v>
      </c>
      <c r="D14" s="14">
        <v>8.6010000000000003E-2</v>
      </c>
      <c r="E14" s="14">
        <v>0.12791</v>
      </c>
      <c r="F14" s="14">
        <v>0.1648</v>
      </c>
      <c r="G14" s="14">
        <v>0.19681999999999999</v>
      </c>
      <c r="H14" s="14">
        <v>0.22441</v>
      </c>
      <c r="I14" s="14">
        <v>0.24856</v>
      </c>
      <c r="J14" s="14">
        <v>0.26932</v>
      </c>
      <c r="K14" s="14">
        <v>0.28756999999999999</v>
      </c>
      <c r="L14" s="14">
        <v>0.30338999999999999</v>
      </c>
      <c r="M14" s="14">
        <v>0.31642999999999999</v>
      </c>
      <c r="N14" s="14">
        <v>0.32833000000000001</v>
      </c>
      <c r="O14" s="14">
        <v>0.33950999999999998</v>
      </c>
      <c r="P14" s="14">
        <v>0.35097</v>
      </c>
      <c r="Q14" s="14">
        <v>0.36235000000000001</v>
      </c>
      <c r="R14" s="14">
        <v>0.37252000000000002</v>
      </c>
      <c r="S14" s="14">
        <v>0.38155</v>
      </c>
      <c r="T14" s="14">
        <v>0.39066000000000001</v>
      </c>
      <c r="U14" s="14">
        <v>0.40118000000000004</v>
      </c>
      <c r="V14" s="14">
        <v>0.41019</v>
      </c>
    </row>
    <row r="15" spans="2:22" x14ac:dyDescent="0.2">
      <c r="B15" s="3" t="s">
        <v>97</v>
      </c>
      <c r="C15" s="14">
        <v>1.6150000000000001E-2</v>
      </c>
      <c r="D15" s="14">
        <v>3.2500000000000001E-2</v>
      </c>
      <c r="E15" s="14">
        <v>4.7579999999999997E-2</v>
      </c>
      <c r="F15" s="14">
        <v>6.0479999999999999E-2</v>
      </c>
      <c r="G15" s="14">
        <v>7.1410000000000001E-2</v>
      </c>
      <c r="H15" s="14">
        <v>8.0670000000000006E-2</v>
      </c>
      <c r="I15" s="14">
        <v>8.8610000000000008E-2</v>
      </c>
      <c r="J15" s="14">
        <v>9.5459999999999989E-2</v>
      </c>
      <c r="K15" s="14">
        <v>0.10154999999999999</v>
      </c>
      <c r="L15" s="14">
        <v>0.10704000000000001</v>
      </c>
      <c r="M15" s="14">
        <v>0.11198999999999999</v>
      </c>
      <c r="N15" s="14">
        <v>0.11674</v>
      </c>
      <c r="O15" s="14">
        <v>0.12147000000000001</v>
      </c>
      <c r="P15" s="14">
        <v>0.12617</v>
      </c>
      <c r="Q15" s="14">
        <v>0.13095999999999999</v>
      </c>
      <c r="R15" s="14">
        <v>0.13569000000000001</v>
      </c>
      <c r="S15" s="14">
        <v>0.14029999999999998</v>
      </c>
      <c r="T15" s="14">
        <v>0.14502000000000001</v>
      </c>
      <c r="U15" s="14">
        <v>0.14962</v>
      </c>
      <c r="V15" s="14">
        <v>0.15349000000000002</v>
      </c>
    </row>
    <row r="21" spans="2:3" x14ac:dyDescent="0.2">
      <c r="B21" s="286" t="s">
        <v>98</v>
      </c>
      <c r="C21" s="286"/>
    </row>
    <row r="22" spans="2:3" x14ac:dyDescent="0.2">
      <c r="B22" s="284" t="s">
        <v>99</v>
      </c>
      <c r="C22" s="285"/>
    </row>
    <row r="23" spans="2:3" x14ac:dyDescent="0.2">
      <c r="B23" s="2" t="s">
        <v>100</v>
      </c>
      <c r="C23" s="10">
        <f>C13</f>
        <v>1E-3</v>
      </c>
    </row>
    <row r="24" spans="2:3" x14ac:dyDescent="0.2">
      <c r="B24" s="2" t="s">
        <v>101</v>
      </c>
      <c r="C24" s="10">
        <f>D13-C13</f>
        <v>1.65E-3</v>
      </c>
    </row>
    <row r="25" spans="2:3" x14ac:dyDescent="0.2">
      <c r="B25" s="2" t="s">
        <v>102</v>
      </c>
      <c r="C25" s="10">
        <f>E13-D13</f>
        <v>2.1199999999999999E-3</v>
      </c>
    </row>
    <row r="26" spans="2:3" x14ac:dyDescent="0.2">
      <c r="B26" s="2" t="s">
        <v>103</v>
      </c>
      <c r="C26" s="10">
        <f>F13-E13</f>
        <v>2.4099999999999998E-3</v>
      </c>
    </row>
    <row r="27" spans="2:3" x14ac:dyDescent="0.2">
      <c r="B27" s="2" t="s">
        <v>104</v>
      </c>
      <c r="C27" s="10">
        <f>G13-F13</f>
        <v>2.6400000000000009E-3</v>
      </c>
    </row>
    <row r="28" spans="2:3" x14ac:dyDescent="0.2">
      <c r="B28" s="2" t="s">
        <v>105</v>
      </c>
      <c r="C28" s="10">
        <f>H13-G13</f>
        <v>2.7299999999999981E-3</v>
      </c>
    </row>
    <row r="29" spans="2:3" x14ac:dyDescent="0.2">
      <c r="B29" s="2" t="s">
        <v>106</v>
      </c>
      <c r="C29" s="10">
        <f>I13-H13</f>
        <v>2.6800000000000001E-3</v>
      </c>
    </row>
    <row r="30" spans="2:3" x14ac:dyDescent="0.2">
      <c r="B30" s="2" t="s">
        <v>107</v>
      </c>
      <c r="C30" s="10">
        <f>J13-I13</f>
        <v>2.6800000000000001E-3</v>
      </c>
    </row>
    <row r="31" spans="2:3" x14ac:dyDescent="0.2">
      <c r="B31" s="2" t="s">
        <v>108</v>
      </c>
      <c r="C31" s="10">
        <f>K13-J13</f>
        <v>2.7200000000000037E-3</v>
      </c>
    </row>
    <row r="32" spans="2:3" x14ac:dyDescent="0.2">
      <c r="B32" s="2" t="s">
        <v>109</v>
      </c>
      <c r="C32" s="10">
        <f>L13-K13</f>
        <v>2.8299999999999992E-3</v>
      </c>
    </row>
    <row r="33" spans="2:3" x14ac:dyDescent="0.2">
      <c r="B33" s="2" t="s">
        <v>110</v>
      </c>
      <c r="C33" s="10">
        <f>M13-L13</f>
        <v>3.0099999999999953E-3</v>
      </c>
    </row>
    <row r="34" spans="2:3" x14ac:dyDescent="0.2">
      <c r="B34" s="2" t="s">
        <v>111</v>
      </c>
      <c r="C34" s="10">
        <f>N13-M13</f>
        <v>3.1600000000000031E-3</v>
      </c>
    </row>
    <row r="35" spans="2:3" x14ac:dyDescent="0.2">
      <c r="B35" s="2" t="s">
        <v>112</v>
      </c>
      <c r="C35" s="10">
        <f>O13-N13</f>
        <v>3.4099999999999998E-3</v>
      </c>
    </row>
    <row r="36" spans="2:3" x14ac:dyDescent="0.2">
      <c r="B36" s="2" t="s">
        <v>113</v>
      </c>
      <c r="C36" s="10">
        <f>P13-O13</f>
        <v>3.4299999999999956E-3</v>
      </c>
    </row>
    <row r="37" spans="2:3" x14ac:dyDescent="0.2">
      <c r="B37" s="2" t="s">
        <v>114</v>
      </c>
      <c r="C37" s="10">
        <f>Q13-P13</f>
        <v>3.6200000000000052E-3</v>
      </c>
    </row>
    <row r="38" spans="2:3" x14ac:dyDescent="0.2">
      <c r="B38" s="2" t="s">
        <v>115</v>
      </c>
      <c r="C38" s="10">
        <f>R13-Q13</f>
        <v>3.8699999999999984E-3</v>
      </c>
    </row>
    <row r="39" spans="2:3" x14ac:dyDescent="0.2">
      <c r="B39" s="2" t="s">
        <v>116</v>
      </c>
      <c r="C39" s="10">
        <f>S13-R13</f>
        <v>4.0400000000000019E-3</v>
      </c>
    </row>
    <row r="40" spans="2:3" x14ac:dyDescent="0.2">
      <c r="B40" s="2" t="s">
        <v>117</v>
      </c>
      <c r="C40" s="10">
        <f>T13-S13</f>
        <v>4.2499999999999968E-3</v>
      </c>
    </row>
    <row r="41" spans="2:3" x14ac:dyDescent="0.2">
      <c r="B41" s="2" t="s">
        <v>118</v>
      </c>
      <c r="C41" s="10">
        <f>U13-T13</f>
        <v>3.9700000000000013E-3</v>
      </c>
    </row>
    <row r="42" spans="2:3" x14ac:dyDescent="0.2">
      <c r="B42" s="2" t="s">
        <v>119</v>
      </c>
      <c r="C42" s="10">
        <f>V13-U13</f>
        <v>3.4100000000000033E-3</v>
      </c>
    </row>
    <row r="45" spans="2:3" x14ac:dyDescent="0.2">
      <c r="B45" s="2" t="s">
        <v>89</v>
      </c>
      <c r="C45" s="9">
        <f>AVERAGE(C23:C42)</f>
        <v>2.9815000000000002E-3</v>
      </c>
    </row>
    <row r="46" spans="2:3" x14ac:dyDescent="0.2">
      <c r="B46" s="2" t="s">
        <v>121</v>
      </c>
      <c r="C46" s="1">
        <f>_xlfn.STDEV.P(C23:C42)</f>
        <v>7.9767960360034281E-4</v>
      </c>
    </row>
    <row r="49" spans="2:3" x14ac:dyDescent="0.2">
      <c r="B49" s="287" t="s">
        <v>122</v>
      </c>
      <c r="C49" s="288"/>
    </row>
    <row r="50" spans="2:3" x14ac:dyDescent="0.2">
      <c r="B50" s="2" t="s">
        <v>100</v>
      </c>
      <c r="C50" s="15">
        <f>(C23-$C$45)/$C$46</f>
        <v>-2.4840800630434328</v>
      </c>
    </row>
    <row r="51" spans="2:3" x14ac:dyDescent="0.2">
      <c r="B51" s="2" t="s">
        <v>101</v>
      </c>
      <c r="C51" s="15">
        <f t="shared" ref="C51:C69" si="0">(C24-$C$45)/$C$46</f>
        <v>-1.6692165551058951</v>
      </c>
    </row>
    <row r="52" spans="2:3" x14ac:dyDescent="0.2">
      <c r="B52" s="2" t="s">
        <v>102</v>
      </c>
      <c r="C52" s="15">
        <f t="shared" si="0"/>
        <v>-1.0800075570587524</v>
      </c>
    </row>
    <row r="53" spans="2:3" x14ac:dyDescent="0.2">
      <c r="B53" s="2" t="s">
        <v>103</v>
      </c>
      <c r="C53" s="15">
        <f t="shared" si="0"/>
        <v>-0.71645306890200489</v>
      </c>
    </row>
    <row r="54" spans="2:3" x14ac:dyDescent="0.2">
      <c r="B54" s="2" t="s">
        <v>104</v>
      </c>
      <c r="C54" s="15">
        <f t="shared" si="0"/>
        <v>-0.42811675070872102</v>
      </c>
    </row>
    <row r="55" spans="2:3" x14ac:dyDescent="0.2">
      <c r="B55" s="2" t="s">
        <v>105</v>
      </c>
      <c r="C55" s="15">
        <f t="shared" si="0"/>
        <v>-0.31528949576352699</v>
      </c>
    </row>
    <row r="56" spans="2:3" x14ac:dyDescent="0.2">
      <c r="B56" s="2" t="s">
        <v>106</v>
      </c>
      <c r="C56" s="15">
        <f t="shared" si="0"/>
        <v>-0.37797130406641194</v>
      </c>
    </row>
    <row r="57" spans="2:3" x14ac:dyDescent="0.2">
      <c r="B57" s="2" t="s">
        <v>107</v>
      </c>
      <c r="C57" s="15">
        <f t="shared" si="0"/>
        <v>-0.37797130406641194</v>
      </c>
    </row>
    <row r="58" spans="2:3" x14ac:dyDescent="0.2">
      <c r="B58" s="2" t="s">
        <v>108</v>
      </c>
      <c r="C58" s="15">
        <f t="shared" si="0"/>
        <v>-0.32782585742409742</v>
      </c>
    </row>
    <row r="59" spans="2:3" x14ac:dyDescent="0.2">
      <c r="B59" s="2" t="s">
        <v>109</v>
      </c>
      <c r="C59" s="15">
        <f t="shared" si="0"/>
        <v>-0.1899258791577505</v>
      </c>
    </row>
    <row r="60" spans="2:3" x14ac:dyDescent="0.2">
      <c r="B60" s="2" t="s">
        <v>110</v>
      </c>
      <c r="C60" s="15">
        <f t="shared" si="0"/>
        <v>3.5728630732639759E-2</v>
      </c>
    </row>
    <row r="61" spans="2:3" x14ac:dyDescent="0.2">
      <c r="B61" s="2" t="s">
        <v>111</v>
      </c>
      <c r="C61" s="15">
        <f t="shared" si="0"/>
        <v>0.22377405564131209</v>
      </c>
    </row>
    <row r="62" spans="2:3" x14ac:dyDescent="0.2">
      <c r="B62" s="2" t="s">
        <v>112</v>
      </c>
      <c r="C62" s="15">
        <f t="shared" si="0"/>
        <v>0.53718309715574564</v>
      </c>
    </row>
    <row r="63" spans="2:3" x14ac:dyDescent="0.2">
      <c r="B63" s="2" t="s">
        <v>113</v>
      </c>
      <c r="C63" s="15">
        <f t="shared" si="0"/>
        <v>0.56225582047689526</v>
      </c>
    </row>
    <row r="64" spans="2:3" x14ac:dyDescent="0.2">
      <c r="B64" s="2" t="s">
        <v>114</v>
      </c>
      <c r="C64" s="15">
        <f t="shared" si="0"/>
        <v>0.80044669202787999</v>
      </c>
    </row>
    <row r="65" spans="2:3" x14ac:dyDescent="0.2">
      <c r="B65" s="2" t="s">
        <v>115</v>
      </c>
      <c r="C65" s="15">
        <f t="shared" si="0"/>
        <v>1.1138557335423092</v>
      </c>
    </row>
    <row r="66" spans="2:3" x14ac:dyDescent="0.2">
      <c r="B66" s="2" t="s">
        <v>116</v>
      </c>
      <c r="C66" s="15">
        <f t="shared" si="0"/>
        <v>1.326973881772131</v>
      </c>
    </row>
    <row r="67" spans="2:3" x14ac:dyDescent="0.2">
      <c r="B67" s="2" t="s">
        <v>117</v>
      </c>
      <c r="C67" s="15">
        <f t="shared" si="0"/>
        <v>1.5902374766442524</v>
      </c>
    </row>
    <row r="68" spans="2:3" x14ac:dyDescent="0.2">
      <c r="B68" s="2" t="s">
        <v>118</v>
      </c>
      <c r="C68" s="15">
        <f t="shared" si="0"/>
        <v>1.2392193501480877</v>
      </c>
    </row>
    <row r="69" spans="2:3" x14ac:dyDescent="0.2">
      <c r="B69" s="2" t="s">
        <v>119</v>
      </c>
      <c r="C69" s="15">
        <f t="shared" si="0"/>
        <v>0.53718309715574997</v>
      </c>
    </row>
  </sheetData>
  <mergeCells count="4">
    <mergeCell ref="B3:C3"/>
    <mergeCell ref="B22:C22"/>
    <mergeCell ref="B21:C21"/>
    <mergeCell ref="B49:C49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B3:V164"/>
  <sheetViews>
    <sheetView showGridLines="0" workbookViewId="0">
      <selection activeCell="O24" sqref="O24"/>
    </sheetView>
  </sheetViews>
  <sheetFormatPr defaultColWidth="8.75" defaultRowHeight="14.25" x14ac:dyDescent="0.2"/>
  <cols>
    <col min="1" max="3" width="8.75" style="13"/>
    <col min="4" max="4" width="11" style="13" customWidth="1"/>
    <col min="5" max="6" width="8.75" style="13"/>
    <col min="7" max="7" width="13.25" style="13" customWidth="1"/>
    <col min="8" max="8" width="11" style="13" bestFit="1" customWidth="1"/>
    <col min="9" max="9" width="10.25" style="13" bestFit="1" customWidth="1"/>
    <col min="10" max="10" width="10.75" style="13" bestFit="1" customWidth="1"/>
    <col min="11" max="11" width="10.625" style="13" bestFit="1" customWidth="1"/>
    <col min="12" max="12" width="11.125" style="13" bestFit="1" customWidth="1"/>
    <col min="13" max="13" width="11.5" style="13" bestFit="1" customWidth="1"/>
    <col min="14" max="14" width="13.5" style="13" customWidth="1"/>
    <col min="15" max="17" width="18.25" style="13" customWidth="1"/>
    <col min="18" max="18" width="21.25" style="13" customWidth="1"/>
    <col min="19" max="19" width="24.75" style="13" customWidth="1"/>
    <col min="20" max="22" width="18.25" style="13" customWidth="1"/>
    <col min="23" max="16384" width="8.75" style="13"/>
  </cols>
  <sheetData>
    <row r="3" spans="2:22" x14ac:dyDescent="0.2">
      <c r="B3" s="286" t="s">
        <v>132</v>
      </c>
      <c r="C3" s="286"/>
      <c r="D3" s="286"/>
      <c r="E3" s="286"/>
      <c r="F3" s="286"/>
      <c r="G3" s="286"/>
      <c r="H3" s="286"/>
      <c r="I3" s="286"/>
      <c r="J3" s="286"/>
      <c r="K3" s="286"/>
      <c r="L3" s="286"/>
      <c r="N3" s="286" t="s">
        <v>134</v>
      </c>
      <c r="O3" s="286"/>
      <c r="P3" s="286"/>
      <c r="Q3" s="286"/>
      <c r="R3" s="286"/>
      <c r="S3" s="286"/>
      <c r="T3" s="286"/>
      <c r="U3" s="286"/>
      <c r="V3" s="286"/>
    </row>
    <row r="5" spans="2:22" ht="57" x14ac:dyDescent="0.2">
      <c r="B5" s="20" t="s">
        <v>123</v>
      </c>
      <c r="C5" s="20" t="s">
        <v>33</v>
      </c>
      <c r="D5" s="20" t="s">
        <v>90</v>
      </c>
      <c r="E5" s="20" t="s">
        <v>26</v>
      </c>
      <c r="F5" s="20" t="s">
        <v>91</v>
      </c>
      <c r="G5" s="20" t="s">
        <v>92</v>
      </c>
      <c r="H5" s="20" t="s">
        <v>27</v>
      </c>
      <c r="I5" s="20" t="s">
        <v>93</v>
      </c>
      <c r="J5" s="20" t="s">
        <v>95</v>
      </c>
      <c r="K5" s="20" t="s">
        <v>96</v>
      </c>
      <c r="L5" s="20" t="s">
        <v>129</v>
      </c>
      <c r="N5" s="20" t="s">
        <v>123</v>
      </c>
      <c r="O5" s="18" t="s">
        <v>136</v>
      </c>
      <c r="P5" s="18" t="s">
        <v>137</v>
      </c>
      <c r="Q5" s="18" t="s">
        <v>138</v>
      </c>
      <c r="R5" s="18" t="s">
        <v>139</v>
      </c>
      <c r="S5" s="18" t="s">
        <v>140</v>
      </c>
      <c r="T5" s="18" t="s">
        <v>141</v>
      </c>
      <c r="U5" s="18" t="s">
        <v>142</v>
      </c>
      <c r="V5" s="18" t="s">
        <v>143</v>
      </c>
    </row>
    <row r="6" spans="2:22" x14ac:dyDescent="0.2">
      <c r="B6" s="3">
        <v>1960</v>
      </c>
      <c r="C6" s="10">
        <v>0</v>
      </c>
      <c r="D6" s="10">
        <v>0</v>
      </c>
      <c r="E6" s="10">
        <v>0</v>
      </c>
      <c r="F6" s="10">
        <v>0</v>
      </c>
      <c r="G6" s="10">
        <v>1.251E-2</v>
      </c>
      <c r="H6" s="10">
        <v>0</v>
      </c>
      <c r="I6" s="10">
        <v>0</v>
      </c>
      <c r="J6" s="10">
        <v>0</v>
      </c>
      <c r="K6" s="10">
        <v>7.4999999999999997E-3</v>
      </c>
      <c r="L6" s="10">
        <v>2.4499999999999999E-3</v>
      </c>
      <c r="N6" s="20">
        <v>1960</v>
      </c>
      <c r="O6" s="22"/>
      <c r="P6" s="22"/>
      <c r="Q6" s="22"/>
      <c r="R6" s="22"/>
      <c r="S6" s="22"/>
      <c r="T6" s="22"/>
      <c r="U6" s="22"/>
      <c r="V6" s="22"/>
    </row>
    <row r="7" spans="2:22" x14ac:dyDescent="0.2">
      <c r="B7" s="3">
        <v>1961</v>
      </c>
      <c r="C7" s="10">
        <v>0</v>
      </c>
      <c r="D7" s="10">
        <v>0</v>
      </c>
      <c r="E7" s="10">
        <v>0</v>
      </c>
      <c r="F7" s="10">
        <v>0</v>
      </c>
      <c r="G7" s="10">
        <v>5.9899999999999997E-3</v>
      </c>
      <c r="H7" s="10">
        <v>0</v>
      </c>
      <c r="I7" s="10">
        <v>8.6959999999999996E-2</v>
      </c>
      <c r="J7" s="10">
        <v>0</v>
      </c>
      <c r="K7" s="10">
        <v>1.072E-2</v>
      </c>
      <c r="L7" s="10">
        <v>3.5400000000000002E-3</v>
      </c>
      <c r="N7" s="20">
        <v>1961</v>
      </c>
      <c r="O7" s="22"/>
      <c r="P7" s="22"/>
      <c r="Q7" s="22"/>
      <c r="R7" s="22"/>
      <c r="S7" s="22"/>
      <c r="T7" s="22"/>
      <c r="U7" s="22"/>
      <c r="V7" s="22"/>
    </row>
    <row r="8" spans="2:22" x14ac:dyDescent="0.2">
      <c r="B8" s="3">
        <v>1962</v>
      </c>
      <c r="C8" s="10">
        <v>0</v>
      </c>
      <c r="D8" s="10">
        <v>0</v>
      </c>
      <c r="E8" s="10">
        <v>0</v>
      </c>
      <c r="F8" s="10">
        <v>0</v>
      </c>
      <c r="G8" s="10">
        <v>1.7489999999999999E-2</v>
      </c>
      <c r="H8" s="10">
        <v>1.4710000000000001E-2</v>
      </c>
      <c r="I8" s="10">
        <v>0</v>
      </c>
      <c r="J8" s="10">
        <v>0</v>
      </c>
      <c r="K8" s="10">
        <v>1.516E-2</v>
      </c>
      <c r="L8" s="10">
        <v>4.7099999999999998E-3</v>
      </c>
      <c r="N8" s="20">
        <v>1962</v>
      </c>
      <c r="O8" s="22"/>
      <c r="P8" s="22"/>
      <c r="Q8" s="22"/>
      <c r="R8" s="22"/>
      <c r="S8" s="22"/>
      <c r="T8" s="22"/>
      <c r="U8" s="22"/>
      <c r="V8" s="22"/>
    </row>
    <row r="9" spans="2:22" x14ac:dyDescent="0.2">
      <c r="B9" s="3">
        <v>1963</v>
      </c>
      <c r="C9" s="10">
        <v>0</v>
      </c>
      <c r="D9" s="10">
        <v>0</v>
      </c>
      <c r="E9" s="10">
        <v>0</v>
      </c>
      <c r="F9" s="10">
        <v>0</v>
      </c>
      <c r="G9" s="10">
        <v>1.162E-2</v>
      </c>
      <c r="H9" s="10">
        <v>1.4710000000000001E-2</v>
      </c>
      <c r="I9" s="10">
        <v>0</v>
      </c>
      <c r="J9" s="10">
        <v>0</v>
      </c>
      <c r="K9" s="10">
        <v>1.1520000000000001E-2</v>
      </c>
      <c r="L9" s="10">
        <v>3.5200000000000001E-3</v>
      </c>
      <c r="N9" s="20">
        <v>1963</v>
      </c>
      <c r="O9" s="22"/>
      <c r="P9" s="22"/>
      <c r="Q9" s="22"/>
      <c r="R9" s="22"/>
      <c r="S9" s="22"/>
      <c r="T9" s="22"/>
      <c r="U9" s="22"/>
      <c r="V9" s="22"/>
    </row>
    <row r="10" spans="2:22" x14ac:dyDescent="0.2">
      <c r="B10" s="3">
        <v>1964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N10" s="20">
        <v>1964</v>
      </c>
      <c r="O10" s="22"/>
      <c r="P10" s="22"/>
      <c r="Q10" s="22"/>
      <c r="R10" s="22"/>
      <c r="S10" s="22"/>
      <c r="T10" s="22"/>
      <c r="U10" s="22"/>
      <c r="V10" s="22"/>
    </row>
    <row r="11" spans="2:22" x14ac:dyDescent="0.2">
      <c r="B11" s="3">
        <v>1965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N11" s="20">
        <v>1965</v>
      </c>
      <c r="O11" s="22"/>
      <c r="P11" s="22"/>
      <c r="Q11" s="22"/>
      <c r="R11" s="22"/>
      <c r="S11" s="22"/>
      <c r="T11" s="22"/>
      <c r="U11" s="22"/>
      <c r="V11" s="22"/>
    </row>
    <row r="12" spans="2:22" x14ac:dyDescent="0.2">
      <c r="B12" s="3">
        <v>1966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2.4389999999999998E-2</v>
      </c>
      <c r="I12" s="10">
        <v>0</v>
      </c>
      <c r="J12" s="10">
        <v>0</v>
      </c>
      <c r="K12" s="10">
        <v>4.3899999999999998E-3</v>
      </c>
      <c r="L12" s="10">
        <v>1.2199999999999999E-3</v>
      </c>
      <c r="N12" s="20">
        <v>1966</v>
      </c>
      <c r="O12" s="22"/>
      <c r="P12" s="22"/>
      <c r="Q12" s="22"/>
      <c r="R12" s="22"/>
      <c r="S12" s="22"/>
      <c r="T12" s="22"/>
      <c r="U12" s="22"/>
      <c r="V12" s="22"/>
    </row>
    <row r="13" spans="2:22" x14ac:dyDescent="0.2">
      <c r="B13" s="3">
        <v>1967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N13" s="20">
        <v>1967</v>
      </c>
      <c r="O13" s="22"/>
      <c r="P13" s="22"/>
      <c r="Q13" s="22"/>
      <c r="R13" s="22"/>
      <c r="S13" s="22"/>
      <c r="T13" s="22"/>
      <c r="U13" s="22"/>
      <c r="V13" s="22"/>
    </row>
    <row r="14" spans="2:22" x14ac:dyDescent="0.2">
      <c r="B14" s="3">
        <v>1968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0.05</v>
      </c>
      <c r="J14" s="10">
        <v>0</v>
      </c>
      <c r="K14" s="10">
        <v>3.7499999999999999E-3</v>
      </c>
      <c r="L14" s="10">
        <v>1.06E-3</v>
      </c>
      <c r="N14" s="20">
        <v>1968</v>
      </c>
      <c r="O14" s="22"/>
      <c r="P14" s="22"/>
      <c r="Q14" s="22"/>
      <c r="R14" s="22"/>
      <c r="S14" s="22"/>
      <c r="T14" s="22"/>
      <c r="U14" s="22"/>
      <c r="V14" s="22"/>
    </row>
    <row r="15" spans="2:22" x14ac:dyDescent="0.2">
      <c r="B15" s="3">
        <v>1969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N15" s="20">
        <v>1969</v>
      </c>
      <c r="O15" s="22"/>
      <c r="P15" s="22"/>
      <c r="Q15" s="22"/>
      <c r="R15" s="22"/>
      <c r="S15" s="22"/>
      <c r="T15" s="22"/>
      <c r="U15" s="22"/>
      <c r="V15" s="22"/>
    </row>
    <row r="16" spans="2:22" x14ac:dyDescent="0.2">
      <c r="B16" s="3">
        <v>1970</v>
      </c>
      <c r="C16" s="10">
        <v>0</v>
      </c>
      <c r="D16" s="10">
        <v>0</v>
      </c>
      <c r="E16" s="10">
        <v>0</v>
      </c>
      <c r="F16" s="10">
        <v>5.4299999999999999E-3</v>
      </c>
      <c r="G16" s="10">
        <v>4.2369999999999998E-2</v>
      </c>
      <c r="H16" s="10">
        <v>0.19444</v>
      </c>
      <c r="I16" s="10">
        <v>0.5</v>
      </c>
      <c r="J16" s="10">
        <v>2.7100000000000002E-3</v>
      </c>
      <c r="K16" s="10">
        <v>8.6779999999999996E-2</v>
      </c>
      <c r="L16" s="10">
        <v>2.631E-2</v>
      </c>
      <c r="N16" s="20">
        <v>1970</v>
      </c>
      <c r="O16" s="22"/>
      <c r="P16" s="22"/>
      <c r="Q16" s="22"/>
      <c r="R16" s="22"/>
      <c r="S16" s="22"/>
      <c r="T16" s="22"/>
      <c r="U16" s="22"/>
      <c r="V16" s="22"/>
    </row>
    <row r="17" spans="2:22" x14ac:dyDescent="0.2">
      <c r="B17" s="3">
        <v>1971</v>
      </c>
      <c r="C17" s="10">
        <v>0</v>
      </c>
      <c r="D17" s="10">
        <v>0</v>
      </c>
      <c r="E17" s="10">
        <v>0</v>
      </c>
      <c r="F17" s="10">
        <v>0</v>
      </c>
      <c r="G17" s="10">
        <v>8.8500000000000002E-3</v>
      </c>
      <c r="H17" s="10">
        <v>0</v>
      </c>
      <c r="I17" s="10">
        <v>0.125</v>
      </c>
      <c r="J17" s="10">
        <v>0</v>
      </c>
      <c r="K17" s="10">
        <v>1.155E-2</v>
      </c>
      <c r="L17" s="10">
        <v>2.8600000000000001E-3</v>
      </c>
      <c r="N17" s="20">
        <v>1971</v>
      </c>
      <c r="O17" s="22"/>
      <c r="P17" s="22"/>
      <c r="Q17" s="22"/>
      <c r="R17" s="22"/>
      <c r="S17" s="22"/>
      <c r="T17" s="22"/>
      <c r="U17" s="22"/>
      <c r="V17" s="22"/>
    </row>
    <row r="18" spans="2:22" x14ac:dyDescent="0.2">
      <c r="B18" s="3">
        <v>1972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6.8970000000000004E-2</v>
      </c>
      <c r="I18" s="10">
        <v>0.375</v>
      </c>
      <c r="J18" s="10">
        <v>0</v>
      </c>
      <c r="K18" s="10">
        <v>1.9220000000000001E-2</v>
      </c>
      <c r="L18" s="10">
        <v>4.5300000000000002E-3</v>
      </c>
      <c r="N18" s="20">
        <v>1972</v>
      </c>
      <c r="O18" s="22"/>
      <c r="P18" s="22"/>
      <c r="Q18" s="22"/>
      <c r="R18" s="22"/>
      <c r="S18" s="22"/>
      <c r="T18" s="22"/>
      <c r="U18" s="22"/>
      <c r="V18" s="22"/>
    </row>
    <row r="19" spans="2:22" x14ac:dyDescent="0.2">
      <c r="B19" s="3">
        <v>1973</v>
      </c>
      <c r="C19" s="10">
        <v>0</v>
      </c>
      <c r="D19" s="10">
        <v>0</v>
      </c>
      <c r="E19" s="10">
        <v>0</v>
      </c>
      <c r="F19" s="10">
        <v>4.6100000000000004E-3</v>
      </c>
      <c r="G19" s="10">
        <v>0</v>
      </c>
      <c r="H19" s="10">
        <v>3.8460000000000001E-2</v>
      </c>
      <c r="I19" s="10">
        <v>0.375</v>
      </c>
      <c r="J19" s="10">
        <v>2.32E-3</v>
      </c>
      <c r="K19" s="10">
        <v>1.2800000000000001E-2</v>
      </c>
      <c r="L19" s="10">
        <v>4.5599999999999998E-3</v>
      </c>
      <c r="N19" s="20">
        <v>1973</v>
      </c>
      <c r="O19" s="22"/>
      <c r="P19" s="22"/>
      <c r="Q19" s="22"/>
      <c r="R19" s="22"/>
      <c r="S19" s="22"/>
      <c r="T19" s="22"/>
      <c r="U19" s="22"/>
      <c r="V19" s="22"/>
    </row>
    <row r="20" spans="2:22" x14ac:dyDescent="0.2">
      <c r="B20" s="3">
        <v>1974</v>
      </c>
      <c r="C20" s="10">
        <v>0</v>
      </c>
      <c r="D20" s="10">
        <v>0</v>
      </c>
      <c r="E20" s="10">
        <v>0</v>
      </c>
      <c r="F20" s="10">
        <v>0</v>
      </c>
      <c r="G20" s="10">
        <v>5.13E-3</v>
      </c>
      <c r="H20" s="10">
        <v>7.1620000000000003E-2</v>
      </c>
      <c r="I20" s="10">
        <v>0</v>
      </c>
      <c r="J20" s="10">
        <v>0</v>
      </c>
      <c r="K20" s="10">
        <v>1.332E-2</v>
      </c>
      <c r="L20" s="10">
        <v>2.7499999999999998E-3</v>
      </c>
      <c r="N20" s="20">
        <v>1974</v>
      </c>
      <c r="O20" s="22"/>
      <c r="P20" s="22"/>
      <c r="Q20" s="22"/>
      <c r="R20" s="22"/>
      <c r="S20" s="22"/>
      <c r="T20" s="22"/>
      <c r="U20" s="22"/>
      <c r="V20" s="22"/>
    </row>
    <row r="21" spans="2:22" x14ac:dyDescent="0.2">
      <c r="B21" s="3">
        <v>1975</v>
      </c>
      <c r="C21" s="10">
        <v>0</v>
      </c>
      <c r="D21" s="10">
        <v>0</v>
      </c>
      <c r="E21" s="10">
        <v>0</v>
      </c>
      <c r="F21" s="10">
        <v>0</v>
      </c>
      <c r="G21" s="10">
        <v>1.0290000000000001E-2</v>
      </c>
      <c r="H21" s="10">
        <v>6.1580000000000003E-2</v>
      </c>
      <c r="I21" s="10">
        <v>0</v>
      </c>
      <c r="J21" s="10">
        <v>0</v>
      </c>
      <c r="K21" s="10">
        <v>1.7420000000000001E-2</v>
      </c>
      <c r="L21" s="10">
        <v>3.6099999999999999E-3</v>
      </c>
      <c r="N21" s="20">
        <v>1975</v>
      </c>
      <c r="O21" s="22"/>
      <c r="P21" s="22"/>
      <c r="Q21" s="22"/>
      <c r="R21" s="22"/>
      <c r="S21" s="22"/>
      <c r="T21" s="22"/>
      <c r="U21" s="22"/>
      <c r="V21" s="22"/>
    </row>
    <row r="22" spans="2:22" x14ac:dyDescent="0.2">
      <c r="B22" s="3">
        <v>1976</v>
      </c>
      <c r="C22" s="10">
        <v>0</v>
      </c>
      <c r="D22" s="10">
        <v>0</v>
      </c>
      <c r="E22" s="10">
        <v>0</v>
      </c>
      <c r="F22" s="10">
        <v>0</v>
      </c>
      <c r="G22" s="10">
        <v>9.9500000000000005E-3</v>
      </c>
      <c r="H22" s="10">
        <v>0</v>
      </c>
      <c r="I22" s="10">
        <v>0</v>
      </c>
      <c r="J22" s="10">
        <v>0</v>
      </c>
      <c r="K22" s="10">
        <v>8.6800000000000002E-3</v>
      </c>
      <c r="L22" s="10">
        <v>1.7600000000000001E-3</v>
      </c>
      <c r="N22" s="20">
        <v>1976</v>
      </c>
      <c r="O22" s="22"/>
      <c r="P22" s="22"/>
      <c r="Q22" s="22"/>
      <c r="R22" s="22"/>
      <c r="S22" s="22"/>
      <c r="T22" s="22"/>
      <c r="U22" s="22"/>
      <c r="V22" s="22"/>
    </row>
    <row r="23" spans="2:22" x14ac:dyDescent="0.2">
      <c r="B23" s="3">
        <v>1977</v>
      </c>
      <c r="C23" s="10">
        <v>0</v>
      </c>
      <c r="D23" s="10">
        <v>0</v>
      </c>
      <c r="E23" s="10">
        <v>0</v>
      </c>
      <c r="F23" s="10">
        <v>2.9399999999999999E-3</v>
      </c>
      <c r="G23" s="10">
        <v>5.4299999999999999E-3</v>
      </c>
      <c r="H23" s="10">
        <v>3.2259999999999997E-2</v>
      </c>
      <c r="I23" s="10">
        <v>0.33333000000000002</v>
      </c>
      <c r="J23" s="10">
        <v>1.1000000000000001E-3</v>
      </c>
      <c r="K23" s="10">
        <v>1.3599999999999999E-2</v>
      </c>
      <c r="L23" s="10">
        <v>3.5400000000000002E-3</v>
      </c>
      <c r="N23" s="20">
        <v>1977</v>
      </c>
      <c r="O23" s="22"/>
      <c r="P23" s="22"/>
      <c r="Q23" s="22"/>
      <c r="R23" s="22"/>
      <c r="S23" s="22"/>
      <c r="T23" s="22"/>
      <c r="U23" s="22"/>
      <c r="V23" s="22"/>
    </row>
    <row r="24" spans="2:22" x14ac:dyDescent="0.2">
      <c r="B24" s="3">
        <v>1978</v>
      </c>
      <c r="C24" s="10">
        <v>0</v>
      </c>
      <c r="D24" s="10">
        <v>0</v>
      </c>
      <c r="E24" s="10">
        <v>0</v>
      </c>
      <c r="F24" s="10">
        <v>0</v>
      </c>
      <c r="G24" s="10">
        <v>1.124E-2</v>
      </c>
      <c r="H24" s="10">
        <v>5.4050000000000001E-2</v>
      </c>
      <c r="I24" s="10">
        <v>0</v>
      </c>
      <c r="J24" s="10">
        <v>0</v>
      </c>
      <c r="K24" s="10">
        <v>1.823E-2</v>
      </c>
      <c r="L24" s="10">
        <v>3.5400000000000002E-3</v>
      </c>
      <c r="N24" s="20">
        <v>1978</v>
      </c>
      <c r="O24" s="22"/>
      <c r="P24" s="22"/>
      <c r="Q24" s="22"/>
      <c r="R24" s="22"/>
      <c r="S24" s="22"/>
      <c r="T24" s="22"/>
      <c r="U24" s="22"/>
      <c r="V24" s="22"/>
    </row>
    <row r="25" spans="2:22" x14ac:dyDescent="0.2">
      <c r="B25" s="3">
        <v>1979</v>
      </c>
      <c r="C25" s="10">
        <v>0</v>
      </c>
      <c r="D25" s="10">
        <v>0</v>
      </c>
      <c r="E25" s="10">
        <v>0</v>
      </c>
      <c r="F25" s="10">
        <v>0</v>
      </c>
      <c r="G25" s="10">
        <v>5.13E-3</v>
      </c>
      <c r="H25" s="10">
        <v>0</v>
      </c>
      <c r="I25" s="10">
        <v>0</v>
      </c>
      <c r="J25" s="10">
        <v>0</v>
      </c>
      <c r="K25" s="10">
        <v>4.3499999999999997E-3</v>
      </c>
      <c r="L25" s="10">
        <v>8.8000000000000003E-4</v>
      </c>
      <c r="N25" s="20">
        <v>1979</v>
      </c>
      <c r="O25" s="22"/>
      <c r="P25" s="22"/>
      <c r="Q25" s="22"/>
      <c r="R25" s="22"/>
      <c r="S25" s="22"/>
      <c r="T25" s="22"/>
      <c r="U25" s="22"/>
      <c r="V25" s="22"/>
    </row>
    <row r="26" spans="2:22" x14ac:dyDescent="0.2">
      <c r="B26" s="3">
        <v>1980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0.05</v>
      </c>
      <c r="I26" s="10">
        <v>0.33333000000000002</v>
      </c>
      <c r="J26" s="10">
        <v>0</v>
      </c>
      <c r="K26" s="10">
        <v>1.6299999999999999E-2</v>
      </c>
      <c r="L26" s="10">
        <v>3.4399999999999999E-3</v>
      </c>
      <c r="N26" s="20">
        <v>1980</v>
      </c>
      <c r="O26" s="22">
        <v>41.036000000000001</v>
      </c>
      <c r="P26" s="22">
        <v>4.4020000000000001</v>
      </c>
      <c r="Q26" s="22"/>
      <c r="R26" s="22"/>
      <c r="S26" s="22"/>
      <c r="T26" s="22"/>
      <c r="U26" s="22"/>
      <c r="V26" s="22">
        <v>25.224</v>
      </c>
    </row>
    <row r="27" spans="2:22" x14ac:dyDescent="0.2">
      <c r="B27" s="3">
        <v>1981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4.3970000000000002E-2</v>
      </c>
      <c r="I27" s="10">
        <v>0</v>
      </c>
      <c r="J27" s="10">
        <v>0</v>
      </c>
      <c r="K27" s="10">
        <v>6.9800000000000001E-3</v>
      </c>
      <c r="L27" s="10">
        <v>1.6199999999999999E-3</v>
      </c>
      <c r="N27" s="20">
        <v>1981</v>
      </c>
      <c r="O27" s="22">
        <v>45.841999999999999</v>
      </c>
      <c r="P27" s="22">
        <v>3.589</v>
      </c>
      <c r="Q27" s="22"/>
      <c r="R27" s="22"/>
      <c r="S27" s="22"/>
      <c r="T27" s="22"/>
      <c r="U27" s="22"/>
      <c r="V27" s="22">
        <v>21.503</v>
      </c>
    </row>
    <row r="28" spans="2:22" x14ac:dyDescent="0.2">
      <c r="B28" s="3">
        <v>1982</v>
      </c>
      <c r="C28" s="10">
        <v>0</v>
      </c>
      <c r="D28" s="10">
        <v>0</v>
      </c>
      <c r="E28" s="10">
        <v>2.5600000000000002E-3</v>
      </c>
      <c r="F28" s="10">
        <v>3.29E-3</v>
      </c>
      <c r="G28" s="10">
        <v>2.7859999999999999E-2</v>
      </c>
      <c r="H28" s="10">
        <v>2.222E-2</v>
      </c>
      <c r="I28" s="10">
        <v>0.23077</v>
      </c>
      <c r="J28" s="10">
        <v>2.14E-3</v>
      </c>
      <c r="K28" s="10">
        <v>3.5529999999999999E-2</v>
      </c>
      <c r="L28" s="10">
        <v>1.04E-2</v>
      </c>
      <c r="N28" s="20">
        <v>1982</v>
      </c>
      <c r="O28" s="22">
        <v>48.734999999999999</v>
      </c>
      <c r="P28" s="22">
        <v>1.8660000000000001</v>
      </c>
      <c r="Q28" s="22"/>
      <c r="R28" s="22"/>
      <c r="S28" s="22"/>
      <c r="T28" s="22"/>
      <c r="U28" s="22"/>
      <c r="V28" s="22">
        <v>4.944</v>
      </c>
    </row>
    <row r="29" spans="2:22" x14ac:dyDescent="0.2">
      <c r="B29" s="3">
        <v>1983</v>
      </c>
      <c r="C29" s="10">
        <v>0</v>
      </c>
      <c r="D29" s="10">
        <v>0</v>
      </c>
      <c r="E29" s="10">
        <v>0</v>
      </c>
      <c r="F29" s="10">
        <v>0</v>
      </c>
      <c r="G29" s="10">
        <v>1.163E-2</v>
      </c>
      <c r="H29" s="10">
        <v>2.3029999999999998E-2</v>
      </c>
      <c r="I29" s="10">
        <v>0.42308000000000001</v>
      </c>
      <c r="J29" s="10">
        <v>0</v>
      </c>
      <c r="K29" s="10">
        <v>4.061E-2</v>
      </c>
      <c r="L29" s="10">
        <v>8.9999999999999993E-3</v>
      </c>
      <c r="N29" s="20">
        <v>1983</v>
      </c>
      <c r="O29" s="22">
        <v>49.319000000000003</v>
      </c>
      <c r="P29" s="22">
        <v>0.57599999999999996</v>
      </c>
      <c r="Q29" s="22"/>
      <c r="R29" s="22"/>
      <c r="S29" s="22"/>
      <c r="T29" s="22"/>
      <c r="U29" s="22"/>
      <c r="V29" s="22">
        <v>-13.045</v>
      </c>
    </row>
    <row r="30" spans="2:22" x14ac:dyDescent="0.2">
      <c r="B30" s="3">
        <v>1984</v>
      </c>
      <c r="C30" s="10">
        <v>0</v>
      </c>
      <c r="D30" s="10">
        <v>0</v>
      </c>
      <c r="E30" s="10">
        <v>0</v>
      </c>
      <c r="F30" s="10">
        <v>6.2500000000000003E-3</v>
      </c>
      <c r="G30" s="10">
        <v>5.1799999999999997E-3</v>
      </c>
      <c r="H30" s="10">
        <v>5.3400000000000003E-2</v>
      </c>
      <c r="I30" s="10">
        <v>0.18182000000000001</v>
      </c>
      <c r="J30" s="10">
        <v>1.75E-3</v>
      </c>
      <c r="K30" s="10">
        <v>3.1300000000000001E-2</v>
      </c>
      <c r="L30" s="10">
        <v>8.6899999999999998E-3</v>
      </c>
      <c r="N30" s="20">
        <v>1984</v>
      </c>
      <c r="O30" s="22">
        <v>48.863</v>
      </c>
      <c r="P30" s="22">
        <v>-0.67600000000000005</v>
      </c>
      <c r="Q30" s="22"/>
      <c r="R30" s="22"/>
      <c r="S30" s="22"/>
      <c r="T30" s="22"/>
      <c r="U30" s="22"/>
      <c r="V30" s="22">
        <v>-15.381</v>
      </c>
    </row>
    <row r="31" spans="2:22" x14ac:dyDescent="0.2">
      <c r="B31" s="3">
        <v>1985</v>
      </c>
      <c r="C31" s="10">
        <v>0</v>
      </c>
      <c r="D31" s="10">
        <v>0</v>
      </c>
      <c r="E31" s="10">
        <v>0</v>
      </c>
      <c r="F31" s="10">
        <v>0</v>
      </c>
      <c r="G31" s="10">
        <v>8.7200000000000003E-3</v>
      </c>
      <c r="H31" s="10">
        <v>7.3090000000000002E-2</v>
      </c>
      <c r="I31" s="10">
        <v>6.6669999999999993E-2</v>
      </c>
      <c r="J31" s="10">
        <v>0</v>
      </c>
      <c r="K31" s="10">
        <v>3.773E-2</v>
      </c>
      <c r="L31" s="10">
        <v>9.5200000000000007E-3</v>
      </c>
      <c r="N31" s="20">
        <v>1985</v>
      </c>
      <c r="O31" s="22">
        <v>48.356000000000002</v>
      </c>
      <c r="P31" s="22">
        <v>-2.3090000000000002</v>
      </c>
      <c r="Q31" s="22"/>
      <c r="R31" s="22"/>
      <c r="S31" s="22"/>
      <c r="T31" s="22"/>
      <c r="U31" s="22"/>
      <c r="V31" s="22">
        <v>-12.446999999999999</v>
      </c>
    </row>
    <row r="32" spans="2:22" x14ac:dyDescent="0.2">
      <c r="B32" s="3">
        <v>1986</v>
      </c>
      <c r="C32" s="10">
        <v>0</v>
      </c>
      <c r="D32" s="10">
        <v>0</v>
      </c>
      <c r="E32" s="10">
        <v>0</v>
      </c>
      <c r="F32" s="10">
        <v>8.6999999999999994E-3</v>
      </c>
      <c r="G32" s="10">
        <v>2.3650000000000001E-2</v>
      </c>
      <c r="H32" s="10">
        <v>0.10536</v>
      </c>
      <c r="I32" s="10">
        <v>0.17105000000000001</v>
      </c>
      <c r="J32" s="10">
        <v>2.1099999999999999E-3</v>
      </c>
      <c r="K32" s="10">
        <v>6.1629999999999997E-2</v>
      </c>
      <c r="L32" s="10">
        <v>1.83E-2</v>
      </c>
      <c r="N32" s="20">
        <v>1986</v>
      </c>
      <c r="O32" s="22">
        <v>35.363</v>
      </c>
      <c r="P32" s="22">
        <v>-3.121</v>
      </c>
      <c r="Q32" s="22"/>
      <c r="R32" s="22"/>
      <c r="S32" s="22"/>
      <c r="T32" s="22"/>
      <c r="U32" s="22"/>
      <c r="V32" s="22">
        <v>-13.564</v>
      </c>
    </row>
    <row r="33" spans="2:22" x14ac:dyDescent="0.2">
      <c r="B33" s="3">
        <v>1987</v>
      </c>
      <c r="C33" s="10">
        <v>0</v>
      </c>
      <c r="D33" s="10">
        <v>0</v>
      </c>
      <c r="E33" s="10">
        <v>0</v>
      </c>
      <c r="F33" s="10">
        <v>0</v>
      </c>
      <c r="G33" s="10">
        <v>3.024E-2</v>
      </c>
      <c r="H33" s="10">
        <v>5.4359999999999999E-2</v>
      </c>
      <c r="I33" s="10">
        <v>9.8229999999999998E-2</v>
      </c>
      <c r="J33" s="10">
        <v>0</v>
      </c>
      <c r="K33" s="10">
        <v>4.299E-2</v>
      </c>
      <c r="L33" s="10">
        <v>1.423E-2</v>
      </c>
      <c r="N33" s="20">
        <v>1987</v>
      </c>
      <c r="O33" s="22">
        <v>37.747</v>
      </c>
      <c r="P33" s="22">
        <v>-2.3940000000000001</v>
      </c>
      <c r="Q33" s="22"/>
      <c r="R33" s="22"/>
      <c r="S33" s="22"/>
      <c r="T33" s="22"/>
      <c r="U33" s="22"/>
      <c r="V33" s="22">
        <v>-11.404</v>
      </c>
    </row>
    <row r="34" spans="2:22" x14ac:dyDescent="0.2">
      <c r="B34" s="3">
        <v>1988</v>
      </c>
      <c r="C34" s="10">
        <v>0</v>
      </c>
      <c r="D34" s="10">
        <v>0</v>
      </c>
      <c r="E34" s="10">
        <v>0</v>
      </c>
      <c r="F34" s="10">
        <v>0</v>
      </c>
      <c r="G34" s="10">
        <v>1.353E-2</v>
      </c>
      <c r="H34" s="10">
        <v>5.9339999999999997E-2</v>
      </c>
      <c r="I34" s="10">
        <v>0.125</v>
      </c>
      <c r="J34" s="10">
        <v>0</v>
      </c>
      <c r="K34" s="10">
        <v>3.85E-2</v>
      </c>
      <c r="L34" s="10">
        <v>1.393E-2</v>
      </c>
      <c r="N34" s="20">
        <v>1988</v>
      </c>
      <c r="O34" s="22">
        <v>34.369</v>
      </c>
      <c r="P34" s="22">
        <v>-0.35</v>
      </c>
      <c r="Q34" s="22"/>
      <c r="R34" s="22"/>
      <c r="S34" s="22"/>
      <c r="T34" s="22"/>
      <c r="U34" s="22"/>
      <c r="V34" s="22">
        <v>-8.3170000000000002</v>
      </c>
    </row>
    <row r="35" spans="2:22" x14ac:dyDescent="0.2">
      <c r="B35" s="3">
        <v>1989</v>
      </c>
      <c r="C35" s="10">
        <v>0</v>
      </c>
      <c r="D35" s="10">
        <v>4.9899999999999996E-3</v>
      </c>
      <c r="E35" s="10">
        <v>0</v>
      </c>
      <c r="F35" s="10">
        <v>5.2900000000000004E-3</v>
      </c>
      <c r="G35" s="10">
        <v>2.9569999999999999E-2</v>
      </c>
      <c r="H35" s="10">
        <v>7.5490000000000002E-2</v>
      </c>
      <c r="I35" s="10">
        <v>0.20333999999999999</v>
      </c>
      <c r="J35" s="10">
        <v>2.5400000000000002E-3</v>
      </c>
      <c r="K35" s="10">
        <v>5.901E-2</v>
      </c>
      <c r="L35" s="10">
        <v>2.2259999999999999E-2</v>
      </c>
      <c r="N35" s="20">
        <v>1989</v>
      </c>
      <c r="O35" s="22">
        <v>37.317</v>
      </c>
      <c r="P35" s="22">
        <v>1.151</v>
      </c>
      <c r="Q35" s="22"/>
      <c r="R35" s="22"/>
      <c r="S35" s="22"/>
      <c r="T35" s="22"/>
      <c r="U35" s="22"/>
      <c r="V35" s="22">
        <v>-10.004</v>
      </c>
    </row>
    <row r="36" spans="2:22" x14ac:dyDescent="0.2">
      <c r="B36" s="3">
        <v>1990</v>
      </c>
      <c r="C36" s="10">
        <v>0</v>
      </c>
      <c r="D36" s="10">
        <v>0</v>
      </c>
      <c r="E36" s="10">
        <v>0</v>
      </c>
      <c r="F36" s="10">
        <v>2.65E-3</v>
      </c>
      <c r="G36" s="10">
        <v>3.5310000000000001E-2</v>
      </c>
      <c r="H36" s="10">
        <v>0.13667000000000001</v>
      </c>
      <c r="I36" s="10">
        <v>0.40794000000000002</v>
      </c>
      <c r="J36" s="10">
        <v>5.9999999999999995E-4</v>
      </c>
      <c r="K36" s="10">
        <v>0.10284</v>
      </c>
      <c r="L36" s="10">
        <v>3.492E-2</v>
      </c>
      <c r="N36" s="20">
        <v>1990</v>
      </c>
      <c r="O36" s="22">
        <v>39.966999999999999</v>
      </c>
      <c r="P36" s="22">
        <v>-1.024</v>
      </c>
      <c r="Q36" s="22">
        <v>39.280999999999999</v>
      </c>
      <c r="R36" s="22"/>
      <c r="S36" s="22"/>
      <c r="T36" s="22"/>
      <c r="U36" s="22"/>
      <c r="V36" s="22">
        <v>-3.53</v>
      </c>
    </row>
    <row r="37" spans="2:22" x14ac:dyDescent="0.2">
      <c r="B37" s="3">
        <v>1991</v>
      </c>
      <c r="C37" s="10">
        <v>0</v>
      </c>
      <c r="D37" s="10">
        <v>0</v>
      </c>
      <c r="E37" s="10">
        <v>0</v>
      </c>
      <c r="F37" s="10">
        <v>2.49E-3</v>
      </c>
      <c r="G37" s="10">
        <v>3.848E-2</v>
      </c>
      <c r="H37" s="10">
        <v>0.12937000000000001</v>
      </c>
      <c r="I37" s="10">
        <v>0.14974000000000001</v>
      </c>
      <c r="J37" s="10">
        <v>5.9000000000000003E-4</v>
      </c>
      <c r="K37" s="10">
        <v>8.9520000000000002E-2</v>
      </c>
      <c r="L37" s="10">
        <v>2.7609999999999999E-2</v>
      </c>
      <c r="N37" s="20">
        <v>1991</v>
      </c>
      <c r="O37" s="22">
        <v>39.063000000000002</v>
      </c>
      <c r="P37" s="22">
        <v>3.7930000000000001</v>
      </c>
      <c r="Q37" s="22">
        <v>34.945999999999998</v>
      </c>
      <c r="R37" s="22">
        <v>-3.2810000000000001</v>
      </c>
      <c r="S37" s="22">
        <v>-3.5019999999999998</v>
      </c>
      <c r="T37" s="22">
        <v>37.96</v>
      </c>
      <c r="U37" s="22">
        <v>39.351999999999997</v>
      </c>
      <c r="V37" s="22">
        <v>-20.832999999999998</v>
      </c>
    </row>
    <row r="38" spans="2:22" x14ac:dyDescent="0.2">
      <c r="B38" s="3">
        <v>1992</v>
      </c>
      <c r="C38" s="10">
        <v>0</v>
      </c>
      <c r="D38" s="10">
        <v>0</v>
      </c>
      <c r="E38" s="10">
        <v>0</v>
      </c>
      <c r="F38" s="10">
        <v>0</v>
      </c>
      <c r="G38" s="10">
        <v>3.3700000000000002E-3</v>
      </c>
      <c r="H38" s="10">
        <v>7.3450000000000001E-2</v>
      </c>
      <c r="I38" s="10">
        <v>0.16494</v>
      </c>
      <c r="J38" s="10">
        <v>0</v>
      </c>
      <c r="K38" s="10">
        <v>4.9329999999999999E-2</v>
      </c>
      <c r="L38" s="10">
        <v>1.337E-2</v>
      </c>
      <c r="N38" s="20">
        <v>1992</v>
      </c>
      <c r="O38" s="22">
        <v>38.947000000000003</v>
      </c>
      <c r="P38" s="22">
        <v>-0.88600000000000001</v>
      </c>
      <c r="Q38" s="22">
        <v>41.164999999999999</v>
      </c>
      <c r="R38" s="22">
        <v>-8.1210000000000004</v>
      </c>
      <c r="S38" s="22">
        <v>-6.9889999999999999</v>
      </c>
      <c r="T38" s="22">
        <v>46.109000000000002</v>
      </c>
      <c r="U38" s="22">
        <v>47.8</v>
      </c>
      <c r="V38" s="22">
        <v>-12.941000000000001</v>
      </c>
    </row>
    <row r="39" spans="2:22" x14ac:dyDescent="0.2">
      <c r="B39" s="3">
        <v>1993</v>
      </c>
      <c r="C39" s="10">
        <v>0</v>
      </c>
      <c r="D39" s="10">
        <v>0</v>
      </c>
      <c r="E39" s="10">
        <v>0</v>
      </c>
      <c r="F39" s="10">
        <v>0</v>
      </c>
      <c r="G39" s="10">
        <v>6.2199999999999998E-3</v>
      </c>
      <c r="H39" s="10">
        <v>4.376E-2</v>
      </c>
      <c r="I39" s="10">
        <v>0.13531000000000001</v>
      </c>
      <c r="J39" s="10">
        <v>0</v>
      </c>
      <c r="K39" s="10">
        <v>3.4040000000000001E-2</v>
      </c>
      <c r="L39" s="10">
        <v>8.9899999999999997E-3</v>
      </c>
      <c r="N39" s="20">
        <v>1993</v>
      </c>
      <c r="O39" s="22">
        <v>38.298999999999999</v>
      </c>
      <c r="P39" s="22">
        <v>1.2290000000000001</v>
      </c>
      <c r="Q39" s="22">
        <v>37.731999999999999</v>
      </c>
      <c r="R39" s="22">
        <v>-9.327</v>
      </c>
      <c r="S39" s="22">
        <v>-7.86</v>
      </c>
      <c r="T39" s="22">
        <v>56.526000000000003</v>
      </c>
      <c r="U39" s="22">
        <v>58.598999999999997</v>
      </c>
      <c r="V39" s="22">
        <v>-12.986000000000001</v>
      </c>
    </row>
    <row r="40" spans="2:22" x14ac:dyDescent="0.2">
      <c r="B40" s="3">
        <v>1994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4.1910000000000003E-2</v>
      </c>
      <c r="I40" s="10">
        <v>2.5319999999999999E-2</v>
      </c>
      <c r="J40" s="10">
        <v>0</v>
      </c>
      <c r="K40" s="10">
        <v>2.0930000000000001E-2</v>
      </c>
      <c r="L40" s="10">
        <v>5.8199999999999997E-3</v>
      </c>
      <c r="N40" s="20">
        <v>1994</v>
      </c>
      <c r="O40" s="22">
        <v>38.718000000000004</v>
      </c>
      <c r="P40" s="22">
        <v>1.325</v>
      </c>
      <c r="Q40" s="22">
        <v>33.793999999999997</v>
      </c>
      <c r="R40" s="22">
        <v>-8.3119999999999994</v>
      </c>
      <c r="S40" s="22">
        <v>-6.47</v>
      </c>
      <c r="T40" s="22">
        <v>65.468999999999994</v>
      </c>
      <c r="U40" s="22">
        <v>67.87</v>
      </c>
      <c r="V40" s="22">
        <v>-7.758</v>
      </c>
    </row>
    <row r="41" spans="2:22" x14ac:dyDescent="0.2">
      <c r="B41" s="3">
        <v>1995</v>
      </c>
      <c r="C41" s="10">
        <v>0</v>
      </c>
      <c r="D41" s="10">
        <v>0</v>
      </c>
      <c r="E41" s="10">
        <v>0</v>
      </c>
      <c r="F41" s="10">
        <v>0</v>
      </c>
      <c r="G41" s="10">
        <v>2.6700000000000001E-3</v>
      </c>
      <c r="H41" s="10">
        <v>4.0149999999999998E-2</v>
      </c>
      <c r="I41" s="10">
        <v>0.10423</v>
      </c>
      <c r="J41" s="10">
        <v>0</v>
      </c>
      <c r="K41" s="10">
        <v>3.0620000000000001E-2</v>
      </c>
      <c r="L41" s="10">
        <v>8.9899999999999997E-3</v>
      </c>
      <c r="N41" s="20">
        <v>1995</v>
      </c>
      <c r="O41" s="22">
        <v>40.970999999999997</v>
      </c>
      <c r="P41" s="22">
        <v>5.2290000000000001</v>
      </c>
      <c r="Q41" s="22">
        <v>32.412999999999997</v>
      </c>
      <c r="R41" s="22">
        <v>-5.1230000000000002</v>
      </c>
      <c r="S41" s="22">
        <v>-2.3839999999999999</v>
      </c>
      <c r="T41" s="22">
        <v>71.620999999999995</v>
      </c>
      <c r="U41" s="22">
        <v>74.248000000000005</v>
      </c>
      <c r="V41" s="22">
        <v>-3.7149999999999999</v>
      </c>
    </row>
    <row r="42" spans="2:22" x14ac:dyDescent="0.2">
      <c r="B42" s="3">
        <v>1996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1.502E-2</v>
      </c>
      <c r="I42" s="10">
        <v>0.10309</v>
      </c>
      <c r="J42" s="10">
        <v>0</v>
      </c>
      <c r="K42" s="10">
        <v>1.651E-2</v>
      </c>
      <c r="L42" s="10">
        <v>5.0600000000000003E-3</v>
      </c>
      <c r="N42" s="20">
        <v>1996</v>
      </c>
      <c r="O42" s="22">
        <v>44.183999999999997</v>
      </c>
      <c r="P42" s="22">
        <v>0.20699999999999999</v>
      </c>
      <c r="Q42" s="22">
        <v>33.341999999999999</v>
      </c>
      <c r="R42" s="22">
        <v>-3.2469999999999999</v>
      </c>
      <c r="S42" s="22">
        <v>-0.192</v>
      </c>
      <c r="T42" s="22">
        <v>72.546000000000006</v>
      </c>
      <c r="U42" s="22">
        <v>75.206000000000003</v>
      </c>
      <c r="V42" s="22">
        <v>0.42899999999999999</v>
      </c>
    </row>
    <row r="43" spans="2:22" x14ac:dyDescent="0.2">
      <c r="B43" s="3">
        <v>1997</v>
      </c>
      <c r="C43" s="10">
        <v>0</v>
      </c>
      <c r="D43" s="10">
        <v>0</v>
      </c>
      <c r="E43" s="10">
        <v>0</v>
      </c>
      <c r="F43" s="10">
        <v>0</v>
      </c>
      <c r="G43" s="10">
        <v>1.75E-3</v>
      </c>
      <c r="H43" s="10">
        <v>1.847E-2</v>
      </c>
      <c r="I43" s="10">
        <v>9.7350000000000006E-2</v>
      </c>
      <c r="J43" s="10">
        <v>0</v>
      </c>
      <c r="K43" s="10">
        <v>1.8149999999999999E-2</v>
      </c>
      <c r="L43" s="10">
        <v>5.9199999999999999E-3</v>
      </c>
      <c r="N43" s="20">
        <v>1997</v>
      </c>
      <c r="O43" s="22">
        <v>45.712000000000003</v>
      </c>
      <c r="P43" s="22">
        <v>-0.31</v>
      </c>
      <c r="Q43" s="22">
        <v>35.597999999999999</v>
      </c>
      <c r="R43" s="22">
        <v>-2.5059999999999998</v>
      </c>
      <c r="S43" s="22">
        <v>0.54600000000000004</v>
      </c>
      <c r="T43" s="22">
        <v>73.991</v>
      </c>
      <c r="U43" s="22">
        <v>76.703999999999994</v>
      </c>
      <c r="V43" s="22">
        <v>0.184</v>
      </c>
    </row>
    <row r="44" spans="2:22" x14ac:dyDescent="0.2">
      <c r="B44" s="3">
        <v>1998</v>
      </c>
      <c r="C44" s="10">
        <v>0</v>
      </c>
      <c r="D44" s="10">
        <v>0</v>
      </c>
      <c r="E44" s="10">
        <v>0</v>
      </c>
      <c r="F44" s="10">
        <v>1.09E-3</v>
      </c>
      <c r="G44" s="10">
        <v>8.9800000000000001E-3</v>
      </c>
      <c r="H44" s="10">
        <v>3.8710000000000001E-2</v>
      </c>
      <c r="I44" s="10">
        <v>8.1970000000000001E-2</v>
      </c>
      <c r="J44" s="10">
        <v>3.5E-4</v>
      </c>
      <c r="K44" s="10">
        <v>3.0249999999999999E-2</v>
      </c>
      <c r="L44" s="10">
        <v>1.136E-2</v>
      </c>
      <c r="N44" s="20">
        <v>1998</v>
      </c>
      <c r="O44" s="22">
        <v>39.343000000000004</v>
      </c>
      <c r="P44" s="22">
        <v>-0.311</v>
      </c>
      <c r="Q44" s="22">
        <v>34.530999999999999</v>
      </c>
      <c r="R44" s="22">
        <v>-8.875</v>
      </c>
      <c r="S44" s="22">
        <v>-6.4980000000000002</v>
      </c>
      <c r="T44" s="22">
        <v>97.932000000000002</v>
      </c>
      <c r="U44" s="22">
        <v>101.523</v>
      </c>
      <c r="V44" s="22">
        <v>-8.9469999999999992</v>
      </c>
    </row>
    <row r="45" spans="2:22" x14ac:dyDescent="0.2">
      <c r="B45" s="3">
        <v>1999</v>
      </c>
      <c r="C45" s="10">
        <v>0</v>
      </c>
      <c r="D45" s="10">
        <v>0</v>
      </c>
      <c r="E45" s="10">
        <v>0</v>
      </c>
      <c r="F45" s="10">
        <v>9.3000000000000005E-4</v>
      </c>
      <c r="G45" s="10">
        <v>1.5049999999999999E-2</v>
      </c>
      <c r="H45" s="10">
        <v>4.7989999999999998E-2</v>
      </c>
      <c r="I45" s="10">
        <v>0.16067999999999999</v>
      </c>
      <c r="J45" s="10">
        <v>3.2000000000000003E-4</v>
      </c>
      <c r="K45" s="10">
        <v>5.3080000000000002E-2</v>
      </c>
      <c r="L45" s="10">
        <v>2.103E-2</v>
      </c>
      <c r="N45" s="20">
        <v>1999</v>
      </c>
      <c r="O45" s="22">
        <v>45.042999999999999</v>
      </c>
      <c r="P45" s="22">
        <v>-2.0790000000000002</v>
      </c>
      <c r="Q45" s="22">
        <v>30.315000000000001</v>
      </c>
      <c r="R45" s="22">
        <v>-5.9909999999999997</v>
      </c>
      <c r="S45" s="22">
        <v>-2.6549999999999998</v>
      </c>
      <c r="T45" s="22">
        <v>99.349000000000004</v>
      </c>
      <c r="U45" s="22">
        <v>102.992</v>
      </c>
      <c r="V45" s="22">
        <v>0.254</v>
      </c>
    </row>
    <row r="46" spans="2:22" x14ac:dyDescent="0.2">
      <c r="B46" s="3">
        <v>2000</v>
      </c>
      <c r="C46" s="10">
        <v>0</v>
      </c>
      <c r="D46" s="10">
        <v>0</v>
      </c>
      <c r="E46" s="10">
        <v>0</v>
      </c>
      <c r="F46" s="10">
        <v>3.5000000000000001E-3</v>
      </c>
      <c r="G46" s="10">
        <v>1.111E-2</v>
      </c>
      <c r="H46" s="10">
        <v>5.7439999999999998E-2</v>
      </c>
      <c r="I46" s="10">
        <v>0.17491999999999999</v>
      </c>
      <c r="J46" s="10">
        <v>1.2700000000000001E-3</v>
      </c>
      <c r="K46" s="10">
        <v>5.9709999999999999E-2</v>
      </c>
      <c r="L46" s="10">
        <v>2.4160000000000001E-2</v>
      </c>
      <c r="N46" s="20">
        <v>2000</v>
      </c>
      <c r="O46" s="22">
        <v>49.973999999999997</v>
      </c>
      <c r="P46" s="22">
        <v>-1.0620000000000001</v>
      </c>
      <c r="Q46" s="22">
        <v>33.133000000000003</v>
      </c>
      <c r="R46" s="22">
        <v>3.1840000000000002</v>
      </c>
      <c r="S46" s="22">
        <v>6.9130000000000003</v>
      </c>
      <c r="T46" s="22">
        <v>83.635000000000005</v>
      </c>
      <c r="U46" s="22">
        <v>86.701999999999998</v>
      </c>
      <c r="V46" s="22">
        <v>7.5540000000000003</v>
      </c>
    </row>
    <row r="47" spans="2:22" x14ac:dyDescent="0.2">
      <c r="B47" s="3">
        <v>2001</v>
      </c>
      <c r="C47" s="10">
        <v>0</v>
      </c>
      <c r="D47" s="10">
        <v>0</v>
      </c>
      <c r="E47" s="10">
        <v>1.56E-3</v>
      </c>
      <c r="F47" s="10">
        <v>1.8E-3</v>
      </c>
      <c r="G47" s="10">
        <v>1.159E-2</v>
      </c>
      <c r="H47" s="10">
        <v>9.2319999999999999E-2</v>
      </c>
      <c r="I47" s="10">
        <v>0.29021999999999998</v>
      </c>
      <c r="J47" s="10">
        <v>1.24E-3</v>
      </c>
      <c r="K47" s="10">
        <v>9.4839999999999994E-2</v>
      </c>
      <c r="L47" s="10">
        <v>3.6240000000000001E-2</v>
      </c>
      <c r="N47" s="20">
        <v>2001</v>
      </c>
      <c r="O47" s="22">
        <v>49.152000000000001</v>
      </c>
      <c r="P47" s="22">
        <v>-1.288</v>
      </c>
      <c r="Q47" s="22">
        <v>36.939</v>
      </c>
      <c r="R47" s="22">
        <v>-3.9060000000000001</v>
      </c>
      <c r="S47" s="22">
        <v>-0.17</v>
      </c>
      <c r="T47" s="22">
        <v>91.301000000000002</v>
      </c>
      <c r="U47" s="22">
        <v>93.147999999999996</v>
      </c>
      <c r="V47" s="22">
        <v>5.08</v>
      </c>
    </row>
    <row r="48" spans="2:22" x14ac:dyDescent="0.2">
      <c r="B48" s="3">
        <v>2002</v>
      </c>
      <c r="C48" s="10">
        <v>0</v>
      </c>
      <c r="D48" s="10">
        <v>0</v>
      </c>
      <c r="E48" s="10">
        <v>1.6100000000000001E-3</v>
      </c>
      <c r="F48" s="10">
        <v>1.0149999999999999E-2</v>
      </c>
      <c r="G48" s="10">
        <v>1.2149999999999999E-2</v>
      </c>
      <c r="H48" s="10">
        <v>4.5670000000000002E-2</v>
      </c>
      <c r="I48" s="10">
        <v>0.26707999999999998</v>
      </c>
      <c r="J48" s="10">
        <v>4.3200000000000001E-3</v>
      </c>
      <c r="K48" s="10">
        <v>7.5329999999999994E-2</v>
      </c>
      <c r="L48" s="10">
        <v>2.8840000000000001E-2</v>
      </c>
      <c r="N48" s="20">
        <v>2002</v>
      </c>
      <c r="O48" s="22">
        <v>52.079000000000001</v>
      </c>
      <c r="P48" s="22">
        <v>0.109</v>
      </c>
      <c r="Q48" s="22">
        <v>35.863999999999997</v>
      </c>
      <c r="R48" s="22">
        <v>-5.907</v>
      </c>
      <c r="S48" s="22">
        <v>-2.6720000000000002</v>
      </c>
      <c r="T48" s="22">
        <v>93.578999999999994</v>
      </c>
      <c r="U48" s="22">
        <v>96.352000000000004</v>
      </c>
      <c r="V48" s="22">
        <v>6.2619999999999996</v>
      </c>
    </row>
    <row r="49" spans="2:22" x14ac:dyDescent="0.2">
      <c r="B49" s="3">
        <v>2003</v>
      </c>
      <c r="C49" s="10">
        <v>0</v>
      </c>
      <c r="D49" s="10">
        <v>0</v>
      </c>
      <c r="E49" s="10">
        <v>0</v>
      </c>
      <c r="F49" s="10">
        <v>0</v>
      </c>
      <c r="G49" s="10">
        <v>8.77E-3</v>
      </c>
      <c r="H49" s="10">
        <v>2.4500000000000001E-2</v>
      </c>
      <c r="I49" s="10">
        <v>0.19894000000000001</v>
      </c>
      <c r="J49" s="10">
        <v>0</v>
      </c>
      <c r="K49" s="10">
        <v>5.092E-2</v>
      </c>
      <c r="L49" s="10">
        <v>1.7680000000000001E-2</v>
      </c>
      <c r="N49" s="20">
        <v>2003</v>
      </c>
      <c r="O49" s="22">
        <v>53.286000000000001</v>
      </c>
      <c r="P49" s="22">
        <v>0.54300000000000004</v>
      </c>
      <c r="Q49" s="22">
        <v>33.116</v>
      </c>
      <c r="R49" s="22">
        <v>1.1990000000000001</v>
      </c>
      <c r="S49" s="22">
        <v>4.0780000000000003</v>
      </c>
      <c r="T49" s="22">
        <v>78.706000000000003</v>
      </c>
      <c r="U49" s="22">
        <v>81.563999999999993</v>
      </c>
      <c r="V49" s="22">
        <v>12.997</v>
      </c>
    </row>
    <row r="50" spans="2:22" x14ac:dyDescent="0.2">
      <c r="B50" s="3">
        <v>2004</v>
      </c>
      <c r="C50" s="10">
        <v>0</v>
      </c>
      <c r="D50" s="10">
        <v>0</v>
      </c>
      <c r="E50" s="10">
        <v>0</v>
      </c>
      <c r="F50" s="10">
        <v>0</v>
      </c>
      <c r="G50" s="10">
        <v>3.7799999999999999E-3</v>
      </c>
      <c r="H50" s="10">
        <v>7.9699999999999997E-3</v>
      </c>
      <c r="I50" s="10">
        <v>0.11773</v>
      </c>
      <c r="J50" s="24">
        <v>0</v>
      </c>
      <c r="K50" s="10">
        <v>2.418E-2</v>
      </c>
      <c r="L50" s="10">
        <v>8.3499999999999998E-3</v>
      </c>
      <c r="N50" s="20">
        <v>2004</v>
      </c>
      <c r="O50" s="22">
        <v>59.177</v>
      </c>
      <c r="P50" s="22">
        <v>0.32400000000000001</v>
      </c>
      <c r="Q50" s="22">
        <v>31.094000000000001</v>
      </c>
      <c r="R50" s="22">
        <v>9.718</v>
      </c>
      <c r="S50" s="22">
        <v>11.654999999999999</v>
      </c>
      <c r="T50" s="22">
        <v>56.683999999999997</v>
      </c>
      <c r="U50" s="22">
        <v>62.927999999999997</v>
      </c>
      <c r="V50" s="22">
        <v>20.068999999999999</v>
      </c>
    </row>
    <row r="51" spans="2:22" x14ac:dyDescent="0.2">
      <c r="B51" s="3">
        <v>2005</v>
      </c>
      <c r="C51" s="10">
        <v>0</v>
      </c>
      <c r="D51" s="10">
        <v>0</v>
      </c>
      <c r="E51" s="10">
        <v>0</v>
      </c>
      <c r="F51" s="10">
        <v>1.6299999999999999E-3</v>
      </c>
      <c r="G51" s="10">
        <v>0</v>
      </c>
      <c r="H51" s="10">
        <v>8.1499999999999993E-3</v>
      </c>
      <c r="I51" s="10">
        <v>7.2720000000000007E-2</v>
      </c>
      <c r="J51" s="24">
        <v>6.0999999999999997E-4</v>
      </c>
      <c r="K51" s="10">
        <v>1.719E-2</v>
      </c>
      <c r="L51" s="10">
        <v>6.4700000000000001E-3</v>
      </c>
      <c r="N51" s="20">
        <v>2005</v>
      </c>
      <c r="O51" s="22">
        <v>71.100999999999999</v>
      </c>
      <c r="P51" s="22">
        <v>0.53800000000000003</v>
      </c>
      <c r="Q51" s="22">
        <v>28.151</v>
      </c>
      <c r="R51" s="22">
        <v>17.986999999999998</v>
      </c>
      <c r="S51" s="22">
        <v>19.187000000000001</v>
      </c>
      <c r="T51" s="22">
        <v>22.047999999999998</v>
      </c>
      <c r="U51" s="22">
        <v>37.341999999999999</v>
      </c>
      <c r="V51" s="22">
        <v>27.449000000000002</v>
      </c>
    </row>
    <row r="52" spans="2:22" x14ac:dyDescent="0.2">
      <c r="B52" s="3">
        <v>2006</v>
      </c>
      <c r="C52" s="10">
        <v>0</v>
      </c>
      <c r="D52" s="10">
        <v>0</v>
      </c>
      <c r="E52" s="10">
        <v>0</v>
      </c>
      <c r="F52" s="10">
        <v>0</v>
      </c>
      <c r="G52" s="10">
        <v>1.9300000000000001E-3</v>
      </c>
      <c r="H52" s="10">
        <v>1.0670000000000001E-2</v>
      </c>
      <c r="I52" s="10">
        <v>5.91E-2</v>
      </c>
      <c r="J52" s="24">
        <v>0</v>
      </c>
      <c r="K52" s="10">
        <v>1.6660000000000001E-2</v>
      </c>
      <c r="L52" s="10">
        <v>5.94E-3</v>
      </c>
      <c r="N52" s="20">
        <v>2006</v>
      </c>
      <c r="O52" s="22">
        <v>79.33</v>
      </c>
      <c r="P52" s="22">
        <v>1.927</v>
      </c>
      <c r="Q52" s="22">
        <v>27.268999999999998</v>
      </c>
      <c r="R52" s="22">
        <v>20.823</v>
      </c>
      <c r="S52" s="22">
        <v>21.756</v>
      </c>
      <c r="T52" s="22">
        <v>5.702</v>
      </c>
      <c r="U52" s="22">
        <v>25.831</v>
      </c>
      <c r="V52" s="22">
        <v>26.337</v>
      </c>
    </row>
    <row r="53" spans="2:22" x14ac:dyDescent="0.2">
      <c r="B53" s="3">
        <v>2007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4.6449999999999998E-2</v>
      </c>
      <c r="J53" s="24">
        <v>0</v>
      </c>
      <c r="K53" s="10">
        <v>8.9599999999999992E-3</v>
      </c>
      <c r="L53" s="10">
        <v>3.31E-3</v>
      </c>
      <c r="N53" s="20">
        <v>2007</v>
      </c>
      <c r="O53" s="22">
        <v>86.021000000000001</v>
      </c>
      <c r="P53" s="22">
        <v>5.0419999999999998</v>
      </c>
      <c r="Q53" s="22">
        <v>29.452999999999999</v>
      </c>
      <c r="R53" s="22">
        <v>11.784000000000001</v>
      </c>
      <c r="S53" s="22">
        <v>11.532999999999999</v>
      </c>
      <c r="T53" s="22">
        <v>-10.881</v>
      </c>
      <c r="U53" s="22">
        <v>17.114999999999998</v>
      </c>
      <c r="V53" s="22">
        <v>22.472000000000001</v>
      </c>
    </row>
    <row r="54" spans="2:22" x14ac:dyDescent="0.2">
      <c r="B54" s="3">
        <v>2008</v>
      </c>
      <c r="C54" s="10">
        <v>0</v>
      </c>
      <c r="D54" s="10">
        <v>5.0800000000000003E-3</v>
      </c>
      <c r="E54" s="10">
        <v>4.0600000000000002E-3</v>
      </c>
      <c r="F54" s="10">
        <v>1.025E-2</v>
      </c>
      <c r="G54" s="10">
        <v>2.3390000000000001E-2</v>
      </c>
      <c r="H54" s="10">
        <v>4.002E-2</v>
      </c>
      <c r="I54" s="10">
        <v>0.10591</v>
      </c>
      <c r="J54" s="24">
        <v>6.28E-3</v>
      </c>
      <c r="K54" s="10">
        <v>5.416E-2</v>
      </c>
      <c r="L54" s="10">
        <v>2.5080000000000002E-2</v>
      </c>
      <c r="N54" s="20">
        <v>2008</v>
      </c>
      <c r="O54" s="22">
        <v>101.238</v>
      </c>
      <c r="P54" s="22">
        <v>6.1</v>
      </c>
      <c r="Q54" s="22">
        <v>26.68</v>
      </c>
      <c r="R54" s="22">
        <v>29.802</v>
      </c>
      <c r="S54" s="22">
        <v>29.228999999999999</v>
      </c>
      <c r="T54" s="22">
        <v>-38.393999999999998</v>
      </c>
      <c r="U54" s="22">
        <v>12.055999999999999</v>
      </c>
      <c r="V54" s="22">
        <v>25.456</v>
      </c>
    </row>
    <row r="55" spans="2:22" x14ac:dyDescent="0.2">
      <c r="B55" s="3">
        <v>2009</v>
      </c>
      <c r="C55" s="10">
        <v>0</v>
      </c>
      <c r="D55" s="10">
        <v>0</v>
      </c>
      <c r="E55" s="10">
        <v>2.3999999999999998E-3</v>
      </c>
      <c r="F55" s="10">
        <v>9.2999999999999992E-3</v>
      </c>
      <c r="G55" s="10">
        <v>1.771E-2</v>
      </c>
      <c r="H55" s="10">
        <v>6.9830000000000003E-2</v>
      </c>
      <c r="I55" s="10">
        <v>0.26175999999999999</v>
      </c>
      <c r="J55" s="24">
        <v>4.2900000000000004E-3</v>
      </c>
      <c r="K55" s="10">
        <v>0.12096999999999999</v>
      </c>
      <c r="L55" s="10">
        <v>5.015E-2</v>
      </c>
      <c r="N55" s="20">
        <v>2009</v>
      </c>
      <c r="O55" s="22">
        <v>85.331000000000003</v>
      </c>
      <c r="P55" s="22">
        <v>4.1470000000000002</v>
      </c>
      <c r="Q55" s="22">
        <v>37.066000000000003</v>
      </c>
      <c r="R55" s="22">
        <v>-5.383</v>
      </c>
      <c r="S55" s="22">
        <v>-5.22</v>
      </c>
      <c r="T55" s="22">
        <v>-39.305</v>
      </c>
      <c r="U55" s="22">
        <v>13.989000000000001</v>
      </c>
      <c r="V55" s="22">
        <v>4.883</v>
      </c>
    </row>
    <row r="56" spans="2:22" x14ac:dyDescent="0.2">
      <c r="B56" s="3">
        <v>2010</v>
      </c>
      <c r="C56" s="10">
        <v>0</v>
      </c>
      <c r="D56" s="10">
        <v>0</v>
      </c>
      <c r="E56" s="10">
        <v>1.6999999999999999E-3</v>
      </c>
      <c r="F56" s="10">
        <v>7.5000000000000002E-4</v>
      </c>
      <c r="G56" s="10">
        <v>0</v>
      </c>
      <c r="H56" s="10">
        <v>3.8700000000000002E-3</v>
      </c>
      <c r="I56" s="10">
        <v>8.6819999999999994E-2</v>
      </c>
      <c r="J56" s="24">
        <v>9.6000000000000002E-4</v>
      </c>
      <c r="K56" s="10">
        <v>3.1E-2</v>
      </c>
      <c r="L56" s="10">
        <v>1.269E-2</v>
      </c>
      <c r="N56" s="20">
        <v>2010</v>
      </c>
      <c r="O56" s="22">
        <v>100</v>
      </c>
      <c r="P56" s="22">
        <v>3.8010000000000002</v>
      </c>
      <c r="Q56" s="22">
        <v>33.965000000000003</v>
      </c>
      <c r="R56" s="22">
        <v>3.5750000000000002</v>
      </c>
      <c r="S56" s="22">
        <v>3.98</v>
      </c>
      <c r="T56" s="22">
        <v>-37.786000000000001</v>
      </c>
      <c r="U56" s="22">
        <v>8.4480000000000004</v>
      </c>
      <c r="V56" s="22">
        <v>12.670999999999999</v>
      </c>
    </row>
    <row r="57" spans="2:22" x14ac:dyDescent="0.2">
      <c r="B57" s="3">
        <v>2011</v>
      </c>
      <c r="C57" s="10">
        <v>0</v>
      </c>
      <c r="D57" s="10">
        <v>1.9300000000000001E-3</v>
      </c>
      <c r="E57" s="10">
        <v>0</v>
      </c>
      <c r="F57" s="10">
        <v>4.28E-3</v>
      </c>
      <c r="G57" s="10">
        <v>1.57E-3</v>
      </c>
      <c r="H57" s="10">
        <v>3.49E-3</v>
      </c>
      <c r="I57" s="10">
        <v>5.5939999999999997E-2</v>
      </c>
      <c r="J57" s="24">
        <v>2.1800000000000001E-3</v>
      </c>
      <c r="K57" s="10">
        <v>1.9259999999999999E-2</v>
      </c>
      <c r="L57" s="10">
        <v>9.0399999999999994E-3</v>
      </c>
      <c r="N57" s="20">
        <v>2011</v>
      </c>
      <c r="O57" s="22">
        <v>115.529</v>
      </c>
      <c r="P57" s="22">
        <v>3.7490000000000001</v>
      </c>
      <c r="Q57" s="22">
        <v>33.271999999999998</v>
      </c>
      <c r="R57" s="22">
        <v>11.135</v>
      </c>
      <c r="S57" s="22">
        <v>11.25</v>
      </c>
      <c r="T57" s="22">
        <v>-37.655999999999999</v>
      </c>
      <c r="U57" s="22">
        <v>5.383</v>
      </c>
      <c r="V57" s="22">
        <v>23.625</v>
      </c>
    </row>
    <row r="58" spans="2:22" x14ac:dyDescent="0.2">
      <c r="B58" s="3">
        <v>2012</v>
      </c>
      <c r="C58" s="10">
        <v>0</v>
      </c>
      <c r="D58" s="10">
        <v>0</v>
      </c>
      <c r="E58" s="10">
        <v>0</v>
      </c>
      <c r="F58" s="10">
        <v>7.2000000000000005E-4</v>
      </c>
      <c r="G58" s="10">
        <v>1.42E-3</v>
      </c>
      <c r="H58" s="10">
        <v>5.4999999999999997E-3</v>
      </c>
      <c r="I58" s="10">
        <v>7.6780000000000001E-2</v>
      </c>
      <c r="J58" s="24">
        <v>3.3E-4</v>
      </c>
      <c r="K58" s="10">
        <v>2.75E-2</v>
      </c>
      <c r="L58" s="10">
        <v>1.231E-2</v>
      </c>
      <c r="N58" s="20">
        <v>2012</v>
      </c>
      <c r="O58" s="22">
        <v>120.16800000000001</v>
      </c>
      <c r="P58" s="22">
        <v>2.8570000000000002</v>
      </c>
      <c r="Q58" s="22">
        <v>33.229999999999997</v>
      </c>
      <c r="R58" s="22">
        <v>11.968</v>
      </c>
      <c r="S58" s="22">
        <v>11.829000000000001</v>
      </c>
      <c r="T58" s="22">
        <v>-47.180999999999997</v>
      </c>
      <c r="U58" s="22">
        <v>3.58</v>
      </c>
      <c r="V58" s="22">
        <v>22.387</v>
      </c>
    </row>
    <row r="59" spans="2:22" x14ac:dyDescent="0.2">
      <c r="B59" s="3">
        <v>2013</v>
      </c>
      <c r="C59" s="10">
        <v>0</v>
      </c>
      <c r="D59" s="10">
        <v>0</v>
      </c>
      <c r="E59" s="10">
        <v>8.9999999999999998E-4</v>
      </c>
      <c r="F59" s="10">
        <v>1.2099999999999999E-3</v>
      </c>
      <c r="G59" s="10">
        <v>5.79E-3</v>
      </c>
      <c r="H59" s="10">
        <v>8.0800000000000004E-3</v>
      </c>
      <c r="I59" s="10">
        <v>6.2820000000000001E-2</v>
      </c>
      <c r="J59" s="24">
        <v>9.6000000000000002E-4</v>
      </c>
      <c r="K59" s="10">
        <v>2.6169999999999999E-2</v>
      </c>
      <c r="L59" s="10">
        <v>1.235E-2</v>
      </c>
      <c r="N59" s="20">
        <v>2013</v>
      </c>
      <c r="O59" s="22">
        <v>118.73699999999999</v>
      </c>
      <c r="P59" s="22">
        <v>3.5059999999999998</v>
      </c>
      <c r="Q59" s="22">
        <v>35.527000000000001</v>
      </c>
      <c r="R59" s="22">
        <v>5.7729999999999997</v>
      </c>
      <c r="S59" s="22">
        <v>5.4009999999999998</v>
      </c>
      <c r="T59" s="22">
        <v>-51.722999999999999</v>
      </c>
      <c r="U59" s="22">
        <v>2.1480000000000001</v>
      </c>
      <c r="V59" s="22">
        <v>18.14</v>
      </c>
    </row>
    <row r="60" spans="2:22" x14ac:dyDescent="0.2">
      <c r="B60" s="3">
        <v>2014</v>
      </c>
      <c r="C60" s="10">
        <v>0</v>
      </c>
      <c r="D60" s="10">
        <v>0</v>
      </c>
      <c r="E60" s="10">
        <v>8.8000000000000003E-4</v>
      </c>
      <c r="F60" s="10">
        <v>5.9999999999999995E-4</v>
      </c>
      <c r="G60" s="10">
        <v>1.42E-3</v>
      </c>
      <c r="H60" s="10">
        <v>4.0099999999999997E-3</v>
      </c>
      <c r="I60" s="10">
        <v>4.4679999999999997E-2</v>
      </c>
      <c r="J60" s="24">
        <v>6.4000000000000005E-4</v>
      </c>
      <c r="K60" s="10">
        <v>1.8720000000000001E-2</v>
      </c>
      <c r="L60" s="10">
        <v>9.11E-3</v>
      </c>
      <c r="N60" s="20">
        <v>2014</v>
      </c>
      <c r="O60" s="22">
        <v>116.012</v>
      </c>
      <c r="P60" s="22">
        <v>2.6850000000000001</v>
      </c>
      <c r="Q60" s="22">
        <v>40.212000000000003</v>
      </c>
      <c r="R60" s="22">
        <v>-3.39</v>
      </c>
      <c r="S60" s="22">
        <v>-4.0279999999999996</v>
      </c>
      <c r="T60" s="22">
        <v>-48.243000000000002</v>
      </c>
      <c r="U60" s="22">
        <v>1.5620000000000001</v>
      </c>
      <c r="V60" s="22">
        <v>9.7520000000000007</v>
      </c>
    </row>
    <row r="61" spans="2:22" x14ac:dyDescent="0.2">
      <c r="B61" s="3">
        <v>2015</v>
      </c>
      <c r="C61" s="10">
        <v>0</v>
      </c>
      <c r="D61" s="10">
        <v>0</v>
      </c>
      <c r="E61" s="10">
        <v>0</v>
      </c>
      <c r="F61" s="10">
        <v>0</v>
      </c>
      <c r="G61" s="10">
        <v>2.9299999999999999E-3</v>
      </c>
      <c r="H61" s="10">
        <v>2.2849999999999999E-2</v>
      </c>
      <c r="I61" s="10">
        <v>6.2719999999999998E-2</v>
      </c>
      <c r="J61" s="24">
        <v>0</v>
      </c>
      <c r="K61" s="10">
        <v>3.474E-2</v>
      </c>
      <c r="L61" s="10">
        <v>1.6619999999999999E-2</v>
      </c>
      <c r="N61" s="20">
        <v>2015</v>
      </c>
      <c r="O61" s="22">
        <v>96.025999999999996</v>
      </c>
      <c r="P61" s="22">
        <v>2.1890000000000001</v>
      </c>
      <c r="Q61" s="22">
        <v>40.874000000000002</v>
      </c>
      <c r="R61" s="22">
        <v>-15.82</v>
      </c>
      <c r="S61" s="22">
        <v>-17.776</v>
      </c>
      <c r="T61" s="22">
        <v>-37.991</v>
      </c>
      <c r="U61" s="22">
        <v>4.9630000000000001</v>
      </c>
      <c r="V61" s="22">
        <v>-8.7029999999999994</v>
      </c>
    </row>
    <row r="62" spans="2:22" x14ac:dyDescent="0.2">
      <c r="B62" s="17">
        <v>2016</v>
      </c>
      <c r="C62" s="289" t="s">
        <v>135</v>
      </c>
      <c r="D62" s="289"/>
      <c r="E62" s="289"/>
      <c r="F62" s="289"/>
      <c r="G62" s="289"/>
      <c r="H62" s="289"/>
      <c r="I62" s="289"/>
      <c r="J62" s="289"/>
      <c r="K62" s="289"/>
      <c r="L62" s="289"/>
      <c r="N62" s="20">
        <v>2016</v>
      </c>
      <c r="O62" s="22">
        <v>92.938000000000002</v>
      </c>
      <c r="P62" s="22">
        <v>3.51</v>
      </c>
      <c r="Q62" s="22">
        <v>38.914999999999999</v>
      </c>
      <c r="R62" s="22">
        <v>-16.902000000000001</v>
      </c>
      <c r="S62" s="22">
        <v>-20.54</v>
      </c>
      <c r="T62" s="22">
        <v>-18.917999999999999</v>
      </c>
      <c r="U62" s="22">
        <v>12.359</v>
      </c>
      <c r="V62" s="22">
        <v>-3.895</v>
      </c>
    </row>
    <row r="63" spans="2:22" x14ac:dyDescent="0.2">
      <c r="B63" s="17">
        <v>2017</v>
      </c>
      <c r="C63" s="290"/>
      <c r="D63" s="290"/>
      <c r="E63" s="290"/>
      <c r="F63" s="290"/>
      <c r="G63" s="290"/>
      <c r="H63" s="290"/>
      <c r="I63" s="290"/>
      <c r="J63" s="290"/>
      <c r="K63" s="290"/>
      <c r="L63" s="290"/>
      <c r="N63" s="20">
        <v>2017</v>
      </c>
      <c r="O63" s="22">
        <v>102.40300000000001</v>
      </c>
      <c r="P63" s="22">
        <v>3.8039999999999998</v>
      </c>
      <c r="Q63" s="22">
        <v>35.883000000000003</v>
      </c>
      <c r="R63" s="22">
        <v>-9.8460000000000001</v>
      </c>
      <c r="S63" s="22">
        <v>-11.335000000000001</v>
      </c>
      <c r="T63" s="22">
        <v>-7.26</v>
      </c>
      <c r="U63" s="22">
        <v>15.552</v>
      </c>
      <c r="V63" s="22">
        <v>1.524</v>
      </c>
    </row>
    <row r="64" spans="2:22" x14ac:dyDescent="0.2">
      <c r="B64" s="17">
        <v>2018</v>
      </c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N64" s="20">
        <v>2018</v>
      </c>
      <c r="O64" s="22">
        <v>105.753</v>
      </c>
      <c r="P64" s="22">
        <v>5.1369999999999996</v>
      </c>
      <c r="Q64" s="22">
        <v>35.960999999999999</v>
      </c>
      <c r="R64" s="22">
        <v>-6.3949999999999996</v>
      </c>
      <c r="S64" s="22">
        <v>-7.7359999999999998</v>
      </c>
      <c r="T64" s="22">
        <v>-0.54300000000000004</v>
      </c>
      <c r="U64" s="22">
        <v>19.079999999999998</v>
      </c>
      <c r="V64" s="22">
        <v>2.044</v>
      </c>
    </row>
    <row r="65" spans="2:22" x14ac:dyDescent="0.2">
      <c r="B65" s="17">
        <v>2019</v>
      </c>
      <c r="C65" s="290"/>
      <c r="D65" s="290"/>
      <c r="E65" s="290"/>
      <c r="F65" s="290"/>
      <c r="G65" s="290"/>
      <c r="H65" s="290"/>
      <c r="I65" s="290"/>
      <c r="J65" s="290"/>
      <c r="K65" s="290"/>
      <c r="L65" s="290"/>
      <c r="N65" s="20">
        <v>2019</v>
      </c>
      <c r="O65" s="22">
        <v>106.89400000000001</v>
      </c>
      <c r="P65" s="22">
        <v>1.855</v>
      </c>
      <c r="Q65" s="22">
        <v>36.36</v>
      </c>
      <c r="R65" s="22">
        <v>-4.5999999999999996</v>
      </c>
      <c r="S65" s="22">
        <v>-5.7329999999999997</v>
      </c>
      <c r="T65" s="22">
        <v>4.0730000000000004</v>
      </c>
      <c r="U65" s="22">
        <v>22.632000000000001</v>
      </c>
      <c r="V65" s="22">
        <v>1.946</v>
      </c>
    </row>
    <row r="66" spans="2:22" x14ac:dyDescent="0.2">
      <c r="B66" s="17">
        <v>2020</v>
      </c>
      <c r="C66" s="290"/>
      <c r="D66" s="290"/>
      <c r="E66" s="290"/>
      <c r="F66" s="290"/>
      <c r="G66" s="290"/>
      <c r="H66" s="290"/>
      <c r="I66" s="290"/>
      <c r="J66" s="290"/>
      <c r="K66" s="290"/>
      <c r="L66" s="290"/>
      <c r="N66" s="20">
        <v>2020</v>
      </c>
      <c r="O66" s="22">
        <v>108.6</v>
      </c>
      <c r="P66" s="22">
        <v>2.2360000000000002</v>
      </c>
      <c r="Q66" s="22">
        <v>36.575000000000003</v>
      </c>
      <c r="R66" s="22">
        <v>-1.3620000000000001</v>
      </c>
      <c r="S66" s="22">
        <v>-2.3279999999999998</v>
      </c>
      <c r="T66" s="22">
        <v>5.3150000000000004</v>
      </c>
      <c r="U66" s="22">
        <v>24.346</v>
      </c>
      <c r="V66" s="22">
        <v>1.431</v>
      </c>
    </row>
    <row r="67" spans="2:22" x14ac:dyDescent="0.2">
      <c r="B67" s="17">
        <v>2021</v>
      </c>
      <c r="C67" s="290"/>
      <c r="D67" s="290"/>
      <c r="E67" s="290"/>
      <c r="F67" s="290"/>
      <c r="G67" s="290"/>
      <c r="H67" s="290"/>
      <c r="I67" s="290"/>
      <c r="J67" s="290"/>
      <c r="K67" s="290"/>
      <c r="L67" s="290"/>
      <c r="N67" s="20">
        <v>2021</v>
      </c>
      <c r="O67" s="22">
        <v>110.729</v>
      </c>
      <c r="P67" s="22">
        <v>2.048</v>
      </c>
      <c r="Q67" s="22">
        <v>36.366</v>
      </c>
      <c r="R67" s="22">
        <v>-1.34</v>
      </c>
      <c r="S67" s="22">
        <v>-2.1150000000000002</v>
      </c>
      <c r="T67" s="22">
        <v>6.4550000000000001</v>
      </c>
      <c r="U67" s="22">
        <v>25.253</v>
      </c>
      <c r="V67" s="22">
        <v>1.048</v>
      </c>
    </row>
    <row r="68" spans="2:22" x14ac:dyDescent="0.2">
      <c r="B68" s="17">
        <v>2022</v>
      </c>
      <c r="C68" s="290"/>
      <c r="D68" s="290"/>
      <c r="E68" s="290"/>
      <c r="F68" s="290"/>
      <c r="G68" s="290"/>
      <c r="H68" s="290"/>
      <c r="I68" s="290"/>
      <c r="J68" s="290"/>
      <c r="K68" s="290"/>
      <c r="L68" s="290"/>
      <c r="N68" s="20">
        <v>2022</v>
      </c>
      <c r="O68" s="22">
        <v>111.16</v>
      </c>
      <c r="P68" s="22">
        <v>2.0169999999999999</v>
      </c>
      <c r="Q68" s="22">
        <v>36.244999999999997</v>
      </c>
      <c r="R68" s="22">
        <v>-1.0980000000000001</v>
      </c>
      <c r="S68" s="22">
        <v>-1.8360000000000001</v>
      </c>
      <c r="T68" s="22">
        <v>7.3949999999999996</v>
      </c>
      <c r="U68" s="22">
        <v>26.420999999999999</v>
      </c>
      <c r="V68" s="22">
        <v>0.999</v>
      </c>
    </row>
    <row r="69" spans="2:22" ht="28.5" x14ac:dyDescent="0.2">
      <c r="N69" s="18" t="s">
        <v>144</v>
      </c>
      <c r="O69" s="20">
        <v>2016</v>
      </c>
      <c r="P69" s="20">
        <v>2016</v>
      </c>
      <c r="Q69" s="20">
        <v>2016</v>
      </c>
      <c r="R69" s="20">
        <v>2016</v>
      </c>
      <c r="S69" s="20">
        <v>2016</v>
      </c>
      <c r="T69" s="20">
        <v>2016</v>
      </c>
      <c r="U69" s="20">
        <v>2016</v>
      </c>
      <c r="V69" s="20">
        <v>2016</v>
      </c>
    </row>
    <row r="70" spans="2:22" x14ac:dyDescent="0.2">
      <c r="D70" s="16" t="s">
        <v>130</v>
      </c>
      <c r="E70" s="2">
        <v>2004</v>
      </c>
      <c r="G70" s="16" t="s">
        <v>131</v>
      </c>
      <c r="H70" s="2">
        <f>B61</f>
        <v>2015</v>
      </c>
    </row>
    <row r="71" spans="2:22" ht="57" x14ac:dyDescent="0.2">
      <c r="B71" s="3" t="s">
        <v>123</v>
      </c>
      <c r="C71" s="3" t="s">
        <v>33</v>
      </c>
      <c r="D71" s="3" t="s">
        <v>90</v>
      </c>
      <c r="E71" s="3" t="s">
        <v>26</v>
      </c>
      <c r="F71" s="3" t="s">
        <v>91</v>
      </c>
      <c r="G71" s="3" t="s">
        <v>92</v>
      </c>
      <c r="H71" s="3" t="s">
        <v>27</v>
      </c>
      <c r="I71" s="3" t="s">
        <v>93</v>
      </c>
      <c r="J71" s="3" t="s">
        <v>95</v>
      </c>
      <c r="K71" s="3" t="s">
        <v>96</v>
      </c>
      <c r="L71" s="3" t="s">
        <v>129</v>
      </c>
      <c r="N71" s="18" t="s">
        <v>123</v>
      </c>
      <c r="O71" s="18" t="s">
        <v>136</v>
      </c>
      <c r="P71" s="18" t="s">
        <v>137</v>
      </c>
      <c r="Q71" s="18" t="s">
        <v>138</v>
      </c>
      <c r="R71" s="18" t="s">
        <v>139</v>
      </c>
      <c r="S71" s="18" t="s">
        <v>140</v>
      </c>
      <c r="T71" s="18" t="s">
        <v>141</v>
      </c>
      <c r="U71" s="18" t="s">
        <v>142</v>
      </c>
      <c r="V71" s="18" t="s">
        <v>143</v>
      </c>
    </row>
    <row r="72" spans="2:22" x14ac:dyDescent="0.2">
      <c r="B72" s="3" t="s">
        <v>124</v>
      </c>
      <c r="C72" s="2"/>
      <c r="D72" s="2"/>
      <c r="E72" s="2"/>
      <c r="F72" s="2"/>
      <c r="G72" s="2"/>
      <c r="H72" s="2"/>
      <c r="I72" s="2"/>
      <c r="J72" s="10">
        <f ca="1">AVERAGE(OFFSET(INDEX($B$6:$B$61,MATCH($E$70,$B$6:$B$61,0),0),0,8,57-MATCH($E$70,$B$6:$B$61,0),1))</f>
        <v>1.3541666666666669E-3</v>
      </c>
      <c r="K72" s="10">
        <f ca="1">AVERAGE(OFFSET(INDEX($B$6:$B$61,MATCH($E$70,$B$6:$B$61,0),0),0,9,57-MATCH($E$70,$B$6:$B$61,0),1))</f>
        <v>3.329250000000001E-2</v>
      </c>
      <c r="L72" s="10">
        <f ca="1">AVERAGE(OFFSET(INDEX($B$6:$B$61,MATCH($E$70,$B$6:$B$61,0),0),0,10,57-MATCH($E$70,$B$6:$B$61,0),1))</f>
        <v>1.4284999999999999E-2</v>
      </c>
      <c r="N72" s="3" t="s">
        <v>124</v>
      </c>
      <c r="O72" s="19">
        <f ca="1">AVERAGE(OFFSET(INDEX($N$6:$N$68,MATCH($E$70,$N$6:$N$68,0),0),0,1,57-MATCH($E$70,$N$6:$N$68,0),1))</f>
        <v>95.722500000000011</v>
      </c>
      <c r="P72" s="19">
        <f ca="1">AVERAGE(OFFSET(INDEX($N$6:$N$68,MATCH($E$70,$N$6:$N$68,0),0),0,2,57-MATCH($E$70,$N$6:$N$68,0),1))</f>
        <v>3.0720833333333331</v>
      </c>
      <c r="Q72" s="19">
        <f ca="1">AVERAGE(OFFSET(INDEX($N$6:$N$68,MATCH($E$70,$N$6:$N$68,0),0),0,3,57-MATCH($E$70,$N$6:$N$68,0),1))</f>
        <v>33.066083333333331</v>
      </c>
      <c r="R72" s="19">
        <f ca="1">AVERAGE(OFFSET(INDEX($N$6:$N$68,MATCH($E$70,$N$6:$N$68,0),0),0,4,57-MATCH($E$70,$N$6:$N$68,0),1))</f>
        <v>8.1643333333333334</v>
      </c>
      <c r="S72" s="19">
        <f ca="1">AVERAGE(OFFSET(INDEX($N$6:$N$68,MATCH($E$70,$N$6:$N$68,0),0),0,5,57-MATCH($E$70,$N$6:$N$68,0),1))</f>
        <v>8.2330000000000005</v>
      </c>
      <c r="T72" s="19">
        <f ca="1">AVERAGE(OFFSET(INDEX($N$6:$N$68,MATCH($E$70,$N$6:$N$68,0),0),0,6,57-MATCH($E$70,$N$6:$N$68,0),1))</f>
        <v>-22.060500000000001</v>
      </c>
      <c r="U72" s="19">
        <f ca="1">AVERAGE(OFFSET(INDEX($N$6:$N$68,MATCH($E$70,$N$6:$N$68,0),0),0,7,57-MATCH($E$70,$N$6:$N$68,0),1))</f>
        <v>16.278750000000006</v>
      </c>
      <c r="V72" s="19">
        <f ca="1">AVERAGE(OFFSET(INDEX($N$6:$N$68,MATCH($E$70,$N$6:$N$68,0),0),0,8,57-MATCH($E$70,$N$6:$N$68,0),1))</f>
        <v>17.044833333333333</v>
      </c>
    </row>
    <row r="73" spans="2:22" x14ac:dyDescent="0.2">
      <c r="B73" s="3" t="s">
        <v>125</v>
      </c>
      <c r="C73" s="2"/>
      <c r="D73" s="2"/>
      <c r="E73" s="2"/>
      <c r="F73" s="2"/>
      <c r="G73" s="2"/>
      <c r="H73" s="2"/>
      <c r="I73" s="2"/>
      <c r="J73" s="10">
        <f ca="1">MEDIAN(OFFSET(INDEX($B$6:$B$61,MATCH($E$70,$B$6:$B$61,0),0),0,8,57-MATCH($E$70,$B$6:$B$61,0),1))</f>
        <v>6.2500000000000001E-4</v>
      </c>
      <c r="K73" s="10">
        <f ca="1">MEDIAN(OFFSET(INDEX($B$6:$B$61,MATCH($E$70,$B$6:$B$61,0),0),0,9,57-MATCH($E$70,$B$6:$B$61,0),1))</f>
        <v>2.5174999999999999E-2</v>
      </c>
      <c r="L73" s="10">
        <f ca="1">MEDIAN(OFFSET(INDEX($B$6:$B$61,MATCH($E$70,$B$6:$B$61,0),0),0,10,57-MATCH($E$70,$B$6:$B$61,0),1))</f>
        <v>1.0710000000000001E-2</v>
      </c>
      <c r="N73" s="3" t="s">
        <v>125</v>
      </c>
      <c r="O73" s="19">
        <f ca="1">MEDIAN(OFFSET(INDEX($N$6:$N$68,MATCH($E$70,$N$6:$N$68,0),0),0,1,57-MATCH($E$70,$N$6:$N$68,0),1))</f>
        <v>98.013000000000005</v>
      </c>
      <c r="P73" s="19">
        <f ca="1">MEDIAN(OFFSET(INDEX($N$6:$N$68,MATCH($E$70,$N$6:$N$68,0),0),0,2,57-MATCH($E$70,$N$6:$N$68,0),1))</f>
        <v>3.1814999999999998</v>
      </c>
      <c r="Q73" s="19">
        <f ca="1">MEDIAN(OFFSET(INDEX($N$6:$N$68,MATCH($E$70,$N$6:$N$68,0),0),0,3,57-MATCH($E$70,$N$6:$N$68,0),1))</f>
        <v>33.250999999999998</v>
      </c>
      <c r="R73" s="19">
        <f ca="1">MEDIAN(OFFSET(INDEX($N$6:$N$68,MATCH($E$70,$N$6:$N$68,0),0),0,4,57-MATCH($E$70,$N$6:$N$68,0),1))</f>
        <v>10.426500000000001</v>
      </c>
      <c r="S73" s="19">
        <f ca="1">MEDIAN(OFFSET(INDEX($N$6:$N$68,MATCH($E$70,$N$6:$N$68,0),0),0,5,57-MATCH($E$70,$N$6:$N$68,0),1))</f>
        <v>11.391500000000001</v>
      </c>
      <c r="T73" s="19">
        <f ca="1">MEDIAN(OFFSET(INDEX($N$6:$N$68,MATCH($E$70,$N$6:$N$68,0),0),0,6,57-MATCH($E$70,$N$6:$N$68,0),1))</f>
        <v>-37.888500000000001</v>
      </c>
      <c r="U73" s="19">
        <f ca="1">MEDIAN(OFFSET(INDEX($N$6:$N$68,MATCH($E$70,$N$6:$N$68,0),0),0,7,57-MATCH($E$70,$N$6:$N$68,0),1))</f>
        <v>10.251999999999999</v>
      </c>
      <c r="V73" s="19">
        <f ca="1">MEDIAN(OFFSET(INDEX($N$6:$N$68,MATCH($E$70,$N$6:$N$68,0),0),0,8,57-MATCH($E$70,$N$6:$N$68,0),1))</f>
        <v>21.228000000000002</v>
      </c>
    </row>
    <row r="74" spans="2:22" x14ac:dyDescent="0.2">
      <c r="B74" s="3" t="s">
        <v>126</v>
      </c>
      <c r="C74" s="2"/>
      <c r="D74" s="2"/>
      <c r="E74" s="2"/>
      <c r="F74" s="2"/>
      <c r="G74" s="2"/>
      <c r="H74" s="2"/>
      <c r="I74" s="2"/>
      <c r="J74" s="10">
        <f ca="1">_xlfn.STDEV.P(OFFSET(INDEX($B$6:$B$61,MATCH($E$70,$B$6:$B$61,0),0),0,8,57-MATCH($E$70,$B$6:$B$61,0),1))</f>
        <v>1.9000765700945379E-3</v>
      </c>
      <c r="K74" s="10">
        <f ca="1">_xlfn.STDEV.P(OFFSET(INDEX($B$6:$B$61,MATCH($E$70,$B$6:$B$61,0),0),0,9,57-MATCH($E$70,$B$6:$B$61,0),1))</f>
        <v>2.8627984596952205E-2</v>
      </c>
      <c r="L74" s="10">
        <f ca="1">_xlfn.STDEV.P(OFFSET(INDEX($B$6:$B$61,MATCH($E$70,$B$6:$B$61,0),0),0,10,57-MATCH($E$70,$B$6:$B$61,0),1))</f>
        <v>1.2107676972345551E-2</v>
      </c>
      <c r="N74" s="3" t="s">
        <v>126</v>
      </c>
      <c r="O74" s="19">
        <f ca="1">_xlfn.STDEV.P(OFFSET(INDEX($N$6:$N$68,MATCH($E$70,$N$6:$N$68,0),0),0,1,57-MATCH($E$70,$N$6:$N$68,0),1))</f>
        <v>19.132496471971383</v>
      </c>
      <c r="P74" s="19">
        <f ca="1">_xlfn.STDEV.P(OFFSET(INDEX($N$6:$N$68,MATCH($E$70,$N$6:$N$68,0),0),0,2,57-MATCH($E$70,$N$6:$N$68,0),1))</f>
        <v>1.6238535165018912</v>
      </c>
      <c r="Q74" s="19">
        <f ca="1">_xlfn.STDEV.P(OFFSET(INDEX($N$6:$N$68,MATCH($E$70,$N$6:$N$68,0),0),0,3,57-MATCH($E$70,$N$6:$N$68,0),1))</f>
        <v>4.5684626965448878</v>
      </c>
      <c r="R74" s="19">
        <f ca="1">_xlfn.STDEV.P(OFFSET(INDEX($N$6:$N$68,MATCH($E$70,$N$6:$N$68,0),0),0,4,57-MATCH($E$70,$N$6:$N$68,0),1))</f>
        <v>11.841964253825836</v>
      </c>
      <c r="S74" s="19">
        <f ca="1">_xlfn.STDEV.P(OFFSET(INDEX($N$6:$N$68,MATCH($E$70,$N$6:$N$68,0),0),0,5,57-MATCH($E$70,$N$6:$N$68,0),1))</f>
        <v>12.322807086861337</v>
      </c>
      <c r="T74" s="19">
        <f ca="1">_xlfn.STDEV.P(OFFSET(INDEX($N$6:$N$68,MATCH($E$70,$N$6:$N$68,0),0),0,6,57-MATCH($E$70,$N$6:$N$68,0),1))</f>
        <v>32.335311213130453</v>
      </c>
      <c r="U74" s="19">
        <f ca="1">_xlfn.STDEV.P(OFFSET(INDEX($N$6:$N$68,MATCH($E$70,$N$6:$N$68,0),0),0,7,57-MATCH($E$70,$N$6:$N$68,0),1))</f>
        <v>17.369599118023221</v>
      </c>
      <c r="V74" s="19">
        <f ca="1">_xlfn.STDEV.P(OFFSET(INDEX($N$6:$N$68,MATCH($E$70,$N$6:$N$68,0),0),0,8,57-MATCH($E$70,$N$6:$N$68,0),1))</f>
        <v>10.24756949910021</v>
      </c>
    </row>
    <row r="75" spans="2:22" x14ac:dyDescent="0.2">
      <c r="B75" s="3" t="s">
        <v>127</v>
      </c>
      <c r="C75" s="2"/>
      <c r="D75" s="2"/>
      <c r="E75" s="2"/>
      <c r="F75" s="2"/>
      <c r="G75" s="2"/>
      <c r="H75" s="2"/>
      <c r="I75" s="2"/>
      <c r="J75" s="10">
        <f ca="1">MIN(OFFSET(INDEX($B$6:$B$61,MATCH($E$70,$B$6:$B$61,0),0),0,8,57-MATCH($E$70,$B$6:$B$61,0),1))</f>
        <v>0</v>
      </c>
      <c r="K75" s="10">
        <f ca="1">MIN(OFFSET(INDEX($B$6:$B$61,MATCH($E$70,$B$6:$B$61,0),0),0,9,57-MATCH($E$70,$B$6:$B$61,0),1))</f>
        <v>8.9599999999999992E-3</v>
      </c>
      <c r="L75" s="10">
        <f ca="1">MIN(OFFSET(INDEX($B$6:$B$61,MATCH($E$70,$B$6:$B$61,0),0),0,10,57-MATCH($E$70,$B$6:$B$61,0),1))</f>
        <v>3.31E-3</v>
      </c>
      <c r="N75" s="3" t="s">
        <v>127</v>
      </c>
      <c r="O75" s="19">
        <f ca="1">MIN(OFFSET(INDEX($N$6:$N$68,MATCH($E$70,$N$6:$N$68,0),0),0,1,57-MATCH($E$70,$N$6:$N$68,0),1))</f>
        <v>59.177</v>
      </c>
      <c r="P75" s="19">
        <f ca="1">MIN(OFFSET(INDEX($N$6:$N$68,MATCH($E$70,$N$6:$N$68,0),0),0,2,57-MATCH($E$70,$N$6:$N$68,0),1))</f>
        <v>0.32400000000000001</v>
      </c>
      <c r="Q75" s="19">
        <f ca="1">MIN(OFFSET(INDEX($N$6:$N$68,MATCH($E$70,$N$6:$N$68,0),0),0,3,57-MATCH($E$70,$N$6:$N$68,0),1))</f>
        <v>26.68</v>
      </c>
      <c r="R75" s="19">
        <f ca="1">MIN(OFFSET(INDEX($N$6:$N$68,MATCH($E$70,$N$6:$N$68,0),0),0,4,57-MATCH($E$70,$N$6:$N$68,0),1))</f>
        <v>-15.82</v>
      </c>
      <c r="S75" s="19">
        <f ca="1">MIN(OFFSET(INDEX($N$6:$N$68,MATCH($E$70,$N$6:$N$68,0),0),0,5,57-MATCH($E$70,$N$6:$N$68,0),1))</f>
        <v>-17.776</v>
      </c>
      <c r="T75" s="19">
        <f ca="1">MIN(OFFSET(INDEX($N$6:$N$68,MATCH($E$70,$N$6:$N$68,0),0),0,6,57-MATCH($E$70,$N$6:$N$68,0),1))</f>
        <v>-51.722999999999999</v>
      </c>
      <c r="U75" s="19">
        <f ca="1">MIN(OFFSET(INDEX($N$6:$N$68,MATCH($E$70,$N$6:$N$68,0),0),0,7,57-MATCH($E$70,$N$6:$N$68,0),1))</f>
        <v>1.5620000000000001</v>
      </c>
      <c r="V75" s="19">
        <f ca="1">MIN(OFFSET(INDEX($N$6:$N$68,MATCH($E$70,$N$6:$N$68,0),0),0,8,57-MATCH($E$70,$N$6:$N$68,0),1))</f>
        <v>-8.7029999999999994</v>
      </c>
    </row>
    <row r="76" spans="2:22" x14ac:dyDescent="0.2">
      <c r="B76" s="3" t="s">
        <v>128</v>
      </c>
      <c r="C76" s="2"/>
      <c r="D76" s="2"/>
      <c r="E76" s="2"/>
      <c r="F76" s="2"/>
      <c r="G76" s="2"/>
      <c r="H76" s="2"/>
      <c r="I76" s="2"/>
      <c r="J76" s="10">
        <f ca="1">MAX(OFFSET(INDEX($B$6:$B$61,MATCH($E$70,$B$6:$B$61,0),0),0,8,57-MATCH($E$70,$B$6:$B$61,0),1))</f>
        <v>6.28E-3</v>
      </c>
      <c r="K76" s="10">
        <f ca="1">MAX(OFFSET(INDEX($B$6:$B$61,MATCH($E$70,$B$6:$B$61,0),0),0,9,57-MATCH($E$70,$B$6:$B$61,0),1))</f>
        <v>0.12096999999999999</v>
      </c>
      <c r="L76" s="10">
        <f ca="1">MAX(OFFSET(INDEX($B$6:$B$61,MATCH($E$70,$B$6:$B$61,0),0),0,10,57-MATCH($E$70,$B$6:$B$61,0),1))</f>
        <v>5.015E-2</v>
      </c>
      <c r="N76" s="3" t="s">
        <v>128</v>
      </c>
      <c r="O76" s="19">
        <f ca="1">MAX(OFFSET(INDEX($N$6:$N$68,MATCH($E$70,$N$6:$N$68,0),0),0,1,57-MATCH($E$70,$N$6:$N$68,0),1))</f>
        <v>120.16800000000001</v>
      </c>
      <c r="P76" s="19">
        <f ca="1">MAX(OFFSET(INDEX($N$6:$N$68,MATCH($E$70,$N$6:$N$68,0),0),0,2,57-MATCH($E$70,$N$6:$N$68,0),1))</f>
        <v>6.1</v>
      </c>
      <c r="Q76" s="19">
        <f ca="1">MAX(OFFSET(INDEX($N$6:$N$68,MATCH($E$70,$N$6:$N$68,0),0),0,3,57-MATCH($E$70,$N$6:$N$68,0),1))</f>
        <v>40.874000000000002</v>
      </c>
      <c r="R76" s="19">
        <f ca="1">MAX(OFFSET(INDEX($N$6:$N$68,MATCH($E$70,$N$6:$N$68,0),0),0,4,57-MATCH($E$70,$N$6:$N$68,0),1))</f>
        <v>29.802</v>
      </c>
      <c r="S76" s="19">
        <f ca="1">MAX(OFFSET(INDEX($N$6:$N$68,MATCH($E$70,$N$6:$N$68,0),0),0,5,57-MATCH($E$70,$N$6:$N$68,0),1))</f>
        <v>29.228999999999999</v>
      </c>
      <c r="T76" s="19">
        <f ca="1">MAX(OFFSET(INDEX($N$6:$N$68,MATCH($E$70,$N$6:$N$68,0),0),0,6,57-MATCH($E$70,$N$6:$N$68,0),1))</f>
        <v>56.683999999999997</v>
      </c>
      <c r="U76" s="19">
        <f ca="1">MAX(OFFSET(INDEX($N$6:$N$68,MATCH($E$70,$N$6:$N$68,0),0),0,7,57-MATCH($E$70,$N$6:$N$68,0),1))</f>
        <v>62.927999999999997</v>
      </c>
      <c r="V76" s="19">
        <f ca="1">MAX(OFFSET(INDEX($N$6:$N$68,MATCH($E$70,$N$6:$N$68,0),0),0,8,57-MATCH($E$70,$N$6:$N$68,0),1))</f>
        <v>27.449000000000002</v>
      </c>
    </row>
    <row r="78" spans="2:22" x14ac:dyDescent="0.2">
      <c r="C78" s="13" t="s">
        <v>152</v>
      </c>
    </row>
    <row r="79" spans="2:22" x14ac:dyDescent="0.2">
      <c r="C79" s="13" t="s">
        <v>153</v>
      </c>
    </row>
    <row r="80" spans="2:22" x14ac:dyDescent="0.2">
      <c r="C80" s="13" t="s">
        <v>154</v>
      </c>
      <c r="E80" s="13" t="s">
        <v>155</v>
      </c>
    </row>
    <row r="81" spans="2:22" ht="57" x14ac:dyDescent="0.2">
      <c r="B81" s="20" t="s">
        <v>133</v>
      </c>
      <c r="C81" s="20" t="s">
        <v>33</v>
      </c>
      <c r="D81" s="20" t="s">
        <v>90</v>
      </c>
      <c r="E81" s="20" t="s">
        <v>26</v>
      </c>
      <c r="F81" s="20" t="s">
        <v>91</v>
      </c>
      <c r="G81" s="20" t="s">
        <v>92</v>
      </c>
      <c r="H81" s="20" t="s">
        <v>27</v>
      </c>
      <c r="I81" s="20" t="s">
        <v>93</v>
      </c>
      <c r="J81" s="20" t="s">
        <v>95</v>
      </c>
      <c r="K81" s="20" t="s">
        <v>96</v>
      </c>
      <c r="L81" s="20" t="s">
        <v>129</v>
      </c>
      <c r="M81" s="21"/>
      <c r="N81" s="20" t="s">
        <v>133</v>
      </c>
      <c r="O81" s="18" t="s">
        <v>136</v>
      </c>
      <c r="P81" s="18" t="s">
        <v>137</v>
      </c>
      <c r="Q81" s="18" t="s">
        <v>138</v>
      </c>
      <c r="R81" s="18" t="s">
        <v>139</v>
      </c>
      <c r="S81" s="18" t="s">
        <v>140</v>
      </c>
      <c r="T81" s="18" t="s">
        <v>141</v>
      </c>
      <c r="U81" s="18" t="s">
        <v>142</v>
      </c>
      <c r="V81" s="18" t="s">
        <v>143</v>
      </c>
    </row>
    <row r="82" spans="2:22" x14ac:dyDescent="0.2">
      <c r="B82" s="3">
        <f>$E$70</f>
        <v>2004</v>
      </c>
      <c r="C82" s="2"/>
      <c r="D82" s="2"/>
      <c r="E82" s="2"/>
      <c r="F82" s="2"/>
      <c r="G82" s="2"/>
      <c r="H82" s="2"/>
      <c r="I82" s="2"/>
      <c r="J82" s="2">
        <f ca="1">_xlfn.IFNA((VLOOKUP($B82,$B$5:$J$61,9,0)-$J$72)/$J$74,"")</f>
        <v>-0.71269057677990877</v>
      </c>
      <c r="K82" s="2">
        <f ca="1">_xlfn.IFNA((VLOOKUP($B82,$B$5:$L$61,10,0)-$K$72)/$K$74,"")</f>
        <v>-0.31830742290430553</v>
      </c>
      <c r="L82" s="2">
        <f ca="1">_xlfn.IFNA((VLOOKUP($B82,$B$5:$L$61,11,0)-$L$72)/$L$74,"")</f>
        <v>-0.49018486482219437</v>
      </c>
      <c r="N82" s="3">
        <f>$E$70</f>
        <v>2004</v>
      </c>
      <c r="O82" s="19">
        <f ca="1">IFERROR(VLOOKUP($N82,$N$5:$V$69,2,FALSE)-$O$72/$O$74,"")</f>
        <v>54.17386305233449</v>
      </c>
      <c r="P82" s="19">
        <f ca="1">IFERROR(VLOOKUP($N82,$N$5:$V$69,3,FALSE)-$P$72/$P$74,"")</f>
        <v>-1.5678475725268752</v>
      </c>
      <c r="Q82" s="19">
        <f ca="1">IFERROR(VLOOKUP($N82,$N$5:$V$69,4,FALSE)-$Q$72/$Q$74,"")</f>
        <v>23.856098427915128</v>
      </c>
      <c r="R82" s="19">
        <f ca="1">IFERROR(VLOOKUP($N82,$N$5:$V$69,5,FALSE)-$R$72/$R$74,"")</f>
        <v>9.0285591979222826</v>
      </c>
      <c r="S82" s="19">
        <f ca="1">IFERROR(VLOOKUP($N82,$N$5:$V$69,6,FALSE)-$S$72/$S$74,"")</f>
        <v>10.986889240660265</v>
      </c>
      <c r="T82" s="19">
        <f ca="1">IFERROR(VLOOKUP($N82,$N$5:$V$69,7,FALSE)-$T$72/$T$74,"")</f>
        <v>57.366241771374746</v>
      </c>
      <c r="U82" s="19">
        <f ca="1">IFERROR(VLOOKUP($N82,$N$5:$V$69,8,FALSE)-$U$72/$U$74,"")</f>
        <v>61.990802204622632</v>
      </c>
      <c r="V82" s="19">
        <f ca="1">IFERROR(VLOOKUP($N82,$N$5:$V$69,9,FALSE)-$V$72/$V$74,"")</f>
        <v>18.405695024627061</v>
      </c>
    </row>
    <row r="83" spans="2:22" x14ac:dyDescent="0.2">
      <c r="B83" s="3">
        <f>IFERROR(IF(AND(B82&lt;&gt;$H$70,B82&gt;=$E$70),B82+1,""),"")</f>
        <v>2005</v>
      </c>
      <c r="C83" s="2"/>
      <c r="D83" s="2"/>
      <c r="E83" s="2"/>
      <c r="F83" s="2"/>
      <c r="G83" s="2"/>
      <c r="H83" s="2"/>
      <c r="I83" s="2"/>
      <c r="J83" s="2">
        <f t="shared" ref="J83:J137" ca="1" si="0">_xlfn.IFNA((VLOOKUP($B83,$B$5:$J$61,9,0)-$J$72)/$J$74,"")</f>
        <v>-0.39165088311658991</v>
      </c>
      <c r="K83" s="2">
        <f t="shared" ref="K83:K137" ca="1" si="1">_xlfn.IFNA((VLOOKUP($B83,$B$5:$L$61,10,0)-$K$72)/$K$74,"")</f>
        <v>-0.56247410450662028</v>
      </c>
      <c r="L83" s="2">
        <f t="shared" ref="L83:L137" ca="1" si="2">_xlfn.IFNA((VLOOKUP($B83,$B$5:$L$61,11,0)-$L$72)/$L$74,"")</f>
        <v>-0.6454582508147344</v>
      </c>
      <c r="N83" s="3">
        <f>IFERROR(IF(AND(N82&lt;&gt;$N$68,N82&gt;=$E$70),N82+1,""),"")</f>
        <v>2005</v>
      </c>
      <c r="O83" s="19">
        <f t="shared" ref="O83:O137" ca="1" si="3">IFERROR(VLOOKUP($N83,$N$5:$V$69,2,FALSE)-$O$72/$O$74,"")</f>
        <v>66.097863052334489</v>
      </c>
      <c r="P83" s="19">
        <f t="shared" ref="P83:P137" ca="1" si="4">IFERROR(VLOOKUP($N83,$N$5:$V$69,3,FALSE)-$P$72/$P$74,"")</f>
        <v>-1.3538475725268753</v>
      </c>
      <c r="Q83" s="19">
        <f t="shared" ref="Q83:Q137" ca="1" si="5">IFERROR(VLOOKUP($N83,$N$5:$V$69,4,FALSE)-$Q$72/$Q$74,"")</f>
        <v>20.913098427915131</v>
      </c>
      <c r="R83" s="19">
        <f t="shared" ref="R83:R137" ca="1" si="6">IFERROR(VLOOKUP($N83,$N$5:$V$69,5,FALSE)-$R$72/$R$74,"")</f>
        <v>17.297559197922283</v>
      </c>
      <c r="S83" s="19">
        <f t="shared" ref="S83:S137" ca="1" si="7">IFERROR(VLOOKUP($N83,$N$5:$V$69,6,FALSE)-$S$72/$S$74,"")</f>
        <v>18.518889240660265</v>
      </c>
      <c r="T83" s="19">
        <f t="shared" ref="T83:T137" ca="1" si="8">IFERROR(VLOOKUP($N83,$N$5:$V$69,7,FALSE)-$T$72/$T$74,"")</f>
        <v>22.73024177137475</v>
      </c>
      <c r="U83" s="19">
        <f t="shared" ref="U83:U137" ca="1" si="9">IFERROR(VLOOKUP($N83,$N$5:$V$69,8,FALSE)-$U$72/$U$74,"")</f>
        <v>36.404802204622634</v>
      </c>
      <c r="V83" s="19">
        <f t="shared" ref="V83:V137" ca="1" si="10">IFERROR(VLOOKUP($N83,$N$5:$V$69,9,FALSE)-$V$72/$V$74,"")</f>
        <v>25.785695024627064</v>
      </c>
    </row>
    <row r="84" spans="2:22" x14ac:dyDescent="0.2">
      <c r="B84" s="3">
        <f t="shared" ref="B84:B137" si="11">IFERROR(IF(AND(B83&lt;&gt;$H$70,B83&gt;=$E$70),B83+1,""),"")</f>
        <v>2006</v>
      </c>
      <c r="C84" s="2"/>
      <c r="D84" s="2"/>
      <c r="E84" s="2"/>
      <c r="F84" s="2"/>
      <c r="G84" s="2"/>
      <c r="H84" s="2"/>
      <c r="I84" s="2"/>
      <c r="J84" s="2">
        <f t="shared" ca="1" si="0"/>
        <v>-0.71269057677990877</v>
      </c>
      <c r="K84" s="2">
        <f t="shared" ca="1" si="1"/>
        <v>-0.58098745804728213</v>
      </c>
      <c r="L84" s="2">
        <f t="shared" ca="1" si="2"/>
        <v>-0.68923213090837598</v>
      </c>
      <c r="N84" s="3">
        <f t="shared" ref="N84:N137" si="12">IFERROR(IF(AND(N83&lt;&gt;$N$68,N83&gt;=$E$70),N83+1,""),"")</f>
        <v>2006</v>
      </c>
      <c r="O84" s="19">
        <f t="shared" ca="1" si="3"/>
        <v>74.326863052334488</v>
      </c>
      <c r="P84" s="19">
        <f t="shared" ca="1" si="4"/>
        <v>3.5152427473124748E-2</v>
      </c>
      <c r="Q84" s="19">
        <f t="shared" ca="1" si="5"/>
        <v>20.031098427915126</v>
      </c>
      <c r="R84" s="19">
        <f t="shared" ca="1" si="6"/>
        <v>20.133559197922285</v>
      </c>
      <c r="S84" s="19">
        <f t="shared" ca="1" si="7"/>
        <v>21.087889240660264</v>
      </c>
      <c r="T84" s="19">
        <f t="shared" ca="1" si="8"/>
        <v>6.3842417713747519</v>
      </c>
      <c r="U84" s="19">
        <f t="shared" ca="1" si="9"/>
        <v>24.893802204622634</v>
      </c>
      <c r="V84" s="19">
        <f t="shared" ca="1" si="10"/>
        <v>24.673695024627062</v>
      </c>
    </row>
    <row r="85" spans="2:22" x14ac:dyDescent="0.2">
      <c r="B85" s="3">
        <f t="shared" si="11"/>
        <v>2007</v>
      </c>
      <c r="C85" s="2"/>
      <c r="D85" s="2"/>
      <c r="E85" s="2"/>
      <c r="F85" s="2"/>
      <c r="G85" s="2"/>
      <c r="H85" s="2"/>
      <c r="I85" s="2"/>
      <c r="J85" s="2">
        <f t="shared" ca="1" si="0"/>
        <v>-0.71269057677990877</v>
      </c>
      <c r="K85" s="2">
        <f t="shared" ca="1" si="1"/>
        <v>-0.84995504722293647</v>
      </c>
      <c r="L85" s="2">
        <f t="shared" ca="1" si="2"/>
        <v>-0.90644968684474858</v>
      </c>
      <c r="N85" s="3">
        <f t="shared" si="12"/>
        <v>2007</v>
      </c>
      <c r="O85" s="19">
        <f t="shared" ca="1" si="3"/>
        <v>81.017863052334491</v>
      </c>
      <c r="P85" s="19">
        <f t="shared" ca="1" si="4"/>
        <v>3.1501524274731247</v>
      </c>
      <c r="Q85" s="19">
        <f t="shared" ca="1" si="5"/>
        <v>22.21509842791513</v>
      </c>
      <c r="R85" s="19">
        <f t="shared" ca="1" si="6"/>
        <v>11.094559197922283</v>
      </c>
      <c r="S85" s="19">
        <f t="shared" ca="1" si="7"/>
        <v>10.864889240660265</v>
      </c>
      <c r="T85" s="19">
        <f t="shared" ca="1" si="8"/>
        <v>-10.198758228625248</v>
      </c>
      <c r="U85" s="19">
        <f t="shared" ca="1" si="9"/>
        <v>16.177802204622633</v>
      </c>
      <c r="V85" s="19">
        <f t="shared" ca="1" si="10"/>
        <v>20.808695024627063</v>
      </c>
    </row>
    <row r="86" spans="2:22" x14ac:dyDescent="0.2">
      <c r="B86" s="3">
        <f t="shared" si="11"/>
        <v>2008</v>
      </c>
      <c r="C86" s="2"/>
      <c r="D86" s="2"/>
      <c r="E86" s="2"/>
      <c r="F86" s="2"/>
      <c r="G86" s="2"/>
      <c r="H86" s="2"/>
      <c r="I86" s="2"/>
      <c r="J86" s="2">
        <f t="shared" ca="1" si="0"/>
        <v>2.5924393842129474</v>
      </c>
      <c r="K86" s="2">
        <f t="shared" ca="1" si="1"/>
        <v>0.72891963209389132</v>
      </c>
      <c r="L86" s="2">
        <f t="shared" ca="1" si="2"/>
        <v>0.89158308605822911</v>
      </c>
      <c r="N86" s="3">
        <f t="shared" si="12"/>
        <v>2008</v>
      </c>
      <c r="O86" s="19">
        <f t="shared" ca="1" si="3"/>
        <v>96.234863052334489</v>
      </c>
      <c r="P86" s="19">
        <f t="shared" ca="1" si="4"/>
        <v>4.2081524274731246</v>
      </c>
      <c r="Q86" s="19">
        <f t="shared" ca="1" si="5"/>
        <v>19.442098427915127</v>
      </c>
      <c r="R86" s="19">
        <f t="shared" ca="1" si="6"/>
        <v>29.112559197922284</v>
      </c>
      <c r="S86" s="19">
        <f t="shared" ca="1" si="7"/>
        <v>28.560889240660263</v>
      </c>
      <c r="T86" s="19">
        <f t="shared" ca="1" si="8"/>
        <v>-37.711758228625243</v>
      </c>
      <c r="U86" s="19">
        <f t="shared" ca="1" si="9"/>
        <v>11.118802204622632</v>
      </c>
      <c r="V86" s="19">
        <f t="shared" ca="1" si="10"/>
        <v>23.792695024627061</v>
      </c>
    </row>
    <row r="87" spans="2:22" x14ac:dyDescent="0.2">
      <c r="B87" s="3">
        <f t="shared" si="11"/>
        <v>2009</v>
      </c>
      <c r="C87" s="2"/>
      <c r="D87" s="2"/>
      <c r="E87" s="2"/>
      <c r="F87" s="2"/>
      <c r="G87" s="2"/>
      <c r="H87" s="2"/>
      <c r="I87" s="2"/>
      <c r="J87" s="2">
        <f t="shared" ca="1" si="0"/>
        <v>1.5451131704588421</v>
      </c>
      <c r="K87" s="2">
        <f t="shared" ca="1" si="1"/>
        <v>3.0626501038894061</v>
      </c>
      <c r="L87" s="2">
        <f t="shared" ca="1" si="2"/>
        <v>2.9621702067140698</v>
      </c>
      <c r="N87" s="3">
        <f t="shared" si="12"/>
        <v>2009</v>
      </c>
      <c r="O87" s="19">
        <f t="shared" ca="1" si="3"/>
        <v>80.327863052334493</v>
      </c>
      <c r="P87" s="19">
        <f t="shared" ca="1" si="4"/>
        <v>2.2551524274731252</v>
      </c>
      <c r="Q87" s="19">
        <f t="shared" ca="1" si="5"/>
        <v>29.82809842791513</v>
      </c>
      <c r="R87" s="19">
        <f t="shared" ca="1" si="6"/>
        <v>-6.0724408020777165</v>
      </c>
      <c r="S87" s="19">
        <f t="shared" ca="1" si="7"/>
        <v>-5.8881107593397353</v>
      </c>
      <c r="T87" s="19">
        <f t="shared" ca="1" si="8"/>
        <v>-38.622758228625244</v>
      </c>
      <c r="U87" s="19">
        <f t="shared" ca="1" si="9"/>
        <v>13.051802204622634</v>
      </c>
      <c r="V87" s="19">
        <f t="shared" ca="1" si="10"/>
        <v>3.2196950246270633</v>
      </c>
    </row>
    <row r="88" spans="2:22" x14ac:dyDescent="0.2">
      <c r="B88" s="3">
        <f t="shared" si="11"/>
        <v>2010</v>
      </c>
      <c r="C88" s="2"/>
      <c r="D88" s="2"/>
      <c r="E88" s="2"/>
      <c r="F88" s="2"/>
      <c r="G88" s="2"/>
      <c r="H88" s="2"/>
      <c r="I88" s="2"/>
      <c r="J88" s="2">
        <f t="shared" ca="1" si="0"/>
        <v>-0.20744778019501353</v>
      </c>
      <c r="K88" s="2">
        <f t="shared" ca="1" si="1"/>
        <v>-8.0078986777297426E-2</v>
      </c>
      <c r="L88" s="2">
        <f t="shared" ca="1" si="2"/>
        <v>-0.13173460141388368</v>
      </c>
      <c r="N88" s="3">
        <f t="shared" si="12"/>
        <v>2010</v>
      </c>
      <c r="O88" s="19">
        <f t="shared" ca="1" si="3"/>
        <v>94.99686305233449</v>
      </c>
      <c r="P88" s="19">
        <f t="shared" ca="1" si="4"/>
        <v>1.9091524274731249</v>
      </c>
      <c r="Q88" s="19">
        <f t="shared" ca="1" si="5"/>
        <v>26.727098427915131</v>
      </c>
      <c r="R88" s="19">
        <f t="shared" ca="1" si="6"/>
        <v>2.8855591979222837</v>
      </c>
      <c r="S88" s="19">
        <f t="shared" ca="1" si="7"/>
        <v>3.3118892406602645</v>
      </c>
      <c r="T88" s="19">
        <f t="shared" ca="1" si="8"/>
        <v>-37.103758228625253</v>
      </c>
      <c r="U88" s="19">
        <f t="shared" ca="1" si="9"/>
        <v>7.5108022046226344</v>
      </c>
      <c r="V88" s="19">
        <f t="shared" ca="1" si="10"/>
        <v>11.007695024627063</v>
      </c>
    </row>
    <row r="89" spans="2:22" x14ac:dyDescent="0.2">
      <c r="B89" s="3">
        <f t="shared" si="11"/>
        <v>2011</v>
      </c>
      <c r="C89" s="2"/>
      <c r="D89" s="2"/>
      <c r="E89" s="2"/>
      <c r="F89" s="2"/>
      <c r="G89" s="2"/>
      <c r="H89" s="2"/>
      <c r="I89" s="2"/>
      <c r="J89" s="2">
        <f t="shared" ca="1" si="0"/>
        <v>0.43463160713162419</v>
      </c>
      <c r="K89" s="2">
        <f t="shared" ca="1" si="1"/>
        <v>-0.4901672331308275</v>
      </c>
      <c r="L89" s="2">
        <f t="shared" ca="1" si="2"/>
        <v>-0.43319622847386852</v>
      </c>
      <c r="N89" s="3">
        <f t="shared" si="12"/>
        <v>2011</v>
      </c>
      <c r="O89" s="19">
        <f t="shared" ca="1" si="3"/>
        <v>110.52586305233449</v>
      </c>
      <c r="P89" s="19">
        <f t="shared" ca="1" si="4"/>
        <v>1.8571524274731248</v>
      </c>
      <c r="Q89" s="19">
        <f t="shared" ca="1" si="5"/>
        <v>26.034098427915126</v>
      </c>
      <c r="R89" s="19">
        <f t="shared" ca="1" si="6"/>
        <v>10.445559197922282</v>
      </c>
      <c r="S89" s="19">
        <f t="shared" ca="1" si="7"/>
        <v>10.581889240660265</v>
      </c>
      <c r="T89" s="19">
        <f t="shared" ca="1" si="8"/>
        <v>-36.973758228625243</v>
      </c>
      <c r="U89" s="19">
        <f t="shared" ca="1" si="9"/>
        <v>4.445802204622634</v>
      </c>
      <c r="V89" s="19">
        <f t="shared" ca="1" si="10"/>
        <v>21.961695024627062</v>
      </c>
    </row>
    <row r="90" spans="2:22" x14ac:dyDescent="0.2">
      <c r="B90" s="3">
        <f t="shared" si="11"/>
        <v>2012</v>
      </c>
      <c r="C90" s="2"/>
      <c r="D90" s="2"/>
      <c r="E90" s="2"/>
      <c r="F90" s="2"/>
      <c r="G90" s="2"/>
      <c r="H90" s="2"/>
      <c r="I90" s="2"/>
      <c r="J90" s="2">
        <f t="shared" ca="1" si="0"/>
        <v>-0.53901336545385103</v>
      </c>
      <c r="K90" s="2">
        <f t="shared" ca="1" si="1"/>
        <v>-0.20233698185714027</v>
      </c>
      <c r="L90" s="2">
        <f t="shared" ca="1" si="2"/>
        <v>-0.16311964751875882</v>
      </c>
      <c r="N90" s="3">
        <f t="shared" si="12"/>
        <v>2012</v>
      </c>
      <c r="O90" s="19">
        <f t="shared" ca="1" si="3"/>
        <v>115.1648630523345</v>
      </c>
      <c r="P90" s="19">
        <f t="shared" ca="1" si="4"/>
        <v>0.96515242747312491</v>
      </c>
      <c r="Q90" s="19">
        <f t="shared" ca="1" si="5"/>
        <v>25.992098427915124</v>
      </c>
      <c r="R90" s="19">
        <f t="shared" ca="1" si="6"/>
        <v>11.278559197922283</v>
      </c>
      <c r="S90" s="19">
        <f t="shared" ca="1" si="7"/>
        <v>11.160889240660266</v>
      </c>
      <c r="T90" s="19">
        <f t="shared" ca="1" si="8"/>
        <v>-46.498758228625249</v>
      </c>
      <c r="U90" s="19">
        <f t="shared" ca="1" si="9"/>
        <v>2.642802204622634</v>
      </c>
      <c r="V90" s="19">
        <f t="shared" ca="1" si="10"/>
        <v>20.723695024627062</v>
      </c>
    </row>
    <row r="91" spans="2:22" x14ac:dyDescent="0.2">
      <c r="B91" s="3">
        <f t="shared" si="11"/>
        <v>2013</v>
      </c>
      <c r="C91" s="2"/>
      <c r="D91" s="2"/>
      <c r="E91" s="2"/>
      <c r="F91" s="2"/>
      <c r="G91" s="2"/>
      <c r="H91" s="2"/>
      <c r="I91" s="2"/>
      <c r="J91" s="2">
        <f t="shared" ca="1" si="0"/>
        <v>-0.20744778019501353</v>
      </c>
      <c r="K91" s="2">
        <f t="shared" ca="1" si="1"/>
        <v>-0.2487950199874806</v>
      </c>
      <c r="L91" s="2">
        <f t="shared" ca="1" si="2"/>
        <v>-0.15981595845508775</v>
      </c>
      <c r="N91" s="3">
        <f t="shared" si="12"/>
        <v>2013</v>
      </c>
      <c r="O91" s="19">
        <f t="shared" ca="1" si="3"/>
        <v>113.73386305233448</v>
      </c>
      <c r="P91" s="19">
        <f t="shared" ca="1" si="4"/>
        <v>1.6141524274731245</v>
      </c>
      <c r="Q91" s="19">
        <f t="shared" ca="1" si="5"/>
        <v>28.289098427915128</v>
      </c>
      <c r="R91" s="19">
        <f t="shared" ca="1" si="6"/>
        <v>5.0835591979222832</v>
      </c>
      <c r="S91" s="19">
        <f t="shared" ca="1" si="7"/>
        <v>4.7328892406602643</v>
      </c>
      <c r="T91" s="19">
        <f t="shared" ca="1" si="8"/>
        <v>-51.040758228625251</v>
      </c>
      <c r="U91" s="19">
        <f t="shared" ca="1" si="9"/>
        <v>1.2108022046226341</v>
      </c>
      <c r="V91" s="19">
        <f t="shared" ca="1" si="10"/>
        <v>16.476695024627062</v>
      </c>
    </row>
    <row r="92" spans="2:22" x14ac:dyDescent="0.2">
      <c r="B92" s="3">
        <f t="shared" si="11"/>
        <v>2014</v>
      </c>
      <c r="C92" s="2"/>
      <c r="D92" s="2"/>
      <c r="E92" s="2"/>
      <c r="F92" s="2"/>
      <c r="G92" s="2"/>
      <c r="H92" s="2"/>
      <c r="I92" s="2"/>
      <c r="J92" s="2">
        <f t="shared" ca="1" si="0"/>
        <v>-0.37586204572331194</v>
      </c>
      <c r="K92" s="2">
        <f t="shared" ca="1" si="1"/>
        <v>-0.50902989522886033</v>
      </c>
      <c r="L92" s="2">
        <f t="shared" ca="1" si="2"/>
        <v>-0.42741477261244409</v>
      </c>
      <c r="N92" s="3">
        <f t="shared" si="12"/>
        <v>2014</v>
      </c>
      <c r="O92" s="19">
        <f t="shared" ca="1" si="3"/>
        <v>111.00886305233449</v>
      </c>
      <c r="P92" s="19">
        <f t="shared" ca="1" si="4"/>
        <v>0.79315242747312475</v>
      </c>
      <c r="Q92" s="19">
        <f t="shared" ca="1" si="5"/>
        <v>32.974098427915131</v>
      </c>
      <c r="R92" s="19">
        <f t="shared" ca="1" si="6"/>
        <v>-4.0794408020777171</v>
      </c>
      <c r="S92" s="19">
        <f t="shared" ca="1" si="7"/>
        <v>-4.6961107593397351</v>
      </c>
      <c r="T92" s="19">
        <f t="shared" ca="1" si="8"/>
        <v>-47.560758228625247</v>
      </c>
      <c r="U92" s="19">
        <f t="shared" ca="1" si="9"/>
        <v>0.62480220462263392</v>
      </c>
      <c r="V92" s="19">
        <f t="shared" ca="1" si="10"/>
        <v>8.0886950246270644</v>
      </c>
    </row>
    <row r="93" spans="2:22" x14ac:dyDescent="0.2">
      <c r="B93" s="3">
        <f t="shared" si="11"/>
        <v>2015</v>
      </c>
      <c r="C93" s="2"/>
      <c r="D93" s="2"/>
      <c r="E93" s="2"/>
      <c r="F93" s="2"/>
      <c r="G93" s="2"/>
      <c r="H93" s="2"/>
      <c r="I93" s="2"/>
      <c r="J93" s="2">
        <f t="shared" ca="1" si="0"/>
        <v>-0.71269057677990877</v>
      </c>
      <c r="K93" s="2">
        <f t="shared" ca="1" si="1"/>
        <v>5.0562413679448963E-2</v>
      </c>
      <c r="L93" s="2">
        <f t="shared" ca="1" si="2"/>
        <v>0.19285284909179851</v>
      </c>
      <c r="N93" s="3">
        <f t="shared" si="12"/>
        <v>2015</v>
      </c>
      <c r="O93" s="19">
        <f t="shared" ca="1" si="3"/>
        <v>91.022863052334486</v>
      </c>
      <c r="P93" s="19">
        <f t="shared" ca="1" si="4"/>
        <v>0.29715242747312476</v>
      </c>
      <c r="Q93" s="19">
        <f t="shared" ca="1" si="5"/>
        <v>33.63609842791513</v>
      </c>
      <c r="R93" s="19">
        <f t="shared" ca="1" si="6"/>
        <v>-16.509440802077716</v>
      </c>
      <c r="S93" s="19">
        <f t="shared" ca="1" si="7"/>
        <v>-18.444110759339736</v>
      </c>
      <c r="T93" s="19">
        <f t="shared" ca="1" si="8"/>
        <v>-37.308758228625251</v>
      </c>
      <c r="U93" s="19">
        <f t="shared" ca="1" si="9"/>
        <v>4.0258022046226341</v>
      </c>
      <c r="V93" s="19">
        <f t="shared" ca="1" si="10"/>
        <v>-10.366304975372936</v>
      </c>
    </row>
    <row r="94" spans="2:22" x14ac:dyDescent="0.2">
      <c r="B94" s="3" t="str">
        <f t="shared" si="11"/>
        <v/>
      </c>
      <c r="C94" s="2"/>
      <c r="D94" s="2"/>
      <c r="E94" s="2"/>
      <c r="F94" s="2"/>
      <c r="G94" s="2"/>
      <c r="H94" s="2"/>
      <c r="I94" s="2"/>
      <c r="J94" s="2" t="str">
        <f t="shared" ca="1" si="0"/>
        <v/>
      </c>
      <c r="K94" s="2" t="str">
        <f t="shared" ca="1" si="1"/>
        <v/>
      </c>
      <c r="L94" s="2" t="str">
        <f t="shared" ca="1" si="2"/>
        <v/>
      </c>
      <c r="N94" s="3">
        <f t="shared" si="12"/>
        <v>2016</v>
      </c>
      <c r="O94" s="19">
        <f t="shared" ca="1" si="3"/>
        <v>87.934863052334492</v>
      </c>
      <c r="P94" s="19">
        <f t="shared" ca="1" si="4"/>
        <v>1.6181524274731245</v>
      </c>
      <c r="Q94" s="19">
        <f t="shared" ca="1" si="5"/>
        <v>31.677098427915126</v>
      </c>
      <c r="R94" s="19">
        <f t="shared" ca="1" si="6"/>
        <v>-17.591440802077717</v>
      </c>
      <c r="S94" s="19">
        <f t="shared" ca="1" si="7"/>
        <v>-21.208110759339736</v>
      </c>
      <c r="T94" s="19">
        <f t="shared" ca="1" si="8"/>
        <v>-18.235758228625247</v>
      </c>
      <c r="U94" s="19">
        <f t="shared" ca="1" si="9"/>
        <v>11.421802204622633</v>
      </c>
      <c r="V94" s="19">
        <f t="shared" ca="1" si="10"/>
        <v>-5.5583049753729368</v>
      </c>
    </row>
    <row r="95" spans="2:22" x14ac:dyDescent="0.2">
      <c r="B95" s="3" t="str">
        <f t="shared" si="11"/>
        <v/>
      </c>
      <c r="C95" s="2"/>
      <c r="D95" s="2"/>
      <c r="E95" s="2"/>
      <c r="F95" s="2"/>
      <c r="G95" s="2"/>
      <c r="H95" s="2"/>
      <c r="I95" s="2"/>
      <c r="J95" s="2" t="str">
        <f t="shared" ca="1" si="0"/>
        <v/>
      </c>
      <c r="K95" s="2" t="str">
        <f t="shared" ca="1" si="1"/>
        <v/>
      </c>
      <c r="L95" s="2" t="str">
        <f t="shared" ca="1" si="2"/>
        <v/>
      </c>
      <c r="N95" s="3">
        <f t="shared" si="12"/>
        <v>2017</v>
      </c>
      <c r="O95" s="19">
        <f t="shared" ca="1" si="3"/>
        <v>97.399863052334496</v>
      </c>
      <c r="P95" s="19">
        <f t="shared" ca="1" si="4"/>
        <v>1.9121524274731245</v>
      </c>
      <c r="Q95" s="19">
        <f t="shared" ca="1" si="5"/>
        <v>28.64509842791513</v>
      </c>
      <c r="R95" s="19">
        <f t="shared" ca="1" si="6"/>
        <v>-10.535440802077717</v>
      </c>
      <c r="S95" s="19">
        <f t="shared" ca="1" si="7"/>
        <v>-12.003110759339735</v>
      </c>
      <c r="T95" s="19">
        <f t="shared" ca="1" si="8"/>
        <v>-6.5777582286252478</v>
      </c>
      <c r="U95" s="19">
        <f t="shared" ca="1" si="9"/>
        <v>14.614802204622633</v>
      </c>
      <c r="V95" s="19">
        <f t="shared" ca="1" si="10"/>
        <v>-0.13930497537293673</v>
      </c>
    </row>
    <row r="96" spans="2:22" x14ac:dyDescent="0.2">
      <c r="B96" s="3" t="str">
        <f t="shared" si="11"/>
        <v/>
      </c>
      <c r="C96" s="2"/>
      <c r="D96" s="2"/>
      <c r="E96" s="2"/>
      <c r="F96" s="2"/>
      <c r="G96" s="2"/>
      <c r="H96" s="2"/>
      <c r="I96" s="2"/>
      <c r="J96" s="2" t="str">
        <f t="shared" ca="1" si="0"/>
        <v/>
      </c>
      <c r="K96" s="2" t="str">
        <f t="shared" ca="1" si="1"/>
        <v/>
      </c>
      <c r="L96" s="2" t="str">
        <f t="shared" ca="1" si="2"/>
        <v/>
      </c>
      <c r="N96" s="3">
        <f t="shared" si="12"/>
        <v>2018</v>
      </c>
      <c r="O96" s="19">
        <f t="shared" ca="1" si="3"/>
        <v>100.74986305233449</v>
      </c>
      <c r="P96" s="19">
        <f t="shared" ca="1" si="4"/>
        <v>3.2451524274731245</v>
      </c>
      <c r="Q96" s="19">
        <f t="shared" ca="1" si="5"/>
        <v>28.723098427915126</v>
      </c>
      <c r="R96" s="19">
        <f t="shared" ca="1" si="6"/>
        <v>-7.0844408020777161</v>
      </c>
      <c r="S96" s="19">
        <f t="shared" ca="1" si="7"/>
        <v>-8.4041107593397353</v>
      </c>
      <c r="T96" s="19">
        <f t="shared" ca="1" si="8"/>
        <v>0.13924177137475191</v>
      </c>
      <c r="U96" s="19">
        <f t="shared" ca="1" si="9"/>
        <v>18.142802204622633</v>
      </c>
      <c r="V96" s="19">
        <f t="shared" ca="1" si="10"/>
        <v>0.38069502462706328</v>
      </c>
    </row>
    <row r="97" spans="2:22" x14ac:dyDescent="0.2">
      <c r="B97" s="3" t="str">
        <f t="shared" si="11"/>
        <v/>
      </c>
      <c r="C97" s="2"/>
      <c r="D97" s="2"/>
      <c r="E97" s="2"/>
      <c r="F97" s="2"/>
      <c r="G97" s="2"/>
      <c r="H97" s="2"/>
      <c r="I97" s="2"/>
      <c r="J97" s="2" t="str">
        <f t="shared" ca="1" si="0"/>
        <v/>
      </c>
      <c r="K97" s="2" t="str">
        <f t="shared" ca="1" si="1"/>
        <v/>
      </c>
      <c r="L97" s="2" t="str">
        <f t="shared" ca="1" si="2"/>
        <v/>
      </c>
      <c r="N97" s="3">
        <f t="shared" si="12"/>
        <v>2019</v>
      </c>
      <c r="O97" s="19">
        <f t="shared" ca="1" si="3"/>
        <v>101.8908630523345</v>
      </c>
      <c r="P97" s="19">
        <f t="shared" ca="1" si="4"/>
        <v>-3.6847572526875316E-2</v>
      </c>
      <c r="Q97" s="19">
        <f t="shared" ca="1" si="5"/>
        <v>29.122098427915127</v>
      </c>
      <c r="R97" s="19">
        <f t="shared" ca="1" si="6"/>
        <v>-5.2894408020777162</v>
      </c>
      <c r="S97" s="19">
        <f t="shared" ca="1" si="7"/>
        <v>-6.4011107593397352</v>
      </c>
      <c r="T97" s="19">
        <f t="shared" ca="1" si="8"/>
        <v>4.7552417713747523</v>
      </c>
      <c r="U97" s="19">
        <f t="shared" ca="1" si="9"/>
        <v>21.694802204622636</v>
      </c>
      <c r="V97" s="19">
        <f t="shared" ca="1" si="10"/>
        <v>0.2826950246270632</v>
      </c>
    </row>
    <row r="98" spans="2:22" x14ac:dyDescent="0.2">
      <c r="B98" s="3" t="str">
        <f t="shared" si="11"/>
        <v/>
      </c>
      <c r="C98" s="2"/>
      <c r="D98" s="2"/>
      <c r="E98" s="2"/>
      <c r="F98" s="2"/>
      <c r="G98" s="2"/>
      <c r="H98" s="2"/>
      <c r="I98" s="2"/>
      <c r="J98" s="2" t="str">
        <f t="shared" ca="1" si="0"/>
        <v/>
      </c>
      <c r="K98" s="2" t="str">
        <f t="shared" ca="1" si="1"/>
        <v/>
      </c>
      <c r="L98" s="2" t="str">
        <f t="shared" ca="1" si="2"/>
        <v/>
      </c>
      <c r="N98" s="3">
        <f t="shared" si="12"/>
        <v>2020</v>
      </c>
      <c r="O98" s="19">
        <f t="shared" ca="1" si="3"/>
        <v>103.59686305233448</v>
      </c>
      <c r="P98" s="19">
        <f t="shared" ca="1" si="4"/>
        <v>0.34415242747312491</v>
      </c>
      <c r="Q98" s="19">
        <f t="shared" ca="1" si="5"/>
        <v>29.33709842791513</v>
      </c>
      <c r="R98" s="19">
        <f t="shared" ca="1" si="6"/>
        <v>-2.0514408020777166</v>
      </c>
      <c r="S98" s="19">
        <f t="shared" ca="1" si="7"/>
        <v>-2.9961107593397354</v>
      </c>
      <c r="T98" s="19">
        <f t="shared" ca="1" si="8"/>
        <v>5.9972417713747523</v>
      </c>
      <c r="U98" s="19">
        <f t="shared" ca="1" si="9"/>
        <v>23.408802204622635</v>
      </c>
      <c r="V98" s="19">
        <f t="shared" ca="1" si="10"/>
        <v>-0.23230497537293671</v>
      </c>
    </row>
    <row r="99" spans="2:22" x14ac:dyDescent="0.2">
      <c r="B99" s="3" t="str">
        <f t="shared" si="11"/>
        <v/>
      </c>
      <c r="C99" s="2"/>
      <c r="D99" s="2"/>
      <c r="E99" s="2"/>
      <c r="F99" s="2"/>
      <c r="G99" s="2"/>
      <c r="H99" s="2"/>
      <c r="I99" s="2"/>
      <c r="J99" s="2" t="str">
        <f t="shared" ca="1" si="0"/>
        <v/>
      </c>
      <c r="K99" s="2" t="str">
        <f t="shared" ca="1" si="1"/>
        <v/>
      </c>
      <c r="L99" s="2" t="str">
        <f t="shared" ca="1" si="2"/>
        <v/>
      </c>
      <c r="N99" s="3">
        <f t="shared" si="12"/>
        <v>2021</v>
      </c>
      <c r="O99" s="19">
        <f t="shared" ca="1" si="3"/>
        <v>105.72586305233449</v>
      </c>
      <c r="P99" s="19">
        <f t="shared" ca="1" si="4"/>
        <v>0.15615242747312474</v>
      </c>
      <c r="Q99" s="19">
        <f t="shared" ca="1" si="5"/>
        <v>29.128098427915127</v>
      </c>
      <c r="R99" s="19">
        <f t="shared" ca="1" si="6"/>
        <v>-2.0294408020777168</v>
      </c>
      <c r="S99" s="19">
        <f t="shared" ca="1" si="7"/>
        <v>-2.7831107593397357</v>
      </c>
      <c r="T99" s="19">
        <f t="shared" ca="1" si="8"/>
        <v>7.137241771374752</v>
      </c>
      <c r="U99" s="19">
        <f t="shared" ca="1" si="9"/>
        <v>24.315802204622635</v>
      </c>
      <c r="V99" s="19">
        <f t="shared" ca="1" si="10"/>
        <v>-0.61530497537293671</v>
      </c>
    </row>
    <row r="100" spans="2:22" x14ac:dyDescent="0.2">
      <c r="B100" s="3" t="str">
        <f t="shared" si="11"/>
        <v/>
      </c>
      <c r="C100" s="2"/>
      <c r="D100" s="2"/>
      <c r="E100" s="2"/>
      <c r="F100" s="2"/>
      <c r="G100" s="2"/>
      <c r="H100" s="2"/>
      <c r="I100" s="2"/>
      <c r="J100" s="2" t="str">
        <f t="shared" ca="1" si="0"/>
        <v/>
      </c>
      <c r="K100" s="2" t="str">
        <f t="shared" ca="1" si="1"/>
        <v/>
      </c>
      <c r="L100" s="2" t="str">
        <f t="shared" ca="1" si="2"/>
        <v/>
      </c>
      <c r="N100" s="3">
        <f t="shared" si="12"/>
        <v>2022</v>
      </c>
      <c r="O100" s="19">
        <f t="shared" ca="1" si="3"/>
        <v>106.15686305233449</v>
      </c>
      <c r="P100" s="19">
        <f t="shared" ca="1" si="4"/>
        <v>0.12515242747312461</v>
      </c>
      <c r="Q100" s="19">
        <f t="shared" ca="1" si="5"/>
        <v>29.007098427915125</v>
      </c>
      <c r="R100" s="19">
        <f t="shared" ca="1" si="6"/>
        <v>-1.7874408020777168</v>
      </c>
      <c r="S100" s="19">
        <f t="shared" ca="1" si="7"/>
        <v>-2.5041107593397354</v>
      </c>
      <c r="T100" s="19">
        <f t="shared" ca="1" si="8"/>
        <v>8.0772417713747515</v>
      </c>
      <c r="U100" s="19">
        <f t="shared" ca="1" si="9"/>
        <v>25.483802204622634</v>
      </c>
      <c r="V100" s="19">
        <f t="shared" ca="1" si="10"/>
        <v>-0.66430497537293676</v>
      </c>
    </row>
    <row r="101" spans="2:22" x14ac:dyDescent="0.2">
      <c r="B101" s="3" t="str">
        <f t="shared" si="11"/>
        <v/>
      </c>
      <c r="C101" s="2"/>
      <c r="D101" s="2"/>
      <c r="E101" s="2"/>
      <c r="F101" s="2"/>
      <c r="G101" s="2"/>
      <c r="H101" s="2"/>
      <c r="I101" s="2"/>
      <c r="J101" s="2" t="str">
        <f t="shared" ca="1" si="0"/>
        <v/>
      </c>
      <c r="K101" s="2" t="str">
        <f t="shared" ca="1" si="1"/>
        <v/>
      </c>
      <c r="L101" s="2" t="str">
        <f t="shared" ca="1" si="2"/>
        <v/>
      </c>
      <c r="N101" s="3" t="str">
        <f t="shared" si="12"/>
        <v/>
      </c>
      <c r="O101" s="19" t="str">
        <f t="shared" ca="1" si="3"/>
        <v/>
      </c>
      <c r="P101" s="19" t="str">
        <f t="shared" ca="1" si="4"/>
        <v/>
      </c>
      <c r="Q101" s="19" t="str">
        <f t="shared" ca="1" si="5"/>
        <v/>
      </c>
      <c r="R101" s="19" t="str">
        <f t="shared" ca="1" si="6"/>
        <v/>
      </c>
      <c r="S101" s="19" t="str">
        <f t="shared" ca="1" si="7"/>
        <v/>
      </c>
      <c r="T101" s="19" t="str">
        <f t="shared" ca="1" si="8"/>
        <v/>
      </c>
      <c r="U101" s="19" t="str">
        <f t="shared" ca="1" si="9"/>
        <v/>
      </c>
      <c r="V101" s="19" t="str">
        <f t="shared" ca="1" si="10"/>
        <v/>
      </c>
    </row>
    <row r="102" spans="2:22" x14ac:dyDescent="0.2">
      <c r="B102" s="3" t="str">
        <f t="shared" si="11"/>
        <v/>
      </c>
      <c r="C102" s="2"/>
      <c r="D102" s="2"/>
      <c r="E102" s="2"/>
      <c r="F102" s="2"/>
      <c r="G102" s="2"/>
      <c r="H102" s="2"/>
      <c r="I102" s="2"/>
      <c r="J102" s="2" t="str">
        <f t="shared" ca="1" si="0"/>
        <v/>
      </c>
      <c r="K102" s="2" t="str">
        <f t="shared" ca="1" si="1"/>
        <v/>
      </c>
      <c r="L102" s="2" t="str">
        <f t="shared" ca="1" si="2"/>
        <v/>
      </c>
      <c r="N102" s="3" t="str">
        <f t="shared" si="12"/>
        <v/>
      </c>
      <c r="O102" s="19" t="str">
        <f t="shared" ca="1" si="3"/>
        <v/>
      </c>
      <c r="P102" s="19" t="str">
        <f t="shared" ca="1" si="4"/>
        <v/>
      </c>
      <c r="Q102" s="19" t="str">
        <f t="shared" ca="1" si="5"/>
        <v/>
      </c>
      <c r="R102" s="19" t="str">
        <f t="shared" ca="1" si="6"/>
        <v/>
      </c>
      <c r="S102" s="19" t="str">
        <f t="shared" ca="1" si="7"/>
        <v/>
      </c>
      <c r="T102" s="19" t="str">
        <f t="shared" ca="1" si="8"/>
        <v/>
      </c>
      <c r="U102" s="19" t="str">
        <f t="shared" ca="1" si="9"/>
        <v/>
      </c>
      <c r="V102" s="19" t="str">
        <f t="shared" ca="1" si="10"/>
        <v/>
      </c>
    </row>
    <row r="103" spans="2:22" x14ac:dyDescent="0.2">
      <c r="B103" s="3" t="str">
        <f t="shared" si="11"/>
        <v/>
      </c>
      <c r="C103" s="2"/>
      <c r="D103" s="2"/>
      <c r="E103" s="2"/>
      <c r="F103" s="2"/>
      <c r="G103" s="2"/>
      <c r="H103" s="2"/>
      <c r="I103" s="2"/>
      <c r="J103" s="2" t="str">
        <f t="shared" ca="1" si="0"/>
        <v/>
      </c>
      <c r="K103" s="2" t="str">
        <f t="shared" ca="1" si="1"/>
        <v/>
      </c>
      <c r="L103" s="2" t="str">
        <f t="shared" ca="1" si="2"/>
        <v/>
      </c>
      <c r="N103" s="3" t="str">
        <f t="shared" si="12"/>
        <v/>
      </c>
      <c r="O103" s="19" t="str">
        <f t="shared" ca="1" si="3"/>
        <v/>
      </c>
      <c r="P103" s="19" t="str">
        <f t="shared" ca="1" si="4"/>
        <v/>
      </c>
      <c r="Q103" s="19" t="str">
        <f t="shared" ca="1" si="5"/>
        <v/>
      </c>
      <c r="R103" s="19" t="str">
        <f t="shared" ca="1" si="6"/>
        <v/>
      </c>
      <c r="S103" s="19" t="str">
        <f t="shared" ca="1" si="7"/>
        <v/>
      </c>
      <c r="T103" s="19" t="str">
        <f t="shared" ca="1" si="8"/>
        <v/>
      </c>
      <c r="U103" s="19" t="str">
        <f t="shared" ca="1" si="9"/>
        <v/>
      </c>
      <c r="V103" s="19" t="str">
        <f t="shared" ca="1" si="10"/>
        <v/>
      </c>
    </row>
    <row r="104" spans="2:22" x14ac:dyDescent="0.2">
      <c r="B104" s="3" t="str">
        <f t="shared" si="11"/>
        <v/>
      </c>
      <c r="C104" s="2"/>
      <c r="D104" s="2"/>
      <c r="E104" s="2"/>
      <c r="F104" s="2"/>
      <c r="G104" s="2"/>
      <c r="H104" s="2"/>
      <c r="I104" s="2"/>
      <c r="J104" s="2" t="str">
        <f t="shared" ca="1" si="0"/>
        <v/>
      </c>
      <c r="K104" s="2" t="str">
        <f t="shared" ca="1" si="1"/>
        <v/>
      </c>
      <c r="L104" s="2" t="str">
        <f t="shared" ca="1" si="2"/>
        <v/>
      </c>
      <c r="N104" s="3" t="str">
        <f t="shared" si="12"/>
        <v/>
      </c>
      <c r="O104" s="19" t="str">
        <f t="shared" ca="1" si="3"/>
        <v/>
      </c>
      <c r="P104" s="19" t="str">
        <f t="shared" ca="1" si="4"/>
        <v/>
      </c>
      <c r="Q104" s="19" t="str">
        <f t="shared" ca="1" si="5"/>
        <v/>
      </c>
      <c r="R104" s="19" t="str">
        <f t="shared" ca="1" si="6"/>
        <v/>
      </c>
      <c r="S104" s="19" t="str">
        <f t="shared" ca="1" si="7"/>
        <v/>
      </c>
      <c r="T104" s="19" t="str">
        <f t="shared" ca="1" si="8"/>
        <v/>
      </c>
      <c r="U104" s="19" t="str">
        <f t="shared" ca="1" si="9"/>
        <v/>
      </c>
      <c r="V104" s="19" t="str">
        <f t="shared" ca="1" si="10"/>
        <v/>
      </c>
    </row>
    <row r="105" spans="2:22" x14ac:dyDescent="0.2">
      <c r="B105" s="3" t="str">
        <f t="shared" si="11"/>
        <v/>
      </c>
      <c r="C105" s="2"/>
      <c r="D105" s="2"/>
      <c r="E105" s="2"/>
      <c r="F105" s="2"/>
      <c r="G105" s="2"/>
      <c r="H105" s="2"/>
      <c r="I105" s="2"/>
      <c r="J105" s="2" t="str">
        <f t="shared" ca="1" si="0"/>
        <v/>
      </c>
      <c r="K105" s="2" t="str">
        <f t="shared" ca="1" si="1"/>
        <v/>
      </c>
      <c r="L105" s="2" t="str">
        <f t="shared" ca="1" si="2"/>
        <v/>
      </c>
      <c r="N105" s="3" t="str">
        <f t="shared" si="12"/>
        <v/>
      </c>
      <c r="O105" s="19" t="str">
        <f t="shared" ca="1" si="3"/>
        <v/>
      </c>
      <c r="P105" s="19" t="str">
        <f t="shared" ca="1" si="4"/>
        <v/>
      </c>
      <c r="Q105" s="19" t="str">
        <f t="shared" ca="1" si="5"/>
        <v/>
      </c>
      <c r="R105" s="19" t="str">
        <f t="shared" ca="1" si="6"/>
        <v/>
      </c>
      <c r="S105" s="19" t="str">
        <f t="shared" ca="1" si="7"/>
        <v/>
      </c>
      <c r="T105" s="19" t="str">
        <f t="shared" ca="1" si="8"/>
        <v/>
      </c>
      <c r="U105" s="19" t="str">
        <f t="shared" ca="1" si="9"/>
        <v/>
      </c>
      <c r="V105" s="19" t="str">
        <f t="shared" ca="1" si="10"/>
        <v/>
      </c>
    </row>
    <row r="106" spans="2:22" x14ac:dyDescent="0.2">
      <c r="B106" s="3" t="str">
        <f t="shared" si="11"/>
        <v/>
      </c>
      <c r="C106" s="2"/>
      <c r="D106" s="2"/>
      <c r="E106" s="2"/>
      <c r="F106" s="2"/>
      <c r="G106" s="2"/>
      <c r="H106" s="2"/>
      <c r="I106" s="2"/>
      <c r="J106" s="2" t="str">
        <f t="shared" ca="1" si="0"/>
        <v/>
      </c>
      <c r="K106" s="2" t="str">
        <f t="shared" ca="1" si="1"/>
        <v/>
      </c>
      <c r="L106" s="2" t="str">
        <f t="shared" ca="1" si="2"/>
        <v/>
      </c>
      <c r="N106" s="3" t="str">
        <f t="shared" si="12"/>
        <v/>
      </c>
      <c r="O106" s="19" t="str">
        <f t="shared" ca="1" si="3"/>
        <v/>
      </c>
      <c r="P106" s="19" t="str">
        <f t="shared" ca="1" si="4"/>
        <v/>
      </c>
      <c r="Q106" s="19" t="str">
        <f t="shared" ca="1" si="5"/>
        <v/>
      </c>
      <c r="R106" s="19" t="str">
        <f t="shared" ca="1" si="6"/>
        <v/>
      </c>
      <c r="S106" s="19" t="str">
        <f t="shared" ca="1" si="7"/>
        <v/>
      </c>
      <c r="T106" s="19" t="str">
        <f t="shared" ca="1" si="8"/>
        <v/>
      </c>
      <c r="U106" s="19" t="str">
        <f t="shared" ca="1" si="9"/>
        <v/>
      </c>
      <c r="V106" s="19" t="str">
        <f t="shared" ca="1" si="10"/>
        <v/>
      </c>
    </row>
    <row r="107" spans="2:22" x14ac:dyDescent="0.2">
      <c r="B107" s="3" t="str">
        <f t="shared" si="11"/>
        <v/>
      </c>
      <c r="C107" s="2"/>
      <c r="D107" s="2"/>
      <c r="E107" s="2"/>
      <c r="F107" s="2"/>
      <c r="G107" s="2"/>
      <c r="H107" s="2"/>
      <c r="I107" s="2"/>
      <c r="J107" s="2" t="str">
        <f t="shared" ca="1" si="0"/>
        <v/>
      </c>
      <c r="K107" s="2" t="str">
        <f t="shared" ca="1" si="1"/>
        <v/>
      </c>
      <c r="L107" s="2" t="str">
        <f t="shared" ca="1" si="2"/>
        <v/>
      </c>
      <c r="N107" s="3" t="str">
        <f t="shared" si="12"/>
        <v/>
      </c>
      <c r="O107" s="19" t="str">
        <f t="shared" ca="1" si="3"/>
        <v/>
      </c>
      <c r="P107" s="19" t="str">
        <f t="shared" ca="1" si="4"/>
        <v/>
      </c>
      <c r="Q107" s="19" t="str">
        <f t="shared" ca="1" si="5"/>
        <v/>
      </c>
      <c r="R107" s="19" t="str">
        <f t="shared" ca="1" si="6"/>
        <v/>
      </c>
      <c r="S107" s="19" t="str">
        <f t="shared" ca="1" si="7"/>
        <v/>
      </c>
      <c r="T107" s="19" t="str">
        <f t="shared" ca="1" si="8"/>
        <v/>
      </c>
      <c r="U107" s="19" t="str">
        <f t="shared" ca="1" si="9"/>
        <v/>
      </c>
      <c r="V107" s="19" t="str">
        <f t="shared" ca="1" si="10"/>
        <v/>
      </c>
    </row>
    <row r="108" spans="2:22" x14ac:dyDescent="0.2">
      <c r="B108" s="3" t="str">
        <f t="shared" si="11"/>
        <v/>
      </c>
      <c r="C108" s="2"/>
      <c r="D108" s="2"/>
      <c r="E108" s="2"/>
      <c r="F108" s="2"/>
      <c r="G108" s="2"/>
      <c r="H108" s="2"/>
      <c r="I108" s="2"/>
      <c r="J108" s="2" t="str">
        <f t="shared" ca="1" si="0"/>
        <v/>
      </c>
      <c r="K108" s="2" t="str">
        <f t="shared" ca="1" si="1"/>
        <v/>
      </c>
      <c r="L108" s="2" t="str">
        <f t="shared" ca="1" si="2"/>
        <v/>
      </c>
      <c r="N108" s="3" t="str">
        <f t="shared" si="12"/>
        <v/>
      </c>
      <c r="O108" s="19" t="str">
        <f t="shared" ca="1" si="3"/>
        <v/>
      </c>
      <c r="P108" s="19" t="str">
        <f t="shared" ca="1" si="4"/>
        <v/>
      </c>
      <c r="Q108" s="19" t="str">
        <f t="shared" ca="1" si="5"/>
        <v/>
      </c>
      <c r="R108" s="19" t="str">
        <f t="shared" ca="1" si="6"/>
        <v/>
      </c>
      <c r="S108" s="19" t="str">
        <f t="shared" ca="1" si="7"/>
        <v/>
      </c>
      <c r="T108" s="19" t="str">
        <f t="shared" ca="1" si="8"/>
        <v/>
      </c>
      <c r="U108" s="19" t="str">
        <f t="shared" ca="1" si="9"/>
        <v/>
      </c>
      <c r="V108" s="19" t="str">
        <f t="shared" ca="1" si="10"/>
        <v/>
      </c>
    </row>
    <row r="109" spans="2:22" x14ac:dyDescent="0.2">
      <c r="B109" s="3" t="str">
        <f t="shared" si="11"/>
        <v/>
      </c>
      <c r="C109" s="2"/>
      <c r="D109" s="2"/>
      <c r="E109" s="2"/>
      <c r="F109" s="2"/>
      <c r="G109" s="2"/>
      <c r="H109" s="2"/>
      <c r="I109" s="2"/>
      <c r="J109" s="2" t="str">
        <f t="shared" ca="1" si="0"/>
        <v/>
      </c>
      <c r="K109" s="2" t="str">
        <f t="shared" ca="1" si="1"/>
        <v/>
      </c>
      <c r="L109" s="2" t="str">
        <f t="shared" ca="1" si="2"/>
        <v/>
      </c>
      <c r="N109" s="3" t="str">
        <f t="shared" si="12"/>
        <v/>
      </c>
      <c r="O109" s="19" t="str">
        <f t="shared" ca="1" si="3"/>
        <v/>
      </c>
      <c r="P109" s="19" t="str">
        <f t="shared" ca="1" si="4"/>
        <v/>
      </c>
      <c r="Q109" s="19" t="str">
        <f t="shared" ca="1" si="5"/>
        <v/>
      </c>
      <c r="R109" s="19" t="str">
        <f t="shared" ca="1" si="6"/>
        <v/>
      </c>
      <c r="S109" s="19" t="str">
        <f t="shared" ca="1" si="7"/>
        <v/>
      </c>
      <c r="T109" s="19" t="str">
        <f t="shared" ca="1" si="8"/>
        <v/>
      </c>
      <c r="U109" s="19" t="str">
        <f t="shared" ca="1" si="9"/>
        <v/>
      </c>
      <c r="V109" s="19" t="str">
        <f t="shared" ca="1" si="10"/>
        <v/>
      </c>
    </row>
    <row r="110" spans="2:22" x14ac:dyDescent="0.2">
      <c r="B110" s="3" t="str">
        <f t="shared" si="11"/>
        <v/>
      </c>
      <c r="C110" s="2"/>
      <c r="D110" s="2"/>
      <c r="E110" s="2"/>
      <c r="F110" s="2"/>
      <c r="G110" s="2"/>
      <c r="H110" s="2"/>
      <c r="I110" s="2"/>
      <c r="J110" s="2" t="str">
        <f t="shared" ca="1" si="0"/>
        <v/>
      </c>
      <c r="K110" s="2" t="str">
        <f t="shared" ca="1" si="1"/>
        <v/>
      </c>
      <c r="L110" s="2" t="str">
        <f t="shared" ca="1" si="2"/>
        <v/>
      </c>
      <c r="N110" s="3" t="str">
        <f t="shared" si="12"/>
        <v/>
      </c>
      <c r="O110" s="19" t="str">
        <f t="shared" ca="1" si="3"/>
        <v/>
      </c>
      <c r="P110" s="19" t="str">
        <f t="shared" ca="1" si="4"/>
        <v/>
      </c>
      <c r="Q110" s="19" t="str">
        <f t="shared" ca="1" si="5"/>
        <v/>
      </c>
      <c r="R110" s="19" t="str">
        <f t="shared" ca="1" si="6"/>
        <v/>
      </c>
      <c r="S110" s="19" t="str">
        <f t="shared" ca="1" si="7"/>
        <v/>
      </c>
      <c r="T110" s="19" t="str">
        <f t="shared" ca="1" si="8"/>
        <v/>
      </c>
      <c r="U110" s="19" t="str">
        <f t="shared" ca="1" si="9"/>
        <v/>
      </c>
      <c r="V110" s="19" t="str">
        <f t="shared" ca="1" si="10"/>
        <v/>
      </c>
    </row>
    <row r="111" spans="2:22" x14ac:dyDescent="0.2">
      <c r="B111" s="3" t="str">
        <f t="shared" si="11"/>
        <v/>
      </c>
      <c r="C111" s="2"/>
      <c r="D111" s="2"/>
      <c r="E111" s="2"/>
      <c r="F111" s="2"/>
      <c r="G111" s="2"/>
      <c r="H111" s="2"/>
      <c r="I111" s="2"/>
      <c r="J111" s="2" t="str">
        <f t="shared" ca="1" si="0"/>
        <v/>
      </c>
      <c r="K111" s="2" t="str">
        <f t="shared" ca="1" si="1"/>
        <v/>
      </c>
      <c r="L111" s="2" t="str">
        <f t="shared" ca="1" si="2"/>
        <v/>
      </c>
      <c r="N111" s="3" t="str">
        <f t="shared" si="12"/>
        <v/>
      </c>
      <c r="O111" s="19" t="str">
        <f t="shared" ca="1" si="3"/>
        <v/>
      </c>
      <c r="P111" s="19" t="str">
        <f t="shared" ca="1" si="4"/>
        <v/>
      </c>
      <c r="Q111" s="19" t="str">
        <f t="shared" ca="1" si="5"/>
        <v/>
      </c>
      <c r="R111" s="19" t="str">
        <f t="shared" ca="1" si="6"/>
        <v/>
      </c>
      <c r="S111" s="19" t="str">
        <f t="shared" ca="1" si="7"/>
        <v/>
      </c>
      <c r="T111" s="19" t="str">
        <f t="shared" ca="1" si="8"/>
        <v/>
      </c>
      <c r="U111" s="19" t="str">
        <f t="shared" ca="1" si="9"/>
        <v/>
      </c>
      <c r="V111" s="19" t="str">
        <f t="shared" ca="1" si="10"/>
        <v/>
      </c>
    </row>
    <row r="112" spans="2:22" x14ac:dyDescent="0.2">
      <c r="B112" s="3" t="str">
        <f t="shared" si="11"/>
        <v/>
      </c>
      <c r="C112" s="2"/>
      <c r="D112" s="2"/>
      <c r="E112" s="2"/>
      <c r="F112" s="2"/>
      <c r="G112" s="2"/>
      <c r="H112" s="2"/>
      <c r="I112" s="2"/>
      <c r="J112" s="2" t="str">
        <f t="shared" ca="1" si="0"/>
        <v/>
      </c>
      <c r="K112" s="2" t="str">
        <f t="shared" ca="1" si="1"/>
        <v/>
      </c>
      <c r="L112" s="2" t="str">
        <f t="shared" ca="1" si="2"/>
        <v/>
      </c>
      <c r="N112" s="3" t="str">
        <f t="shared" si="12"/>
        <v/>
      </c>
      <c r="O112" s="19" t="str">
        <f t="shared" ca="1" si="3"/>
        <v/>
      </c>
      <c r="P112" s="19" t="str">
        <f t="shared" ca="1" si="4"/>
        <v/>
      </c>
      <c r="Q112" s="19" t="str">
        <f t="shared" ca="1" si="5"/>
        <v/>
      </c>
      <c r="R112" s="19" t="str">
        <f t="shared" ca="1" si="6"/>
        <v/>
      </c>
      <c r="S112" s="19" t="str">
        <f t="shared" ca="1" si="7"/>
        <v/>
      </c>
      <c r="T112" s="19" t="str">
        <f t="shared" ca="1" si="8"/>
        <v/>
      </c>
      <c r="U112" s="19" t="str">
        <f t="shared" ca="1" si="9"/>
        <v/>
      </c>
      <c r="V112" s="19" t="str">
        <f t="shared" ca="1" si="10"/>
        <v/>
      </c>
    </row>
    <row r="113" spans="2:22" x14ac:dyDescent="0.2">
      <c r="B113" s="3" t="str">
        <f t="shared" si="11"/>
        <v/>
      </c>
      <c r="C113" s="2"/>
      <c r="D113" s="2"/>
      <c r="E113" s="2"/>
      <c r="F113" s="2"/>
      <c r="G113" s="2"/>
      <c r="H113" s="2"/>
      <c r="I113" s="2"/>
      <c r="J113" s="2" t="str">
        <f t="shared" ca="1" si="0"/>
        <v/>
      </c>
      <c r="K113" s="2" t="str">
        <f t="shared" ca="1" si="1"/>
        <v/>
      </c>
      <c r="L113" s="2" t="str">
        <f t="shared" ca="1" si="2"/>
        <v/>
      </c>
      <c r="N113" s="3" t="str">
        <f t="shared" si="12"/>
        <v/>
      </c>
      <c r="O113" s="19" t="str">
        <f t="shared" ca="1" si="3"/>
        <v/>
      </c>
      <c r="P113" s="19" t="str">
        <f t="shared" ca="1" si="4"/>
        <v/>
      </c>
      <c r="Q113" s="19" t="str">
        <f t="shared" ca="1" si="5"/>
        <v/>
      </c>
      <c r="R113" s="19" t="str">
        <f t="shared" ca="1" si="6"/>
        <v/>
      </c>
      <c r="S113" s="19" t="str">
        <f t="shared" ca="1" si="7"/>
        <v/>
      </c>
      <c r="T113" s="19" t="str">
        <f t="shared" ca="1" si="8"/>
        <v/>
      </c>
      <c r="U113" s="19" t="str">
        <f t="shared" ca="1" si="9"/>
        <v/>
      </c>
      <c r="V113" s="19" t="str">
        <f t="shared" ca="1" si="10"/>
        <v/>
      </c>
    </row>
    <row r="114" spans="2:22" x14ac:dyDescent="0.2">
      <c r="B114" s="3" t="str">
        <f t="shared" si="11"/>
        <v/>
      </c>
      <c r="C114" s="2"/>
      <c r="D114" s="2"/>
      <c r="E114" s="2"/>
      <c r="F114" s="2"/>
      <c r="G114" s="2"/>
      <c r="H114" s="2"/>
      <c r="I114" s="2"/>
      <c r="J114" s="2" t="str">
        <f t="shared" ca="1" si="0"/>
        <v/>
      </c>
      <c r="K114" s="2" t="str">
        <f t="shared" ca="1" si="1"/>
        <v/>
      </c>
      <c r="L114" s="2" t="str">
        <f t="shared" ca="1" si="2"/>
        <v/>
      </c>
      <c r="N114" s="3" t="str">
        <f t="shared" si="12"/>
        <v/>
      </c>
      <c r="O114" s="19" t="str">
        <f t="shared" ca="1" si="3"/>
        <v/>
      </c>
      <c r="P114" s="19" t="str">
        <f t="shared" ca="1" si="4"/>
        <v/>
      </c>
      <c r="Q114" s="19" t="str">
        <f t="shared" ca="1" si="5"/>
        <v/>
      </c>
      <c r="R114" s="19" t="str">
        <f t="shared" ca="1" si="6"/>
        <v/>
      </c>
      <c r="S114" s="19" t="str">
        <f t="shared" ca="1" si="7"/>
        <v/>
      </c>
      <c r="T114" s="19" t="str">
        <f t="shared" ca="1" si="8"/>
        <v/>
      </c>
      <c r="U114" s="19" t="str">
        <f t="shared" ca="1" si="9"/>
        <v/>
      </c>
      <c r="V114" s="19" t="str">
        <f t="shared" ca="1" si="10"/>
        <v/>
      </c>
    </row>
    <row r="115" spans="2:22" x14ac:dyDescent="0.2">
      <c r="B115" s="3" t="str">
        <f t="shared" si="11"/>
        <v/>
      </c>
      <c r="C115" s="2"/>
      <c r="D115" s="2"/>
      <c r="E115" s="2"/>
      <c r="F115" s="2"/>
      <c r="G115" s="2"/>
      <c r="H115" s="2"/>
      <c r="I115" s="2"/>
      <c r="J115" s="2" t="str">
        <f t="shared" ca="1" si="0"/>
        <v/>
      </c>
      <c r="K115" s="2" t="str">
        <f t="shared" ca="1" si="1"/>
        <v/>
      </c>
      <c r="L115" s="2" t="str">
        <f t="shared" ca="1" si="2"/>
        <v/>
      </c>
      <c r="N115" s="3" t="str">
        <f t="shared" si="12"/>
        <v/>
      </c>
      <c r="O115" s="19" t="str">
        <f t="shared" ca="1" si="3"/>
        <v/>
      </c>
      <c r="P115" s="19" t="str">
        <f t="shared" ca="1" si="4"/>
        <v/>
      </c>
      <c r="Q115" s="19" t="str">
        <f t="shared" ca="1" si="5"/>
        <v/>
      </c>
      <c r="R115" s="19" t="str">
        <f t="shared" ca="1" si="6"/>
        <v/>
      </c>
      <c r="S115" s="19" t="str">
        <f t="shared" ca="1" si="7"/>
        <v/>
      </c>
      <c r="T115" s="19" t="str">
        <f t="shared" ca="1" si="8"/>
        <v/>
      </c>
      <c r="U115" s="19" t="str">
        <f t="shared" ca="1" si="9"/>
        <v/>
      </c>
      <c r="V115" s="19" t="str">
        <f t="shared" ca="1" si="10"/>
        <v/>
      </c>
    </row>
    <row r="116" spans="2:22" x14ac:dyDescent="0.2">
      <c r="B116" s="3" t="str">
        <f t="shared" si="11"/>
        <v/>
      </c>
      <c r="C116" s="2"/>
      <c r="D116" s="2"/>
      <c r="E116" s="2"/>
      <c r="F116" s="2"/>
      <c r="G116" s="2"/>
      <c r="H116" s="2"/>
      <c r="I116" s="2"/>
      <c r="J116" s="2" t="str">
        <f t="shared" ca="1" si="0"/>
        <v/>
      </c>
      <c r="K116" s="2" t="str">
        <f t="shared" ca="1" si="1"/>
        <v/>
      </c>
      <c r="L116" s="2" t="str">
        <f t="shared" ca="1" si="2"/>
        <v/>
      </c>
      <c r="N116" s="3" t="str">
        <f t="shared" si="12"/>
        <v/>
      </c>
      <c r="O116" s="19" t="str">
        <f t="shared" ca="1" si="3"/>
        <v/>
      </c>
      <c r="P116" s="19" t="str">
        <f t="shared" ca="1" si="4"/>
        <v/>
      </c>
      <c r="Q116" s="19" t="str">
        <f t="shared" ca="1" si="5"/>
        <v/>
      </c>
      <c r="R116" s="19" t="str">
        <f t="shared" ca="1" si="6"/>
        <v/>
      </c>
      <c r="S116" s="19" t="str">
        <f t="shared" ca="1" si="7"/>
        <v/>
      </c>
      <c r="T116" s="19" t="str">
        <f t="shared" ca="1" si="8"/>
        <v/>
      </c>
      <c r="U116" s="19" t="str">
        <f t="shared" ca="1" si="9"/>
        <v/>
      </c>
      <c r="V116" s="19" t="str">
        <f t="shared" ca="1" si="10"/>
        <v/>
      </c>
    </row>
    <row r="117" spans="2:22" x14ac:dyDescent="0.2">
      <c r="B117" s="3" t="str">
        <f t="shared" si="11"/>
        <v/>
      </c>
      <c r="C117" s="2"/>
      <c r="D117" s="2"/>
      <c r="E117" s="2"/>
      <c r="F117" s="2"/>
      <c r="G117" s="2"/>
      <c r="H117" s="2"/>
      <c r="I117" s="2"/>
      <c r="J117" s="2" t="str">
        <f t="shared" ca="1" si="0"/>
        <v/>
      </c>
      <c r="K117" s="2" t="str">
        <f t="shared" ca="1" si="1"/>
        <v/>
      </c>
      <c r="L117" s="2" t="str">
        <f t="shared" ca="1" si="2"/>
        <v/>
      </c>
      <c r="N117" s="3" t="str">
        <f t="shared" si="12"/>
        <v/>
      </c>
      <c r="O117" s="19" t="str">
        <f t="shared" ca="1" si="3"/>
        <v/>
      </c>
      <c r="P117" s="19" t="str">
        <f t="shared" ca="1" si="4"/>
        <v/>
      </c>
      <c r="Q117" s="19" t="str">
        <f t="shared" ca="1" si="5"/>
        <v/>
      </c>
      <c r="R117" s="19" t="str">
        <f t="shared" ca="1" si="6"/>
        <v/>
      </c>
      <c r="S117" s="19" t="str">
        <f t="shared" ca="1" si="7"/>
        <v/>
      </c>
      <c r="T117" s="19" t="str">
        <f t="shared" ca="1" si="8"/>
        <v/>
      </c>
      <c r="U117" s="19" t="str">
        <f t="shared" ca="1" si="9"/>
        <v/>
      </c>
      <c r="V117" s="19" t="str">
        <f t="shared" ca="1" si="10"/>
        <v/>
      </c>
    </row>
    <row r="118" spans="2:22" x14ac:dyDescent="0.2">
      <c r="B118" s="3" t="str">
        <f t="shared" si="11"/>
        <v/>
      </c>
      <c r="C118" s="2"/>
      <c r="D118" s="2"/>
      <c r="E118" s="2"/>
      <c r="F118" s="2"/>
      <c r="G118" s="2"/>
      <c r="H118" s="2"/>
      <c r="I118" s="2"/>
      <c r="J118" s="2" t="str">
        <f t="shared" ca="1" si="0"/>
        <v/>
      </c>
      <c r="K118" s="2" t="str">
        <f t="shared" ca="1" si="1"/>
        <v/>
      </c>
      <c r="L118" s="2" t="str">
        <f t="shared" ca="1" si="2"/>
        <v/>
      </c>
      <c r="N118" s="3" t="str">
        <f t="shared" si="12"/>
        <v/>
      </c>
      <c r="O118" s="19" t="str">
        <f t="shared" ca="1" si="3"/>
        <v/>
      </c>
      <c r="P118" s="19" t="str">
        <f t="shared" ca="1" si="4"/>
        <v/>
      </c>
      <c r="Q118" s="19" t="str">
        <f t="shared" ca="1" si="5"/>
        <v/>
      </c>
      <c r="R118" s="19" t="str">
        <f t="shared" ca="1" si="6"/>
        <v/>
      </c>
      <c r="S118" s="19" t="str">
        <f t="shared" ca="1" si="7"/>
        <v/>
      </c>
      <c r="T118" s="19" t="str">
        <f t="shared" ca="1" si="8"/>
        <v/>
      </c>
      <c r="U118" s="19" t="str">
        <f t="shared" ca="1" si="9"/>
        <v/>
      </c>
      <c r="V118" s="19" t="str">
        <f t="shared" ca="1" si="10"/>
        <v/>
      </c>
    </row>
    <row r="119" spans="2:22" x14ac:dyDescent="0.2">
      <c r="B119" s="3" t="str">
        <f t="shared" si="11"/>
        <v/>
      </c>
      <c r="C119" s="2"/>
      <c r="D119" s="2"/>
      <c r="E119" s="2"/>
      <c r="F119" s="2"/>
      <c r="G119" s="2"/>
      <c r="H119" s="2"/>
      <c r="I119" s="2"/>
      <c r="J119" s="2" t="str">
        <f t="shared" ca="1" si="0"/>
        <v/>
      </c>
      <c r="K119" s="2" t="str">
        <f t="shared" ca="1" si="1"/>
        <v/>
      </c>
      <c r="L119" s="2" t="str">
        <f t="shared" ca="1" si="2"/>
        <v/>
      </c>
      <c r="N119" s="3" t="str">
        <f t="shared" si="12"/>
        <v/>
      </c>
      <c r="O119" s="19" t="str">
        <f t="shared" ca="1" si="3"/>
        <v/>
      </c>
      <c r="P119" s="19" t="str">
        <f t="shared" ca="1" si="4"/>
        <v/>
      </c>
      <c r="Q119" s="19" t="str">
        <f t="shared" ca="1" si="5"/>
        <v/>
      </c>
      <c r="R119" s="19" t="str">
        <f t="shared" ca="1" si="6"/>
        <v/>
      </c>
      <c r="S119" s="19" t="str">
        <f t="shared" ca="1" si="7"/>
        <v/>
      </c>
      <c r="T119" s="19" t="str">
        <f t="shared" ca="1" si="8"/>
        <v/>
      </c>
      <c r="U119" s="19" t="str">
        <f t="shared" ca="1" si="9"/>
        <v/>
      </c>
      <c r="V119" s="19" t="str">
        <f t="shared" ca="1" si="10"/>
        <v/>
      </c>
    </row>
    <row r="120" spans="2:22" x14ac:dyDescent="0.2">
      <c r="B120" s="3" t="str">
        <f t="shared" si="11"/>
        <v/>
      </c>
      <c r="C120" s="2"/>
      <c r="D120" s="2"/>
      <c r="E120" s="2"/>
      <c r="F120" s="2"/>
      <c r="G120" s="2"/>
      <c r="H120" s="2"/>
      <c r="I120" s="2"/>
      <c r="J120" s="2" t="str">
        <f t="shared" ca="1" si="0"/>
        <v/>
      </c>
      <c r="K120" s="2" t="str">
        <f t="shared" ca="1" si="1"/>
        <v/>
      </c>
      <c r="L120" s="2" t="str">
        <f t="shared" ca="1" si="2"/>
        <v/>
      </c>
      <c r="N120" s="3" t="str">
        <f t="shared" si="12"/>
        <v/>
      </c>
      <c r="O120" s="19" t="str">
        <f t="shared" ca="1" si="3"/>
        <v/>
      </c>
      <c r="P120" s="19" t="str">
        <f t="shared" ca="1" si="4"/>
        <v/>
      </c>
      <c r="Q120" s="19" t="str">
        <f t="shared" ca="1" si="5"/>
        <v/>
      </c>
      <c r="R120" s="19" t="str">
        <f t="shared" ca="1" si="6"/>
        <v/>
      </c>
      <c r="S120" s="19" t="str">
        <f t="shared" ca="1" si="7"/>
        <v/>
      </c>
      <c r="T120" s="19" t="str">
        <f t="shared" ca="1" si="8"/>
        <v/>
      </c>
      <c r="U120" s="19" t="str">
        <f t="shared" ca="1" si="9"/>
        <v/>
      </c>
      <c r="V120" s="19" t="str">
        <f t="shared" ca="1" si="10"/>
        <v/>
      </c>
    </row>
    <row r="121" spans="2:22" x14ac:dyDescent="0.2">
      <c r="B121" s="3" t="str">
        <f t="shared" si="11"/>
        <v/>
      </c>
      <c r="C121" s="2"/>
      <c r="D121" s="2"/>
      <c r="E121" s="2"/>
      <c r="F121" s="2"/>
      <c r="G121" s="2"/>
      <c r="H121" s="2"/>
      <c r="I121" s="2"/>
      <c r="J121" s="2" t="str">
        <f t="shared" ca="1" si="0"/>
        <v/>
      </c>
      <c r="K121" s="2" t="str">
        <f t="shared" ca="1" si="1"/>
        <v/>
      </c>
      <c r="L121" s="2" t="str">
        <f t="shared" ca="1" si="2"/>
        <v/>
      </c>
      <c r="N121" s="3" t="str">
        <f t="shared" si="12"/>
        <v/>
      </c>
      <c r="O121" s="19" t="str">
        <f t="shared" ca="1" si="3"/>
        <v/>
      </c>
      <c r="P121" s="19" t="str">
        <f t="shared" ca="1" si="4"/>
        <v/>
      </c>
      <c r="Q121" s="19" t="str">
        <f t="shared" ca="1" si="5"/>
        <v/>
      </c>
      <c r="R121" s="19" t="str">
        <f t="shared" ca="1" si="6"/>
        <v/>
      </c>
      <c r="S121" s="19" t="str">
        <f t="shared" ca="1" si="7"/>
        <v/>
      </c>
      <c r="T121" s="19" t="str">
        <f t="shared" ca="1" si="8"/>
        <v/>
      </c>
      <c r="U121" s="19" t="str">
        <f t="shared" ca="1" si="9"/>
        <v/>
      </c>
      <c r="V121" s="19" t="str">
        <f t="shared" ca="1" si="10"/>
        <v/>
      </c>
    </row>
    <row r="122" spans="2:22" x14ac:dyDescent="0.2">
      <c r="B122" s="3" t="str">
        <f t="shared" si="11"/>
        <v/>
      </c>
      <c r="C122" s="2"/>
      <c r="D122" s="2"/>
      <c r="E122" s="2"/>
      <c r="F122" s="2"/>
      <c r="G122" s="2"/>
      <c r="H122" s="2"/>
      <c r="I122" s="2"/>
      <c r="J122" s="2" t="str">
        <f t="shared" ca="1" si="0"/>
        <v/>
      </c>
      <c r="K122" s="2" t="str">
        <f t="shared" ca="1" si="1"/>
        <v/>
      </c>
      <c r="L122" s="2" t="str">
        <f t="shared" ca="1" si="2"/>
        <v/>
      </c>
      <c r="N122" s="3" t="str">
        <f t="shared" si="12"/>
        <v/>
      </c>
      <c r="O122" s="19" t="str">
        <f t="shared" ca="1" si="3"/>
        <v/>
      </c>
      <c r="P122" s="19" t="str">
        <f t="shared" ca="1" si="4"/>
        <v/>
      </c>
      <c r="Q122" s="19" t="str">
        <f t="shared" ca="1" si="5"/>
        <v/>
      </c>
      <c r="R122" s="19" t="str">
        <f t="shared" ca="1" si="6"/>
        <v/>
      </c>
      <c r="S122" s="19" t="str">
        <f t="shared" ca="1" si="7"/>
        <v/>
      </c>
      <c r="T122" s="19" t="str">
        <f t="shared" ca="1" si="8"/>
        <v/>
      </c>
      <c r="U122" s="19" t="str">
        <f t="shared" ca="1" si="9"/>
        <v/>
      </c>
      <c r="V122" s="19" t="str">
        <f t="shared" ca="1" si="10"/>
        <v/>
      </c>
    </row>
    <row r="123" spans="2:22" x14ac:dyDescent="0.2">
      <c r="B123" s="3" t="str">
        <f t="shared" si="11"/>
        <v/>
      </c>
      <c r="C123" s="2"/>
      <c r="D123" s="2"/>
      <c r="E123" s="2"/>
      <c r="F123" s="2"/>
      <c r="G123" s="2"/>
      <c r="H123" s="2"/>
      <c r="I123" s="2"/>
      <c r="J123" s="2" t="str">
        <f t="shared" ca="1" si="0"/>
        <v/>
      </c>
      <c r="K123" s="2" t="str">
        <f t="shared" ca="1" si="1"/>
        <v/>
      </c>
      <c r="L123" s="2" t="str">
        <f t="shared" ca="1" si="2"/>
        <v/>
      </c>
      <c r="N123" s="3" t="str">
        <f t="shared" si="12"/>
        <v/>
      </c>
      <c r="O123" s="19" t="str">
        <f t="shared" ca="1" si="3"/>
        <v/>
      </c>
      <c r="P123" s="19" t="str">
        <f t="shared" ca="1" si="4"/>
        <v/>
      </c>
      <c r="Q123" s="19" t="str">
        <f t="shared" ca="1" si="5"/>
        <v/>
      </c>
      <c r="R123" s="19" t="str">
        <f t="shared" ca="1" si="6"/>
        <v/>
      </c>
      <c r="S123" s="19" t="str">
        <f t="shared" ca="1" si="7"/>
        <v/>
      </c>
      <c r="T123" s="19" t="str">
        <f t="shared" ca="1" si="8"/>
        <v/>
      </c>
      <c r="U123" s="19" t="str">
        <f t="shared" ca="1" si="9"/>
        <v/>
      </c>
      <c r="V123" s="19" t="str">
        <f t="shared" ca="1" si="10"/>
        <v/>
      </c>
    </row>
    <row r="124" spans="2:22" x14ac:dyDescent="0.2">
      <c r="B124" s="3" t="str">
        <f t="shared" si="11"/>
        <v/>
      </c>
      <c r="C124" s="2"/>
      <c r="D124" s="2"/>
      <c r="E124" s="2"/>
      <c r="F124" s="2"/>
      <c r="G124" s="2"/>
      <c r="H124" s="2"/>
      <c r="I124" s="2"/>
      <c r="J124" s="2" t="str">
        <f t="shared" ca="1" si="0"/>
        <v/>
      </c>
      <c r="K124" s="2" t="str">
        <f t="shared" ca="1" si="1"/>
        <v/>
      </c>
      <c r="L124" s="2" t="str">
        <f t="shared" ca="1" si="2"/>
        <v/>
      </c>
      <c r="N124" s="3" t="str">
        <f t="shared" si="12"/>
        <v/>
      </c>
      <c r="O124" s="19" t="str">
        <f t="shared" ca="1" si="3"/>
        <v/>
      </c>
      <c r="P124" s="19" t="str">
        <f t="shared" ca="1" si="4"/>
        <v/>
      </c>
      <c r="Q124" s="19" t="str">
        <f t="shared" ca="1" si="5"/>
        <v/>
      </c>
      <c r="R124" s="19" t="str">
        <f t="shared" ca="1" si="6"/>
        <v/>
      </c>
      <c r="S124" s="19" t="str">
        <f t="shared" ca="1" si="7"/>
        <v/>
      </c>
      <c r="T124" s="19" t="str">
        <f t="shared" ca="1" si="8"/>
        <v/>
      </c>
      <c r="U124" s="19" t="str">
        <f t="shared" ca="1" si="9"/>
        <v/>
      </c>
      <c r="V124" s="19" t="str">
        <f t="shared" ca="1" si="10"/>
        <v/>
      </c>
    </row>
    <row r="125" spans="2:22" x14ac:dyDescent="0.2">
      <c r="B125" s="3" t="str">
        <f t="shared" si="11"/>
        <v/>
      </c>
      <c r="C125" s="2"/>
      <c r="D125" s="2"/>
      <c r="E125" s="2"/>
      <c r="F125" s="2"/>
      <c r="G125" s="2"/>
      <c r="H125" s="2"/>
      <c r="I125" s="2"/>
      <c r="J125" s="2" t="str">
        <f t="shared" ca="1" si="0"/>
        <v/>
      </c>
      <c r="K125" s="2" t="str">
        <f t="shared" ca="1" si="1"/>
        <v/>
      </c>
      <c r="L125" s="2" t="str">
        <f t="shared" ca="1" si="2"/>
        <v/>
      </c>
      <c r="N125" s="3" t="str">
        <f t="shared" si="12"/>
        <v/>
      </c>
      <c r="O125" s="19" t="str">
        <f t="shared" ca="1" si="3"/>
        <v/>
      </c>
      <c r="P125" s="19" t="str">
        <f t="shared" ca="1" si="4"/>
        <v/>
      </c>
      <c r="Q125" s="19" t="str">
        <f t="shared" ca="1" si="5"/>
        <v/>
      </c>
      <c r="R125" s="19" t="str">
        <f t="shared" ca="1" si="6"/>
        <v/>
      </c>
      <c r="S125" s="19" t="str">
        <f t="shared" ca="1" si="7"/>
        <v/>
      </c>
      <c r="T125" s="19" t="str">
        <f t="shared" ca="1" si="8"/>
        <v/>
      </c>
      <c r="U125" s="19" t="str">
        <f t="shared" ca="1" si="9"/>
        <v/>
      </c>
      <c r="V125" s="19" t="str">
        <f t="shared" ca="1" si="10"/>
        <v/>
      </c>
    </row>
    <row r="126" spans="2:22" x14ac:dyDescent="0.2">
      <c r="B126" s="3" t="str">
        <f t="shared" si="11"/>
        <v/>
      </c>
      <c r="C126" s="2"/>
      <c r="D126" s="2"/>
      <c r="E126" s="2"/>
      <c r="F126" s="2"/>
      <c r="G126" s="2"/>
      <c r="H126" s="2"/>
      <c r="I126" s="2"/>
      <c r="J126" s="2" t="str">
        <f t="shared" ca="1" si="0"/>
        <v/>
      </c>
      <c r="K126" s="2" t="str">
        <f t="shared" ca="1" si="1"/>
        <v/>
      </c>
      <c r="L126" s="2" t="str">
        <f t="shared" ca="1" si="2"/>
        <v/>
      </c>
      <c r="N126" s="3" t="str">
        <f t="shared" si="12"/>
        <v/>
      </c>
      <c r="O126" s="19" t="str">
        <f t="shared" ca="1" si="3"/>
        <v/>
      </c>
      <c r="P126" s="19" t="str">
        <f t="shared" ca="1" si="4"/>
        <v/>
      </c>
      <c r="Q126" s="19" t="str">
        <f t="shared" ca="1" si="5"/>
        <v/>
      </c>
      <c r="R126" s="19" t="str">
        <f t="shared" ca="1" si="6"/>
        <v/>
      </c>
      <c r="S126" s="19" t="str">
        <f t="shared" ca="1" si="7"/>
        <v/>
      </c>
      <c r="T126" s="19" t="str">
        <f t="shared" ca="1" si="8"/>
        <v/>
      </c>
      <c r="U126" s="19" t="str">
        <f t="shared" ca="1" si="9"/>
        <v/>
      </c>
      <c r="V126" s="19" t="str">
        <f t="shared" ca="1" si="10"/>
        <v/>
      </c>
    </row>
    <row r="127" spans="2:22" x14ac:dyDescent="0.2">
      <c r="B127" s="3" t="str">
        <f t="shared" si="11"/>
        <v/>
      </c>
      <c r="C127" s="2"/>
      <c r="D127" s="2"/>
      <c r="E127" s="2"/>
      <c r="F127" s="2"/>
      <c r="G127" s="2"/>
      <c r="H127" s="2"/>
      <c r="I127" s="2"/>
      <c r="J127" s="2" t="str">
        <f t="shared" ca="1" si="0"/>
        <v/>
      </c>
      <c r="K127" s="2" t="str">
        <f t="shared" ca="1" si="1"/>
        <v/>
      </c>
      <c r="L127" s="2" t="str">
        <f t="shared" ca="1" si="2"/>
        <v/>
      </c>
      <c r="N127" s="3" t="str">
        <f t="shared" si="12"/>
        <v/>
      </c>
      <c r="O127" s="19" t="str">
        <f t="shared" ca="1" si="3"/>
        <v/>
      </c>
      <c r="P127" s="19" t="str">
        <f t="shared" ca="1" si="4"/>
        <v/>
      </c>
      <c r="Q127" s="19" t="str">
        <f t="shared" ca="1" si="5"/>
        <v/>
      </c>
      <c r="R127" s="19" t="str">
        <f t="shared" ca="1" si="6"/>
        <v/>
      </c>
      <c r="S127" s="19" t="str">
        <f t="shared" ca="1" si="7"/>
        <v/>
      </c>
      <c r="T127" s="19" t="str">
        <f t="shared" ca="1" si="8"/>
        <v/>
      </c>
      <c r="U127" s="19" t="str">
        <f t="shared" ca="1" si="9"/>
        <v/>
      </c>
      <c r="V127" s="19" t="str">
        <f t="shared" ca="1" si="10"/>
        <v/>
      </c>
    </row>
    <row r="128" spans="2:22" x14ac:dyDescent="0.2">
      <c r="B128" s="3" t="str">
        <f t="shared" si="11"/>
        <v/>
      </c>
      <c r="C128" s="2"/>
      <c r="D128" s="2"/>
      <c r="E128" s="2"/>
      <c r="F128" s="2"/>
      <c r="G128" s="2"/>
      <c r="H128" s="2"/>
      <c r="I128" s="2"/>
      <c r="J128" s="2" t="str">
        <f t="shared" ca="1" si="0"/>
        <v/>
      </c>
      <c r="K128" s="2" t="str">
        <f t="shared" ca="1" si="1"/>
        <v/>
      </c>
      <c r="L128" s="2" t="str">
        <f t="shared" ca="1" si="2"/>
        <v/>
      </c>
      <c r="N128" s="3" t="str">
        <f t="shared" si="12"/>
        <v/>
      </c>
      <c r="O128" s="19" t="str">
        <f t="shared" ca="1" si="3"/>
        <v/>
      </c>
      <c r="P128" s="19" t="str">
        <f t="shared" ca="1" si="4"/>
        <v/>
      </c>
      <c r="Q128" s="19" t="str">
        <f t="shared" ca="1" si="5"/>
        <v/>
      </c>
      <c r="R128" s="19" t="str">
        <f t="shared" ca="1" si="6"/>
        <v/>
      </c>
      <c r="S128" s="19" t="str">
        <f t="shared" ca="1" si="7"/>
        <v/>
      </c>
      <c r="T128" s="19" t="str">
        <f t="shared" ca="1" si="8"/>
        <v/>
      </c>
      <c r="U128" s="19" t="str">
        <f t="shared" ca="1" si="9"/>
        <v/>
      </c>
      <c r="V128" s="19" t="str">
        <f t="shared" ca="1" si="10"/>
        <v/>
      </c>
    </row>
    <row r="129" spans="2:22" x14ac:dyDescent="0.2">
      <c r="B129" s="3" t="str">
        <f t="shared" si="11"/>
        <v/>
      </c>
      <c r="C129" s="2"/>
      <c r="D129" s="2"/>
      <c r="E129" s="2"/>
      <c r="F129" s="2"/>
      <c r="G129" s="2"/>
      <c r="H129" s="2"/>
      <c r="I129" s="2"/>
      <c r="J129" s="2" t="str">
        <f t="shared" ca="1" si="0"/>
        <v/>
      </c>
      <c r="K129" s="2" t="str">
        <f t="shared" ca="1" si="1"/>
        <v/>
      </c>
      <c r="L129" s="2" t="str">
        <f t="shared" ca="1" si="2"/>
        <v/>
      </c>
      <c r="N129" s="3" t="str">
        <f t="shared" si="12"/>
        <v/>
      </c>
      <c r="O129" s="19" t="str">
        <f t="shared" ca="1" si="3"/>
        <v/>
      </c>
      <c r="P129" s="19" t="str">
        <f t="shared" ca="1" si="4"/>
        <v/>
      </c>
      <c r="Q129" s="19" t="str">
        <f t="shared" ca="1" si="5"/>
        <v/>
      </c>
      <c r="R129" s="19" t="str">
        <f t="shared" ca="1" si="6"/>
        <v/>
      </c>
      <c r="S129" s="19" t="str">
        <f t="shared" ca="1" si="7"/>
        <v/>
      </c>
      <c r="T129" s="19" t="str">
        <f t="shared" ca="1" si="8"/>
        <v/>
      </c>
      <c r="U129" s="19" t="str">
        <f t="shared" ca="1" si="9"/>
        <v/>
      </c>
      <c r="V129" s="19" t="str">
        <f t="shared" ca="1" si="10"/>
        <v/>
      </c>
    </row>
    <row r="130" spans="2:22" x14ac:dyDescent="0.2">
      <c r="B130" s="3" t="str">
        <f t="shared" si="11"/>
        <v/>
      </c>
      <c r="C130" s="2"/>
      <c r="D130" s="2"/>
      <c r="E130" s="2"/>
      <c r="F130" s="2"/>
      <c r="G130" s="2"/>
      <c r="H130" s="2"/>
      <c r="I130" s="2"/>
      <c r="J130" s="2" t="str">
        <f t="shared" ca="1" si="0"/>
        <v/>
      </c>
      <c r="K130" s="2" t="str">
        <f t="shared" ca="1" si="1"/>
        <v/>
      </c>
      <c r="L130" s="2" t="str">
        <f t="shared" ca="1" si="2"/>
        <v/>
      </c>
      <c r="N130" s="3" t="str">
        <f t="shared" si="12"/>
        <v/>
      </c>
      <c r="O130" s="19" t="str">
        <f t="shared" ca="1" si="3"/>
        <v/>
      </c>
      <c r="P130" s="19" t="str">
        <f t="shared" ca="1" si="4"/>
        <v/>
      </c>
      <c r="Q130" s="19" t="str">
        <f t="shared" ca="1" si="5"/>
        <v/>
      </c>
      <c r="R130" s="19" t="str">
        <f t="shared" ca="1" si="6"/>
        <v/>
      </c>
      <c r="S130" s="19" t="str">
        <f t="shared" ca="1" si="7"/>
        <v/>
      </c>
      <c r="T130" s="19" t="str">
        <f t="shared" ca="1" si="8"/>
        <v/>
      </c>
      <c r="U130" s="19" t="str">
        <f t="shared" ca="1" si="9"/>
        <v/>
      </c>
      <c r="V130" s="19" t="str">
        <f t="shared" ca="1" si="10"/>
        <v/>
      </c>
    </row>
    <row r="131" spans="2:22" x14ac:dyDescent="0.2">
      <c r="B131" s="3" t="str">
        <f t="shared" si="11"/>
        <v/>
      </c>
      <c r="C131" s="2"/>
      <c r="D131" s="2"/>
      <c r="E131" s="2"/>
      <c r="F131" s="2"/>
      <c r="G131" s="2"/>
      <c r="H131" s="2"/>
      <c r="I131" s="2"/>
      <c r="J131" s="2" t="str">
        <f t="shared" ca="1" si="0"/>
        <v/>
      </c>
      <c r="K131" s="2" t="str">
        <f t="shared" ca="1" si="1"/>
        <v/>
      </c>
      <c r="L131" s="2" t="str">
        <f t="shared" ca="1" si="2"/>
        <v/>
      </c>
      <c r="N131" s="3" t="str">
        <f t="shared" si="12"/>
        <v/>
      </c>
      <c r="O131" s="19" t="str">
        <f t="shared" ca="1" si="3"/>
        <v/>
      </c>
      <c r="P131" s="19" t="str">
        <f t="shared" ca="1" si="4"/>
        <v/>
      </c>
      <c r="Q131" s="19" t="str">
        <f t="shared" ca="1" si="5"/>
        <v/>
      </c>
      <c r="R131" s="19" t="str">
        <f t="shared" ca="1" si="6"/>
        <v/>
      </c>
      <c r="S131" s="19" t="str">
        <f t="shared" ca="1" si="7"/>
        <v/>
      </c>
      <c r="T131" s="19" t="str">
        <f t="shared" ca="1" si="8"/>
        <v/>
      </c>
      <c r="U131" s="19" t="str">
        <f t="shared" ca="1" si="9"/>
        <v/>
      </c>
      <c r="V131" s="19" t="str">
        <f t="shared" ca="1" si="10"/>
        <v/>
      </c>
    </row>
    <row r="132" spans="2:22" x14ac:dyDescent="0.2">
      <c r="B132" s="3" t="str">
        <f t="shared" si="11"/>
        <v/>
      </c>
      <c r="C132" s="2"/>
      <c r="D132" s="2"/>
      <c r="E132" s="2"/>
      <c r="F132" s="2"/>
      <c r="G132" s="2"/>
      <c r="H132" s="2"/>
      <c r="I132" s="2"/>
      <c r="J132" s="2" t="str">
        <f t="shared" ca="1" si="0"/>
        <v/>
      </c>
      <c r="K132" s="2" t="str">
        <f t="shared" ca="1" si="1"/>
        <v/>
      </c>
      <c r="L132" s="2" t="str">
        <f t="shared" ca="1" si="2"/>
        <v/>
      </c>
      <c r="N132" s="3" t="str">
        <f t="shared" si="12"/>
        <v/>
      </c>
      <c r="O132" s="19" t="str">
        <f t="shared" ca="1" si="3"/>
        <v/>
      </c>
      <c r="P132" s="19" t="str">
        <f t="shared" ca="1" si="4"/>
        <v/>
      </c>
      <c r="Q132" s="19" t="str">
        <f t="shared" ca="1" si="5"/>
        <v/>
      </c>
      <c r="R132" s="19" t="str">
        <f t="shared" ca="1" si="6"/>
        <v/>
      </c>
      <c r="S132" s="19" t="str">
        <f t="shared" ca="1" si="7"/>
        <v/>
      </c>
      <c r="T132" s="19" t="str">
        <f t="shared" ca="1" si="8"/>
        <v/>
      </c>
      <c r="U132" s="19" t="str">
        <f t="shared" ca="1" si="9"/>
        <v/>
      </c>
      <c r="V132" s="19" t="str">
        <f t="shared" ca="1" si="10"/>
        <v/>
      </c>
    </row>
    <row r="133" spans="2:22" x14ac:dyDescent="0.2">
      <c r="B133" s="3" t="str">
        <f t="shared" si="11"/>
        <v/>
      </c>
      <c r="C133" s="2"/>
      <c r="D133" s="2"/>
      <c r="E133" s="2"/>
      <c r="F133" s="2"/>
      <c r="G133" s="2"/>
      <c r="H133" s="2"/>
      <c r="I133" s="2"/>
      <c r="J133" s="2" t="str">
        <f t="shared" ca="1" si="0"/>
        <v/>
      </c>
      <c r="K133" s="2" t="str">
        <f t="shared" ca="1" si="1"/>
        <v/>
      </c>
      <c r="L133" s="2" t="str">
        <f t="shared" ca="1" si="2"/>
        <v/>
      </c>
      <c r="N133" s="3" t="str">
        <f t="shared" si="12"/>
        <v/>
      </c>
      <c r="O133" s="19" t="str">
        <f t="shared" ca="1" si="3"/>
        <v/>
      </c>
      <c r="P133" s="19" t="str">
        <f t="shared" ca="1" si="4"/>
        <v/>
      </c>
      <c r="Q133" s="19" t="str">
        <f t="shared" ca="1" si="5"/>
        <v/>
      </c>
      <c r="R133" s="19" t="str">
        <f t="shared" ca="1" si="6"/>
        <v/>
      </c>
      <c r="S133" s="19" t="str">
        <f t="shared" ca="1" si="7"/>
        <v/>
      </c>
      <c r="T133" s="19" t="str">
        <f t="shared" ca="1" si="8"/>
        <v/>
      </c>
      <c r="U133" s="19" t="str">
        <f t="shared" ca="1" si="9"/>
        <v/>
      </c>
      <c r="V133" s="19" t="str">
        <f t="shared" ca="1" si="10"/>
        <v/>
      </c>
    </row>
    <row r="134" spans="2:22" x14ac:dyDescent="0.2">
      <c r="B134" s="3" t="str">
        <f t="shared" si="11"/>
        <v/>
      </c>
      <c r="C134" s="2"/>
      <c r="D134" s="2"/>
      <c r="E134" s="2"/>
      <c r="F134" s="2"/>
      <c r="G134" s="2"/>
      <c r="H134" s="2"/>
      <c r="I134" s="2"/>
      <c r="J134" s="2" t="str">
        <f t="shared" ca="1" si="0"/>
        <v/>
      </c>
      <c r="K134" s="2" t="str">
        <f t="shared" ca="1" si="1"/>
        <v/>
      </c>
      <c r="L134" s="2" t="str">
        <f t="shared" ca="1" si="2"/>
        <v/>
      </c>
      <c r="N134" s="3" t="str">
        <f t="shared" si="12"/>
        <v/>
      </c>
      <c r="O134" s="19" t="str">
        <f t="shared" ca="1" si="3"/>
        <v/>
      </c>
      <c r="P134" s="19" t="str">
        <f t="shared" ca="1" si="4"/>
        <v/>
      </c>
      <c r="Q134" s="19" t="str">
        <f t="shared" ca="1" si="5"/>
        <v/>
      </c>
      <c r="R134" s="19" t="str">
        <f t="shared" ca="1" si="6"/>
        <v/>
      </c>
      <c r="S134" s="19" t="str">
        <f t="shared" ca="1" si="7"/>
        <v/>
      </c>
      <c r="T134" s="19" t="str">
        <f t="shared" ca="1" si="8"/>
        <v/>
      </c>
      <c r="U134" s="19" t="str">
        <f t="shared" ca="1" si="9"/>
        <v/>
      </c>
      <c r="V134" s="19" t="str">
        <f t="shared" ca="1" si="10"/>
        <v/>
      </c>
    </row>
    <row r="135" spans="2:22" x14ac:dyDescent="0.2">
      <c r="B135" s="3" t="str">
        <f t="shared" si="11"/>
        <v/>
      </c>
      <c r="C135" s="2"/>
      <c r="D135" s="2"/>
      <c r="E135" s="2"/>
      <c r="F135" s="2"/>
      <c r="G135" s="2"/>
      <c r="H135" s="2"/>
      <c r="I135" s="2"/>
      <c r="J135" s="2" t="str">
        <f t="shared" ca="1" si="0"/>
        <v/>
      </c>
      <c r="K135" s="2" t="str">
        <f t="shared" ca="1" si="1"/>
        <v/>
      </c>
      <c r="L135" s="2" t="str">
        <f t="shared" ca="1" si="2"/>
        <v/>
      </c>
      <c r="N135" s="3" t="str">
        <f t="shared" si="12"/>
        <v/>
      </c>
      <c r="O135" s="19" t="str">
        <f t="shared" ca="1" si="3"/>
        <v/>
      </c>
      <c r="P135" s="19" t="str">
        <f t="shared" ca="1" si="4"/>
        <v/>
      </c>
      <c r="Q135" s="19" t="str">
        <f t="shared" ca="1" si="5"/>
        <v/>
      </c>
      <c r="R135" s="19" t="str">
        <f t="shared" ca="1" si="6"/>
        <v/>
      </c>
      <c r="S135" s="19" t="str">
        <f t="shared" ca="1" si="7"/>
        <v/>
      </c>
      <c r="T135" s="19" t="str">
        <f t="shared" ca="1" si="8"/>
        <v/>
      </c>
      <c r="U135" s="19" t="str">
        <f t="shared" ca="1" si="9"/>
        <v/>
      </c>
      <c r="V135" s="19" t="str">
        <f t="shared" ca="1" si="10"/>
        <v/>
      </c>
    </row>
    <row r="136" spans="2:22" x14ac:dyDescent="0.2">
      <c r="B136" s="3" t="str">
        <f t="shared" si="11"/>
        <v/>
      </c>
      <c r="C136" s="2"/>
      <c r="D136" s="2"/>
      <c r="E136" s="2"/>
      <c r="F136" s="2"/>
      <c r="G136" s="2"/>
      <c r="H136" s="2"/>
      <c r="I136" s="2"/>
      <c r="J136" s="2" t="str">
        <f t="shared" ca="1" si="0"/>
        <v/>
      </c>
      <c r="K136" s="2" t="str">
        <f t="shared" ca="1" si="1"/>
        <v/>
      </c>
      <c r="L136" s="2" t="str">
        <f t="shared" ca="1" si="2"/>
        <v/>
      </c>
      <c r="N136" s="3" t="str">
        <f t="shared" si="12"/>
        <v/>
      </c>
      <c r="O136" s="19" t="str">
        <f t="shared" ca="1" si="3"/>
        <v/>
      </c>
      <c r="P136" s="19" t="str">
        <f t="shared" ca="1" si="4"/>
        <v/>
      </c>
      <c r="Q136" s="19" t="str">
        <f t="shared" ca="1" si="5"/>
        <v/>
      </c>
      <c r="R136" s="19" t="str">
        <f t="shared" ca="1" si="6"/>
        <v/>
      </c>
      <c r="S136" s="19" t="str">
        <f t="shared" ca="1" si="7"/>
        <v/>
      </c>
      <c r="T136" s="19" t="str">
        <f t="shared" ca="1" si="8"/>
        <v/>
      </c>
      <c r="U136" s="19" t="str">
        <f t="shared" ca="1" si="9"/>
        <v/>
      </c>
      <c r="V136" s="19" t="str">
        <f t="shared" ca="1" si="10"/>
        <v/>
      </c>
    </row>
    <row r="137" spans="2:22" x14ac:dyDescent="0.2">
      <c r="B137" s="3" t="str">
        <f t="shared" si="11"/>
        <v/>
      </c>
      <c r="C137" s="2"/>
      <c r="D137" s="2"/>
      <c r="E137" s="2"/>
      <c r="F137" s="2"/>
      <c r="G137" s="2"/>
      <c r="H137" s="2"/>
      <c r="I137" s="2"/>
      <c r="J137" s="2" t="str">
        <f t="shared" ca="1" si="0"/>
        <v/>
      </c>
      <c r="K137" s="2" t="str">
        <f t="shared" ca="1" si="1"/>
        <v/>
      </c>
      <c r="L137" s="2" t="str">
        <f t="shared" ca="1" si="2"/>
        <v/>
      </c>
      <c r="N137" s="3" t="str">
        <f t="shared" si="12"/>
        <v/>
      </c>
      <c r="O137" s="19" t="str">
        <f t="shared" ca="1" si="3"/>
        <v/>
      </c>
      <c r="P137" s="19" t="str">
        <f t="shared" ca="1" si="4"/>
        <v/>
      </c>
      <c r="Q137" s="19" t="str">
        <f t="shared" ca="1" si="5"/>
        <v/>
      </c>
      <c r="R137" s="19" t="str">
        <f t="shared" ca="1" si="6"/>
        <v/>
      </c>
      <c r="S137" s="19" t="str">
        <f t="shared" ca="1" si="7"/>
        <v/>
      </c>
      <c r="T137" s="19" t="str">
        <f t="shared" ca="1" si="8"/>
        <v/>
      </c>
      <c r="U137" s="19" t="str">
        <f t="shared" ca="1" si="9"/>
        <v/>
      </c>
      <c r="V137" s="19" t="str">
        <f t="shared" ca="1" si="10"/>
        <v/>
      </c>
    </row>
    <row r="145" spans="3:12" x14ac:dyDescent="0.2">
      <c r="C145" s="291" t="s">
        <v>145</v>
      </c>
      <c r="D145" s="291"/>
      <c r="E145" s="291"/>
      <c r="F145" s="291"/>
      <c r="G145" s="291"/>
      <c r="H145" s="291"/>
      <c r="I145" s="291"/>
      <c r="J145" s="291"/>
      <c r="K145" s="291"/>
      <c r="L145" s="291"/>
    </row>
    <row r="147" spans="3:12" ht="67.5" x14ac:dyDescent="0.2">
      <c r="C147" s="23" t="s">
        <v>133</v>
      </c>
      <c r="D147" s="23" t="s">
        <v>95</v>
      </c>
      <c r="E147" s="23" t="s">
        <v>136</v>
      </c>
      <c r="F147" s="23" t="s">
        <v>137</v>
      </c>
      <c r="G147" s="23" t="s">
        <v>138</v>
      </c>
      <c r="H147" s="23" t="s">
        <v>139</v>
      </c>
      <c r="I147" s="23" t="s">
        <v>140</v>
      </c>
      <c r="J147" s="23" t="s">
        <v>141</v>
      </c>
      <c r="K147" s="23" t="s">
        <v>142</v>
      </c>
      <c r="L147" s="23" t="s">
        <v>143</v>
      </c>
    </row>
    <row r="148" spans="3:12" x14ac:dyDescent="0.2">
      <c r="C148" s="22" t="s">
        <v>26</v>
      </c>
      <c r="D148" s="22" t="s">
        <v>27</v>
      </c>
      <c r="E148" s="22" t="s">
        <v>65</v>
      </c>
      <c r="F148" s="22" t="s">
        <v>75</v>
      </c>
      <c r="G148" s="22" t="s">
        <v>146</v>
      </c>
      <c r="H148" s="22" t="s">
        <v>147</v>
      </c>
      <c r="I148" s="22" t="s">
        <v>148</v>
      </c>
      <c r="J148" s="22" t="s">
        <v>149</v>
      </c>
      <c r="K148" s="22" t="s">
        <v>150</v>
      </c>
      <c r="L148" s="22" t="s">
        <v>151</v>
      </c>
    </row>
    <row r="149" spans="3:12" x14ac:dyDescent="0.2">
      <c r="C149" s="2">
        <v>2000</v>
      </c>
      <c r="D149" s="19">
        <v>-9.4028926767752902E-2</v>
      </c>
      <c r="E149" s="19">
        <v>46.652130859111494</v>
      </c>
      <c r="F149" s="19">
        <v>-2.1076459302642645</v>
      </c>
      <c r="G149" s="19">
        <v>24.986492797762899</v>
      </c>
      <c r="H149" s="19">
        <v>2.6678519105186758</v>
      </c>
      <c r="I149" s="19">
        <v>6.3140152352802668</v>
      </c>
      <c r="J149" s="19">
        <v>83.541104110238294</v>
      </c>
      <c r="K149" s="19">
        <v>85.719547229876653</v>
      </c>
      <c r="L149" s="19">
        <v>6.0496236946529347</v>
      </c>
    </row>
    <row r="150" spans="3:12" x14ac:dyDescent="0.2">
      <c r="C150" s="2">
        <v>2001</v>
      </c>
      <c r="D150" s="19">
        <v>-0.11038178359692737</v>
      </c>
      <c r="E150" s="19">
        <v>45.830130859111506</v>
      </c>
      <c r="F150" s="19">
        <v>-2.3336459302642645</v>
      </c>
      <c r="G150" s="19">
        <v>28.792492797762897</v>
      </c>
      <c r="H150" s="19">
        <v>-4.4221480894813245</v>
      </c>
      <c r="I150" s="19">
        <v>-0.76898476471973365</v>
      </c>
      <c r="J150" s="19">
        <v>91.207104110238291</v>
      </c>
      <c r="K150" s="19">
        <v>92.165547229876651</v>
      </c>
      <c r="L150" s="19">
        <v>3.5756236946529345</v>
      </c>
    </row>
    <row r="151" spans="3:12" x14ac:dyDescent="0.2">
      <c r="C151" s="2">
        <v>2002</v>
      </c>
      <c r="D151" s="19">
        <v>1.5685115175316469</v>
      </c>
      <c r="E151" s="19">
        <v>48.757130859111498</v>
      </c>
      <c r="F151" s="19">
        <v>-0.93664593026426424</v>
      </c>
      <c r="G151" s="19">
        <v>27.717492797762894</v>
      </c>
      <c r="H151" s="19">
        <v>-6.4231480894813249</v>
      </c>
      <c r="I151" s="19">
        <v>-3.2709847647197337</v>
      </c>
      <c r="J151" s="19">
        <v>93.485104110238282</v>
      </c>
      <c r="K151" s="19">
        <v>95.369547229876659</v>
      </c>
      <c r="L151" s="19">
        <v>4.757623694652934</v>
      </c>
    </row>
    <row r="152" spans="3:12" x14ac:dyDescent="0.2">
      <c r="C152" s="2">
        <v>2003</v>
      </c>
      <c r="D152" s="19">
        <v>-0.78629986586947032</v>
      </c>
      <c r="E152" s="19">
        <v>49.964130859111506</v>
      </c>
      <c r="F152" s="19">
        <v>-0.50264593026426418</v>
      </c>
      <c r="G152" s="19">
        <v>24.969492797762896</v>
      </c>
      <c r="H152" s="19">
        <v>0.68285191051867566</v>
      </c>
      <c r="I152" s="19">
        <v>3.4790152352802668</v>
      </c>
      <c r="J152" s="19">
        <v>78.612104110238292</v>
      </c>
      <c r="K152" s="19">
        <v>80.581547229876648</v>
      </c>
      <c r="L152" s="19">
        <v>11.492623694652934</v>
      </c>
    </row>
    <row r="153" spans="3:12" x14ac:dyDescent="0.2">
      <c r="C153" s="2">
        <v>2004</v>
      </c>
      <c r="D153" s="19">
        <v>-0.78629986586947032</v>
      </c>
      <c r="E153" s="19">
        <v>55.855130859111497</v>
      </c>
      <c r="F153" s="19">
        <v>-0.72164593026426416</v>
      </c>
      <c r="G153" s="19">
        <v>22.947492797762898</v>
      </c>
      <c r="H153" s="19">
        <v>9.2018519105186751</v>
      </c>
      <c r="I153" s="19">
        <v>11.056015235280265</v>
      </c>
      <c r="J153" s="19">
        <v>56.590104110238293</v>
      </c>
      <c r="K153" s="19">
        <v>61.945547229876659</v>
      </c>
      <c r="L153" s="19">
        <v>18.564623694652933</v>
      </c>
    </row>
    <row r="154" spans="3:12" x14ac:dyDescent="0.2">
      <c r="C154" s="2">
        <v>2005</v>
      </c>
      <c r="D154" s="19">
        <v>-0.45379177700959034</v>
      </c>
      <c r="E154" s="19">
        <v>67.779130859111504</v>
      </c>
      <c r="F154" s="19">
        <v>-0.50764593026426419</v>
      </c>
      <c r="G154" s="19">
        <v>20.004492797762897</v>
      </c>
      <c r="H154" s="19">
        <v>17.470851910518675</v>
      </c>
      <c r="I154" s="19">
        <v>18.588015235280267</v>
      </c>
      <c r="J154" s="19">
        <v>21.954104110238294</v>
      </c>
      <c r="K154" s="19">
        <v>36.359547229876661</v>
      </c>
      <c r="L154" s="19">
        <v>25.944623694652936</v>
      </c>
    </row>
    <row r="155" spans="3:12" x14ac:dyDescent="0.2">
      <c r="C155" s="2">
        <v>2006</v>
      </c>
      <c r="D155" s="19">
        <v>-0.78629986586947032</v>
      </c>
      <c r="E155" s="19">
        <v>76.008130859111503</v>
      </c>
      <c r="F155" s="19">
        <v>0.88135406973573582</v>
      </c>
      <c r="G155" s="19">
        <v>19.122492797762895</v>
      </c>
      <c r="H155" s="19">
        <v>20.306851910518677</v>
      </c>
      <c r="I155" s="19">
        <v>21.157015235280266</v>
      </c>
      <c r="J155" s="19">
        <v>5.6081041102382958</v>
      </c>
      <c r="K155" s="19">
        <v>24.848547229876662</v>
      </c>
      <c r="L155" s="19">
        <v>24.832623694652934</v>
      </c>
    </row>
    <row r="156" spans="3:12" x14ac:dyDescent="0.2">
      <c r="C156" s="2">
        <v>2007</v>
      </c>
      <c r="D156" s="19">
        <v>-0.78629986586947032</v>
      </c>
      <c r="E156" s="19">
        <v>82.699130859111506</v>
      </c>
      <c r="F156" s="19">
        <v>3.9963540697357356</v>
      </c>
      <c r="G156" s="19">
        <v>21.306492797762896</v>
      </c>
      <c r="H156" s="19">
        <v>11.267851910518676</v>
      </c>
      <c r="I156" s="19">
        <v>10.934015235280265</v>
      </c>
      <c r="J156" s="19">
        <v>-10.974895889761704</v>
      </c>
      <c r="K156" s="19">
        <v>16.132547229876661</v>
      </c>
      <c r="L156" s="19">
        <v>20.967623694652936</v>
      </c>
    </row>
    <row r="157" spans="3:12" x14ac:dyDescent="0.2">
      <c r="C157" s="2">
        <v>2008</v>
      </c>
      <c r="D157" s="19">
        <v>2.6368981637043762</v>
      </c>
      <c r="E157" s="19">
        <v>97.916130859111504</v>
      </c>
      <c r="F157" s="19">
        <v>5.0543540697357354</v>
      </c>
      <c r="G157" s="19">
        <v>18.533492797762896</v>
      </c>
      <c r="H157" s="19">
        <v>29.285851910518677</v>
      </c>
      <c r="I157" s="19">
        <v>28.630015235280265</v>
      </c>
      <c r="J157" s="19">
        <v>-38.487895889761703</v>
      </c>
      <c r="K157" s="19">
        <v>11.073547229876661</v>
      </c>
      <c r="L157" s="19">
        <v>23.951623694652934</v>
      </c>
    </row>
    <row r="158" spans="3:12" x14ac:dyDescent="0.2">
      <c r="C158" s="2">
        <v>2009</v>
      </c>
      <c r="D158" s="19">
        <v>1.5521586607024727</v>
      </c>
      <c r="E158" s="19">
        <v>82.009130859111508</v>
      </c>
      <c r="F158" s="19">
        <v>3.101354069735736</v>
      </c>
      <c r="G158" s="19">
        <v>28.919492797762899</v>
      </c>
      <c r="H158" s="19">
        <v>-5.899148089481324</v>
      </c>
      <c r="I158" s="19">
        <v>-5.8189847647197332</v>
      </c>
      <c r="J158" s="19">
        <v>-39.398895889761704</v>
      </c>
      <c r="K158" s="19">
        <v>13.006547229876663</v>
      </c>
      <c r="L158" s="19">
        <v>3.3786236946529344</v>
      </c>
    </row>
    <row r="159" spans="3:12" x14ac:dyDescent="0.2">
      <c r="C159" s="2">
        <v>2010</v>
      </c>
      <c r="D159" s="19">
        <v>-0.26300844733588868</v>
      </c>
      <c r="E159" s="19">
        <v>96.678130859111505</v>
      </c>
      <c r="F159" s="19">
        <v>2.7553540697357359</v>
      </c>
      <c r="G159" s="19">
        <v>25.8184927977629</v>
      </c>
      <c r="H159" s="19">
        <v>3.0588519105186758</v>
      </c>
      <c r="I159" s="19">
        <v>3.3810152352802665</v>
      </c>
      <c r="J159" s="19">
        <v>-37.879895889761706</v>
      </c>
      <c r="K159" s="19">
        <v>7.4655472298766625</v>
      </c>
      <c r="L159" s="19">
        <v>11.166623694652934</v>
      </c>
    </row>
    <row r="160" spans="3:12" x14ac:dyDescent="0.2">
      <c r="C160" s="2">
        <v>2011</v>
      </c>
      <c r="D160" s="19">
        <v>0.40200773038387133</v>
      </c>
      <c r="E160" s="19">
        <v>112.2071308591115</v>
      </c>
      <c r="F160" s="19">
        <v>2.7033540697357359</v>
      </c>
      <c r="G160" s="19">
        <v>25.125492797762895</v>
      </c>
      <c r="H160" s="19">
        <v>10.618851910518675</v>
      </c>
      <c r="I160" s="19">
        <v>10.651015235280266</v>
      </c>
      <c r="J160" s="19">
        <v>-37.749895889761703</v>
      </c>
      <c r="K160" s="19">
        <v>4.4005472298766612</v>
      </c>
      <c r="L160" s="19">
        <v>22.120623694652934</v>
      </c>
    </row>
    <row r="161" spans="3:12" x14ac:dyDescent="0.2">
      <c r="C161" s="2">
        <v>2012</v>
      </c>
      <c r="D161" s="19">
        <v>-0.60641844074855167</v>
      </c>
      <c r="E161" s="19">
        <v>116.84613085911151</v>
      </c>
      <c r="F161" s="19">
        <v>1.811354069735736</v>
      </c>
      <c r="G161" s="19">
        <v>25.083492797762894</v>
      </c>
      <c r="H161" s="19">
        <v>11.451851910518675</v>
      </c>
      <c r="I161" s="19">
        <v>11.230015235280266</v>
      </c>
      <c r="J161" s="19">
        <v>-47.274895889761702</v>
      </c>
      <c r="K161" s="19">
        <v>2.5975472298766618</v>
      </c>
      <c r="L161" s="19">
        <v>20.882623694652935</v>
      </c>
    </row>
    <row r="162" spans="3:12" x14ac:dyDescent="0.2">
      <c r="C162" s="2">
        <v>2013</v>
      </c>
      <c r="D162" s="19">
        <v>-0.26300844733588868</v>
      </c>
      <c r="E162" s="19">
        <v>115.4151308591115</v>
      </c>
      <c r="F162" s="19">
        <v>2.4603540697357356</v>
      </c>
      <c r="G162" s="19">
        <v>27.380492797762898</v>
      </c>
      <c r="H162" s="19">
        <v>5.2568519105186748</v>
      </c>
      <c r="I162" s="19">
        <v>4.8020152352802663</v>
      </c>
      <c r="J162" s="19">
        <v>-51.816895889761703</v>
      </c>
      <c r="K162" s="19">
        <v>1.1655472298766618</v>
      </c>
      <c r="L162" s="19">
        <v>16.635623694652935</v>
      </c>
    </row>
    <row r="163" spans="3:12" x14ac:dyDescent="0.2">
      <c r="C163" s="2">
        <v>2014</v>
      </c>
      <c r="D163" s="19">
        <v>-0.43743892018041586</v>
      </c>
      <c r="E163" s="19">
        <v>112.69013085911151</v>
      </c>
      <c r="F163" s="19">
        <v>1.6393540697357358</v>
      </c>
      <c r="G163" s="19">
        <v>32.0654927977629</v>
      </c>
      <c r="H163" s="19">
        <v>-3.9061480894813245</v>
      </c>
      <c r="I163" s="19">
        <v>-4.6269847647197331</v>
      </c>
      <c r="J163" s="19">
        <v>-48.336895889761706</v>
      </c>
      <c r="K163" s="19">
        <v>0.57954722987666174</v>
      </c>
      <c r="L163" s="19">
        <v>8.2476236946529351</v>
      </c>
    </row>
    <row r="164" spans="3:12" x14ac:dyDescent="0.2">
      <c r="C164" s="2">
        <v>2015</v>
      </c>
      <c r="D164" s="19">
        <v>-0.78629986586947032</v>
      </c>
      <c r="E164" s="19">
        <v>92.704130859111501</v>
      </c>
      <c r="F164" s="19">
        <v>1.1433540697357358</v>
      </c>
      <c r="G164" s="19">
        <v>32.727492797762899</v>
      </c>
      <c r="H164" s="19">
        <v>-16.336148089481323</v>
      </c>
      <c r="I164" s="19">
        <v>-18.374984764719734</v>
      </c>
      <c r="J164" s="19">
        <v>-38.084895889761704</v>
      </c>
      <c r="K164" s="19">
        <v>3.9805472298766618</v>
      </c>
      <c r="L164" s="19">
        <v>-10.207376305347065</v>
      </c>
    </row>
  </sheetData>
  <mergeCells count="4">
    <mergeCell ref="B3:L3"/>
    <mergeCell ref="N3:V3"/>
    <mergeCell ref="C62:L68"/>
    <mergeCell ref="C145:L145"/>
  </mergeCells>
  <dataValidations disablePrompts="1" count="1">
    <dataValidation type="list" allowBlank="1" showInputMessage="1" showErrorMessage="1" sqref="E70" xr:uid="{00000000-0002-0000-0800-000000000000}">
      <formula1>$B$6:$B$61</formula1>
    </dataValidation>
  </dataValidation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F660C-5827-4C7F-954E-66BA014F8E1F}">
  <sheetPr>
    <tabColor rgb="FFFFC000"/>
  </sheetPr>
  <dimension ref="A2:I28"/>
  <sheetViews>
    <sheetView showGridLines="0" zoomScaleNormal="100" workbookViewId="0">
      <selection activeCell="I15" sqref="I15"/>
    </sheetView>
  </sheetViews>
  <sheetFormatPr defaultRowHeight="14.25" x14ac:dyDescent="0.2"/>
  <cols>
    <col min="1" max="1" width="5.25" bestFit="1" customWidth="1"/>
    <col min="2" max="2" width="14.625" bestFit="1" customWidth="1"/>
    <col min="3" max="3" width="15.125" bestFit="1" customWidth="1"/>
    <col min="4" max="4" width="14.125" bestFit="1" customWidth="1"/>
    <col min="5" max="5" width="12.25" bestFit="1" customWidth="1"/>
    <col min="6" max="6" width="12.625" bestFit="1" customWidth="1"/>
    <col min="7" max="7" width="13.25" bestFit="1" customWidth="1"/>
    <col min="8" max="8" width="16.375" bestFit="1" customWidth="1"/>
    <col min="9" max="9" width="5.5" bestFit="1" customWidth="1"/>
  </cols>
  <sheetData>
    <row r="2" spans="1:9" ht="14.25" customHeight="1" x14ac:dyDescent="0.2">
      <c r="A2" s="260" t="s">
        <v>85</v>
      </c>
      <c r="B2" s="27" t="s">
        <v>821</v>
      </c>
      <c r="C2" s="27" t="s">
        <v>822</v>
      </c>
      <c r="D2" s="27" t="s">
        <v>823</v>
      </c>
      <c r="E2" s="27" t="s">
        <v>824</v>
      </c>
      <c r="F2" s="27" t="s">
        <v>825</v>
      </c>
      <c r="G2" s="27" t="s">
        <v>826</v>
      </c>
      <c r="H2" s="27" t="s">
        <v>827</v>
      </c>
      <c r="I2" s="260" t="s">
        <v>80</v>
      </c>
    </row>
    <row r="3" spans="1:9" x14ac:dyDescent="0.2">
      <c r="A3" s="26">
        <v>1</v>
      </c>
      <c r="B3" s="26" t="s">
        <v>33</v>
      </c>
      <c r="C3" s="29" t="s">
        <v>34</v>
      </c>
      <c r="D3" s="26" t="s">
        <v>35</v>
      </c>
      <c r="E3" s="29" t="s">
        <v>36</v>
      </c>
      <c r="F3" s="26" t="s">
        <v>35</v>
      </c>
      <c r="G3" s="29" t="s">
        <v>37</v>
      </c>
      <c r="H3" s="29" t="s">
        <v>38</v>
      </c>
      <c r="I3" s="26">
        <v>1</v>
      </c>
    </row>
    <row r="4" spans="1:9" x14ac:dyDescent="0.2">
      <c r="A4" s="26">
        <v>2</v>
      </c>
      <c r="B4" s="26" t="s">
        <v>39</v>
      </c>
      <c r="C4" s="29" t="s">
        <v>34</v>
      </c>
      <c r="D4" s="26" t="s">
        <v>40</v>
      </c>
      <c r="E4" s="29" t="s">
        <v>36</v>
      </c>
      <c r="F4" s="26" t="s">
        <v>40</v>
      </c>
      <c r="G4" s="29" t="s">
        <v>37</v>
      </c>
      <c r="H4" s="29" t="s">
        <v>41</v>
      </c>
      <c r="I4" s="26">
        <v>2</v>
      </c>
    </row>
    <row r="5" spans="1:9" x14ac:dyDescent="0.2">
      <c r="A5" s="26">
        <v>3</v>
      </c>
      <c r="B5" s="26" t="s">
        <v>42</v>
      </c>
      <c r="C5" s="29" t="s">
        <v>34</v>
      </c>
      <c r="D5" s="26" t="s">
        <v>28</v>
      </c>
      <c r="E5" s="29" t="s">
        <v>36</v>
      </c>
      <c r="F5" s="26" t="s">
        <v>28</v>
      </c>
      <c r="G5" s="29" t="s">
        <v>37</v>
      </c>
      <c r="H5" s="29" t="s">
        <v>41</v>
      </c>
      <c r="I5" s="26">
        <v>3</v>
      </c>
    </row>
    <row r="6" spans="1:9" x14ac:dyDescent="0.2">
      <c r="A6" s="26">
        <v>4</v>
      </c>
      <c r="B6" s="26" t="s">
        <v>11</v>
      </c>
      <c r="C6" s="29" t="s">
        <v>34</v>
      </c>
      <c r="D6" s="26" t="s">
        <v>244</v>
      </c>
      <c r="E6" s="29" t="s">
        <v>36</v>
      </c>
      <c r="F6" s="26" t="s">
        <v>244</v>
      </c>
      <c r="G6" s="29" t="s">
        <v>37</v>
      </c>
      <c r="H6" s="29" t="s">
        <v>41</v>
      </c>
      <c r="I6" s="26">
        <v>4</v>
      </c>
    </row>
    <row r="7" spans="1:9" ht="14.25" customHeight="1" x14ac:dyDescent="0.2">
      <c r="A7" s="26">
        <v>5</v>
      </c>
      <c r="B7" s="26" t="s">
        <v>8</v>
      </c>
      <c r="C7" s="29" t="s">
        <v>34</v>
      </c>
      <c r="D7" s="26" t="s">
        <v>3</v>
      </c>
      <c r="E7" s="29" t="s">
        <v>43</v>
      </c>
      <c r="F7" s="26" t="s">
        <v>3</v>
      </c>
      <c r="G7" s="29" t="s">
        <v>44</v>
      </c>
      <c r="H7" s="29" t="s">
        <v>45</v>
      </c>
      <c r="I7" s="26">
        <v>5</v>
      </c>
    </row>
    <row r="8" spans="1:9" ht="24" x14ac:dyDescent="0.2">
      <c r="A8" s="26">
        <v>6</v>
      </c>
      <c r="B8" s="26" t="s">
        <v>9</v>
      </c>
      <c r="C8" s="29" t="s">
        <v>34</v>
      </c>
      <c r="D8" s="26" t="s">
        <v>26</v>
      </c>
      <c r="E8" s="29" t="s">
        <v>43</v>
      </c>
      <c r="F8" s="26" t="s">
        <v>26</v>
      </c>
      <c r="G8" s="29" t="s">
        <v>44</v>
      </c>
      <c r="H8" s="29" t="s">
        <v>45</v>
      </c>
      <c r="I8" s="26">
        <v>6</v>
      </c>
    </row>
    <row r="9" spans="1:9" ht="24" x14ac:dyDescent="0.2">
      <c r="A9" s="26">
        <v>7</v>
      </c>
      <c r="B9" s="26" t="s">
        <v>46</v>
      </c>
      <c r="C9" s="29" t="s">
        <v>47</v>
      </c>
      <c r="D9" s="26" t="s">
        <v>245</v>
      </c>
      <c r="E9" s="29" t="s">
        <v>48</v>
      </c>
      <c r="F9" s="26" t="s">
        <v>245</v>
      </c>
      <c r="G9" s="29" t="s">
        <v>49</v>
      </c>
      <c r="H9" s="29" t="s">
        <v>45</v>
      </c>
      <c r="I9" s="26">
        <v>7</v>
      </c>
    </row>
    <row r="10" spans="1:9" ht="14.25" customHeight="1" x14ac:dyDescent="0.2">
      <c r="A10" s="26">
        <v>8</v>
      </c>
      <c r="B10" s="26" t="s">
        <v>6</v>
      </c>
      <c r="C10" s="29" t="s">
        <v>47</v>
      </c>
      <c r="D10" s="26" t="s">
        <v>2</v>
      </c>
      <c r="E10" s="29" t="s">
        <v>48</v>
      </c>
      <c r="F10" s="26" t="s">
        <v>2</v>
      </c>
      <c r="G10" s="29" t="s">
        <v>49</v>
      </c>
      <c r="H10" s="29" t="s">
        <v>50</v>
      </c>
      <c r="I10" s="26">
        <v>8</v>
      </c>
    </row>
    <row r="11" spans="1:9" ht="24" x14ac:dyDescent="0.2">
      <c r="A11" s="26">
        <v>9</v>
      </c>
      <c r="B11" s="26" t="s">
        <v>5</v>
      </c>
      <c r="C11" s="29" t="s">
        <v>51</v>
      </c>
      <c r="D11" s="26" t="s">
        <v>13</v>
      </c>
      <c r="E11" s="29" t="s">
        <v>48</v>
      </c>
      <c r="F11" s="26" t="s">
        <v>13</v>
      </c>
      <c r="G11" s="29" t="s">
        <v>52</v>
      </c>
      <c r="H11" s="29" t="s">
        <v>50</v>
      </c>
      <c r="I11" s="26">
        <v>9</v>
      </c>
    </row>
    <row r="12" spans="1:9" ht="24" x14ac:dyDescent="0.2">
      <c r="A12" s="26">
        <v>10</v>
      </c>
      <c r="B12" s="26" t="s">
        <v>7</v>
      </c>
      <c r="C12" s="29" t="s">
        <v>51</v>
      </c>
      <c r="D12" s="26" t="s">
        <v>246</v>
      </c>
      <c r="E12" s="29" t="s">
        <v>53</v>
      </c>
      <c r="F12" s="26" t="s">
        <v>246</v>
      </c>
      <c r="G12" s="29" t="s">
        <v>52</v>
      </c>
      <c r="H12" s="29" t="s">
        <v>50</v>
      </c>
      <c r="I12" s="26">
        <v>10</v>
      </c>
    </row>
    <row r="13" spans="1:9" ht="24" x14ac:dyDescent="0.2">
      <c r="A13" s="26">
        <v>11</v>
      </c>
      <c r="B13" s="26" t="s">
        <v>54</v>
      </c>
      <c r="C13" s="29" t="s">
        <v>55</v>
      </c>
      <c r="D13" s="26" t="s">
        <v>4</v>
      </c>
      <c r="E13" s="29" t="s">
        <v>27</v>
      </c>
      <c r="F13" s="26" t="s">
        <v>4</v>
      </c>
      <c r="G13" s="29" t="s">
        <v>27</v>
      </c>
      <c r="H13" s="29" t="s">
        <v>56</v>
      </c>
      <c r="I13" s="26">
        <v>11</v>
      </c>
    </row>
    <row r="14" spans="1:9" x14ac:dyDescent="0.2">
      <c r="A14" s="26">
        <v>12</v>
      </c>
      <c r="B14" s="26" t="s">
        <v>58</v>
      </c>
      <c r="C14" s="29" t="s">
        <v>55</v>
      </c>
      <c r="D14" s="26" t="s">
        <v>59</v>
      </c>
      <c r="E14" s="29" t="s">
        <v>27</v>
      </c>
      <c r="F14" s="26" t="s">
        <v>59</v>
      </c>
      <c r="G14" s="29" t="s">
        <v>27</v>
      </c>
      <c r="H14" s="29" t="s">
        <v>57</v>
      </c>
      <c r="I14" s="26">
        <v>12</v>
      </c>
    </row>
    <row r="15" spans="1:9" x14ac:dyDescent="0.2">
      <c r="A15" s="26">
        <v>13</v>
      </c>
      <c r="B15" s="26" t="s">
        <v>60</v>
      </c>
      <c r="C15" s="29" t="s">
        <v>55</v>
      </c>
      <c r="D15" s="26" t="s">
        <v>247</v>
      </c>
      <c r="E15" s="29" t="s">
        <v>27</v>
      </c>
      <c r="F15" s="26" t="s">
        <v>247</v>
      </c>
      <c r="G15" s="29" t="s">
        <v>27</v>
      </c>
      <c r="H15" s="29"/>
      <c r="I15" s="26">
        <v>13</v>
      </c>
    </row>
    <row r="16" spans="1:9" x14ac:dyDescent="0.2">
      <c r="A16" s="26">
        <v>14</v>
      </c>
      <c r="B16" s="26" t="s">
        <v>10</v>
      </c>
      <c r="C16" s="29" t="s">
        <v>55</v>
      </c>
      <c r="D16" s="26" t="s">
        <v>30</v>
      </c>
      <c r="E16" s="29" t="s">
        <v>27</v>
      </c>
      <c r="F16" s="26" t="s">
        <v>30</v>
      </c>
      <c r="G16" s="29" t="s">
        <v>27</v>
      </c>
      <c r="H16" s="29" t="s">
        <v>61</v>
      </c>
      <c r="I16" s="26">
        <v>14</v>
      </c>
    </row>
    <row r="17" spans="1:9" x14ac:dyDescent="0.2">
      <c r="A17" s="26">
        <v>15</v>
      </c>
      <c r="B17" s="26" t="s">
        <v>12</v>
      </c>
      <c r="C17" s="29" t="s">
        <v>55</v>
      </c>
      <c r="D17" s="26" t="s">
        <v>27</v>
      </c>
      <c r="E17" s="29" t="s">
        <v>27</v>
      </c>
      <c r="F17" s="26" t="s">
        <v>27</v>
      </c>
      <c r="G17" s="29" t="s">
        <v>27</v>
      </c>
      <c r="H17" s="29" t="s">
        <v>61</v>
      </c>
      <c r="I17" s="26">
        <v>15</v>
      </c>
    </row>
    <row r="18" spans="1:9" x14ac:dyDescent="0.2">
      <c r="A18" s="26">
        <v>16</v>
      </c>
      <c r="B18" s="26" t="s">
        <v>62</v>
      </c>
      <c r="C18" s="29" t="s">
        <v>55</v>
      </c>
      <c r="D18" s="26" t="s">
        <v>248</v>
      </c>
      <c r="E18" s="29" t="s">
        <v>27</v>
      </c>
      <c r="F18" s="26" t="s">
        <v>248</v>
      </c>
      <c r="G18" s="29" t="s">
        <v>27</v>
      </c>
      <c r="H18" s="29" t="s">
        <v>61</v>
      </c>
      <c r="I18" s="26">
        <v>16</v>
      </c>
    </row>
    <row r="19" spans="1:9" x14ac:dyDescent="0.2">
      <c r="A19" s="26">
        <v>17</v>
      </c>
      <c r="B19" s="26" t="s">
        <v>63</v>
      </c>
      <c r="C19" s="29" t="s">
        <v>55</v>
      </c>
      <c r="D19" s="26" t="s">
        <v>64</v>
      </c>
      <c r="E19" s="29" t="s">
        <v>65</v>
      </c>
      <c r="F19" s="26" t="s">
        <v>64</v>
      </c>
      <c r="G19" s="29" t="s">
        <v>65</v>
      </c>
      <c r="H19" s="29" t="s">
        <v>66</v>
      </c>
      <c r="I19" s="26">
        <v>17</v>
      </c>
    </row>
    <row r="20" spans="1:9" x14ac:dyDescent="0.2">
      <c r="A20" s="26">
        <v>18</v>
      </c>
      <c r="B20" s="26" t="s">
        <v>67</v>
      </c>
      <c r="C20" s="29" t="s">
        <v>55</v>
      </c>
      <c r="D20" s="26" t="s">
        <v>68</v>
      </c>
      <c r="E20" s="29" t="s">
        <v>65</v>
      </c>
      <c r="F20" s="26" t="s">
        <v>68</v>
      </c>
      <c r="G20" s="29" t="s">
        <v>65</v>
      </c>
      <c r="H20" s="29" t="s">
        <v>66</v>
      </c>
      <c r="I20" s="26">
        <v>18</v>
      </c>
    </row>
    <row r="21" spans="1:9" x14ac:dyDescent="0.2">
      <c r="A21" s="26">
        <v>19</v>
      </c>
      <c r="B21" s="26" t="s">
        <v>69</v>
      </c>
      <c r="C21" s="29" t="s">
        <v>55</v>
      </c>
      <c r="D21" s="26" t="s">
        <v>249</v>
      </c>
      <c r="E21" s="29" t="s">
        <v>65</v>
      </c>
      <c r="F21" s="26" t="s">
        <v>249</v>
      </c>
      <c r="G21" s="29" t="s">
        <v>65</v>
      </c>
      <c r="H21" s="29" t="s">
        <v>66</v>
      </c>
      <c r="I21" s="26">
        <v>19</v>
      </c>
    </row>
    <row r="22" spans="1:9" ht="24" x14ac:dyDescent="0.2">
      <c r="A22" s="26">
        <v>20</v>
      </c>
      <c r="B22" s="26" t="s">
        <v>70</v>
      </c>
      <c r="C22" s="29" t="s">
        <v>55</v>
      </c>
      <c r="D22" s="26" t="s">
        <v>71</v>
      </c>
      <c r="E22" s="29" t="s">
        <v>65</v>
      </c>
      <c r="F22" s="26" t="s">
        <v>71</v>
      </c>
      <c r="G22" s="29" t="s">
        <v>65</v>
      </c>
      <c r="H22" s="29" t="s">
        <v>72</v>
      </c>
      <c r="I22" s="26">
        <v>20</v>
      </c>
    </row>
    <row r="23" spans="1:9" x14ac:dyDescent="0.2">
      <c r="A23" s="26">
        <v>21</v>
      </c>
      <c r="B23" s="26" t="s">
        <v>65</v>
      </c>
      <c r="C23" s="29" t="s">
        <v>55</v>
      </c>
      <c r="D23" s="26" t="s">
        <v>65</v>
      </c>
      <c r="E23" s="29" t="s">
        <v>65</v>
      </c>
      <c r="F23" s="26" t="s">
        <v>65</v>
      </c>
      <c r="G23" s="29" t="s">
        <v>65</v>
      </c>
      <c r="H23" s="29" t="s">
        <v>73</v>
      </c>
      <c r="I23" s="26">
        <v>21</v>
      </c>
    </row>
    <row r="24" spans="1:9" x14ac:dyDescent="0.2">
      <c r="A24" s="26">
        <v>22</v>
      </c>
      <c r="B24" s="26" t="s">
        <v>0</v>
      </c>
      <c r="C24" s="29" t="s">
        <v>55</v>
      </c>
      <c r="D24" s="26" t="s">
        <v>74</v>
      </c>
      <c r="E24" s="29" t="s">
        <v>75</v>
      </c>
      <c r="F24" s="26" t="s">
        <v>76</v>
      </c>
      <c r="G24" s="29" t="s">
        <v>75</v>
      </c>
      <c r="H24" s="29" t="s">
        <v>77</v>
      </c>
      <c r="I24" s="26">
        <v>22</v>
      </c>
    </row>
    <row r="25" spans="1:9" x14ac:dyDescent="0.2">
      <c r="A25" s="26">
        <v>23</v>
      </c>
      <c r="B25" s="26" t="s">
        <v>1</v>
      </c>
      <c r="C25" s="29" t="s">
        <v>55</v>
      </c>
      <c r="D25" s="26" t="s">
        <v>78</v>
      </c>
      <c r="E25" s="29" t="s">
        <v>75</v>
      </c>
      <c r="F25" s="26" t="s">
        <v>79</v>
      </c>
      <c r="G25" s="29" t="s">
        <v>75</v>
      </c>
      <c r="H25" s="29" t="s">
        <v>77</v>
      </c>
      <c r="I25" s="26">
        <v>23</v>
      </c>
    </row>
    <row r="26" spans="1:9" x14ac:dyDescent="0.2">
      <c r="A26" s="26">
        <v>24</v>
      </c>
      <c r="B26" s="26" t="s">
        <v>1</v>
      </c>
      <c r="C26" s="29" t="s">
        <v>55</v>
      </c>
      <c r="D26" s="26" t="s">
        <v>75</v>
      </c>
      <c r="E26" s="29" t="s">
        <v>75</v>
      </c>
      <c r="F26" s="26" t="s">
        <v>75</v>
      </c>
      <c r="G26" s="29" t="s">
        <v>75</v>
      </c>
      <c r="H26" s="29" t="s">
        <v>77</v>
      </c>
      <c r="I26" s="26">
        <v>24</v>
      </c>
    </row>
    <row r="27" spans="1:9" x14ac:dyDescent="0.2">
      <c r="A27" s="26">
        <v>25</v>
      </c>
      <c r="B27" s="25"/>
      <c r="C27" s="25"/>
      <c r="D27" s="26" t="s">
        <v>0</v>
      </c>
      <c r="E27" s="25"/>
      <c r="F27" s="26" t="s">
        <v>0</v>
      </c>
      <c r="G27" s="25"/>
      <c r="H27" s="25"/>
      <c r="I27" s="26">
        <v>25</v>
      </c>
    </row>
    <row r="28" spans="1:9" x14ac:dyDescent="0.2">
      <c r="A28" s="26">
        <v>26</v>
      </c>
      <c r="B28" s="25"/>
      <c r="C28" s="25"/>
      <c r="D28" s="26" t="s">
        <v>1</v>
      </c>
      <c r="E28" s="25"/>
      <c r="F28" s="26" t="s">
        <v>1</v>
      </c>
      <c r="G28" s="25"/>
      <c r="H28" s="25"/>
      <c r="I28" s="26">
        <v>26</v>
      </c>
    </row>
  </sheetData>
  <autoFilter ref="A2:I2" xr:uid="{85FF660C-5827-4C7F-954E-66BA014F8E1F}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2:L62"/>
  <sheetViews>
    <sheetView showGridLines="0" topLeftCell="A43" zoomScale="91" zoomScaleNormal="75" workbookViewId="0">
      <selection activeCell="E51" sqref="E51"/>
    </sheetView>
  </sheetViews>
  <sheetFormatPr defaultColWidth="8.75" defaultRowHeight="14.25" x14ac:dyDescent="0.2"/>
  <cols>
    <col min="1" max="1" width="8.75" style="221"/>
    <col min="2" max="2" width="15.125" style="222" bestFit="1" customWidth="1"/>
    <col min="3" max="3" width="14" style="222" bestFit="1" customWidth="1"/>
    <col min="4" max="5" width="13.875" style="222" bestFit="1" customWidth="1"/>
    <col min="6" max="6" width="13.375" style="222" bestFit="1" customWidth="1"/>
    <col min="7" max="7" width="13.5" style="222" bestFit="1" customWidth="1"/>
    <col min="8" max="8" width="13.75" style="222" bestFit="1" customWidth="1"/>
    <col min="9" max="10" width="13.875" style="222" bestFit="1" customWidth="1"/>
    <col min="11" max="11" width="13.375" style="222" bestFit="1" customWidth="1"/>
    <col min="12" max="16384" width="8.75" style="222"/>
  </cols>
  <sheetData>
    <row r="2" spans="2:12" x14ac:dyDescent="0.2">
      <c r="B2" s="292" t="s">
        <v>740</v>
      </c>
      <c r="C2" s="292"/>
      <c r="D2" s="292"/>
      <c r="E2" s="292"/>
      <c r="F2" s="292"/>
      <c r="G2" s="292"/>
      <c r="H2" s="292"/>
      <c r="I2" s="292"/>
      <c r="J2" s="292"/>
      <c r="K2" s="292"/>
    </row>
    <row r="3" spans="2:12" x14ac:dyDescent="0.2">
      <c r="B3" s="293" t="s">
        <v>741</v>
      </c>
      <c r="C3" s="294"/>
      <c r="D3" s="294"/>
      <c r="E3" s="294"/>
      <c r="F3" s="294"/>
      <c r="G3" s="294"/>
      <c r="H3" s="294"/>
      <c r="I3" s="294"/>
      <c r="J3" s="294"/>
      <c r="K3" s="295"/>
    </row>
    <row r="4" spans="2:12" x14ac:dyDescent="0.2">
      <c r="B4" s="228" t="s">
        <v>742</v>
      </c>
      <c r="C4" s="229" t="s">
        <v>33</v>
      </c>
      <c r="D4" s="229" t="s">
        <v>90</v>
      </c>
      <c r="E4" s="229" t="s">
        <v>26</v>
      </c>
      <c r="F4" s="229" t="s">
        <v>91</v>
      </c>
      <c r="G4" s="229" t="s">
        <v>92</v>
      </c>
      <c r="H4" s="229" t="s">
        <v>27</v>
      </c>
      <c r="I4" s="229" t="s">
        <v>93</v>
      </c>
      <c r="J4" s="229" t="s">
        <v>743</v>
      </c>
      <c r="K4" s="229" t="s">
        <v>744</v>
      </c>
      <c r="L4" s="230" t="s">
        <v>745</v>
      </c>
    </row>
    <row r="5" spans="2:12" x14ac:dyDescent="0.2">
      <c r="B5" s="229" t="s">
        <v>33</v>
      </c>
      <c r="C5" s="231">
        <v>0.96773657076334607</v>
      </c>
      <c r="D5" s="231">
        <v>3.0766672210211208E-2</v>
      </c>
      <c r="E5" s="231">
        <v>3.3261267254282387E-4</v>
      </c>
      <c r="F5" s="231">
        <v>8.3153168135705969E-4</v>
      </c>
      <c r="G5" s="231">
        <v>0</v>
      </c>
      <c r="H5" s="231">
        <v>0</v>
      </c>
      <c r="I5" s="231">
        <v>0</v>
      </c>
      <c r="J5" s="231">
        <v>3.3261267254282387E-4</v>
      </c>
      <c r="K5" s="231">
        <v>0</v>
      </c>
      <c r="L5" s="232">
        <f>1-K5</f>
        <v>1</v>
      </c>
    </row>
    <row r="6" spans="2:12" x14ac:dyDescent="0.2">
      <c r="B6" s="229" t="s">
        <v>90</v>
      </c>
      <c r="C6" s="231">
        <v>3.0482641828958511E-2</v>
      </c>
      <c r="D6" s="231">
        <v>0.93141405588484338</v>
      </c>
      <c r="E6" s="231">
        <v>2.476714648602879E-2</v>
      </c>
      <c r="F6" s="231">
        <v>6.9856054191363252E-3</v>
      </c>
      <c r="G6" s="231">
        <v>1.0584250635055038E-3</v>
      </c>
      <c r="H6" s="231">
        <v>0</v>
      </c>
      <c r="I6" s="231">
        <v>0</v>
      </c>
      <c r="J6" s="231">
        <v>5.292125317527519E-3</v>
      </c>
      <c r="K6" s="231">
        <v>0</v>
      </c>
      <c r="L6" s="232">
        <f t="shared" ref="L6:L11" si="0">1-K6</f>
        <v>1</v>
      </c>
    </row>
    <row r="7" spans="2:12" x14ac:dyDescent="0.2">
      <c r="B7" s="229" t="s">
        <v>26</v>
      </c>
      <c r="C7" s="231">
        <v>0</v>
      </c>
      <c r="D7" s="231">
        <v>3.877638948728996E-2</v>
      </c>
      <c r="E7" s="231">
        <v>0.91878500646273153</v>
      </c>
      <c r="F7" s="231">
        <v>3.0590262817750971E-2</v>
      </c>
      <c r="G7" s="231">
        <v>1.1202068074105989E-2</v>
      </c>
      <c r="H7" s="231">
        <v>6.4627315812149934E-4</v>
      </c>
      <c r="I7" s="231">
        <v>0</v>
      </c>
      <c r="J7" s="231">
        <v>0</v>
      </c>
      <c r="K7" s="231">
        <v>0</v>
      </c>
      <c r="L7" s="232">
        <f t="shared" si="0"/>
        <v>1</v>
      </c>
    </row>
    <row r="8" spans="2:12" x14ac:dyDescent="0.2">
      <c r="B8" s="229" t="s">
        <v>91</v>
      </c>
      <c r="C8" s="231">
        <v>0</v>
      </c>
      <c r="D8" s="231">
        <v>0</v>
      </c>
      <c r="E8" s="231">
        <v>5.9199707655764662E-2</v>
      </c>
      <c r="F8" s="231">
        <v>0.88817832998355561</v>
      </c>
      <c r="G8" s="231">
        <v>4.7871368536451672E-2</v>
      </c>
      <c r="H8" s="231">
        <v>4.3851635300566419E-3</v>
      </c>
      <c r="I8" s="231">
        <v>3.6543029417138682E-4</v>
      </c>
      <c r="J8" s="231">
        <v>0</v>
      </c>
      <c r="K8" s="231">
        <v>0</v>
      </c>
      <c r="L8" s="232">
        <f t="shared" si="0"/>
        <v>1</v>
      </c>
    </row>
    <row r="9" spans="2:12" x14ac:dyDescent="0.2">
      <c r="B9" s="229" t="s">
        <v>92</v>
      </c>
      <c r="C9" s="231">
        <v>0</v>
      </c>
      <c r="D9" s="231">
        <v>0</v>
      </c>
      <c r="E9" s="231">
        <v>0</v>
      </c>
      <c r="F9" s="231">
        <v>7.4931880108991822E-2</v>
      </c>
      <c r="G9" s="231">
        <v>0.84935772674192289</v>
      </c>
      <c r="H9" s="231">
        <v>6.6173608407940829E-2</v>
      </c>
      <c r="I9" s="231">
        <v>3.3086804203970414E-3</v>
      </c>
      <c r="J9" s="231">
        <v>1.1677695601401323E-3</v>
      </c>
      <c r="K9" s="231">
        <v>5.0603347606072401E-3</v>
      </c>
      <c r="L9" s="232">
        <f t="shared" si="0"/>
        <v>0.99493966523939281</v>
      </c>
    </row>
    <row r="10" spans="2:12" x14ac:dyDescent="0.2">
      <c r="B10" s="229" t="s">
        <v>27</v>
      </c>
      <c r="C10" s="231">
        <v>0</v>
      </c>
      <c r="D10" s="231">
        <v>0</v>
      </c>
      <c r="E10" s="231">
        <v>0</v>
      </c>
      <c r="F10" s="231">
        <v>0</v>
      </c>
      <c r="G10" s="231">
        <v>4.9503128450496869E-2</v>
      </c>
      <c r="H10" s="231">
        <v>0.88406330511593667</v>
      </c>
      <c r="I10" s="231">
        <v>3.6989326463010674E-2</v>
      </c>
      <c r="J10" s="231">
        <v>3.3124769966875228E-3</v>
      </c>
      <c r="K10" s="231">
        <v>2.6131762973868235E-2</v>
      </c>
      <c r="L10" s="232">
        <f t="shared" si="0"/>
        <v>0.97386823702613179</v>
      </c>
    </row>
    <row r="11" spans="2:12" x14ac:dyDescent="0.2">
      <c r="B11" s="229" t="s">
        <v>93</v>
      </c>
      <c r="C11" s="231">
        <v>0</v>
      </c>
      <c r="D11" s="231">
        <v>0</v>
      </c>
      <c r="E11" s="231">
        <v>0</v>
      </c>
      <c r="F11" s="231">
        <v>0</v>
      </c>
      <c r="G11" s="231">
        <v>7.874015748031496E-4</v>
      </c>
      <c r="H11" s="231">
        <v>0.15669291338582678</v>
      </c>
      <c r="I11" s="231">
        <v>0.71653543307086609</v>
      </c>
      <c r="J11" s="231">
        <v>9.4488188976377951E-3</v>
      </c>
      <c r="K11" s="231">
        <v>0.11653543307086614</v>
      </c>
      <c r="L11" s="232">
        <f t="shared" si="0"/>
        <v>0.88346456692913389</v>
      </c>
    </row>
    <row r="13" spans="2:12" x14ac:dyDescent="0.2">
      <c r="B13" s="233" t="s">
        <v>158</v>
      </c>
      <c r="C13" s="296" t="s">
        <v>213</v>
      </c>
      <c r="D13" s="296"/>
      <c r="E13" s="296"/>
      <c r="F13" s="296"/>
      <c r="G13" s="296"/>
    </row>
    <row r="15" spans="2:12" x14ac:dyDescent="0.2">
      <c r="B15" s="228" t="s">
        <v>742</v>
      </c>
      <c r="C15" s="229" t="s">
        <v>33</v>
      </c>
      <c r="D15" s="229" t="s">
        <v>90</v>
      </c>
      <c r="E15" s="229" t="s">
        <v>26</v>
      </c>
      <c r="F15" s="229" t="s">
        <v>91</v>
      </c>
      <c r="G15" s="229" t="s">
        <v>92</v>
      </c>
      <c r="H15" s="229" t="s">
        <v>27</v>
      </c>
      <c r="I15" s="229" t="s">
        <v>93</v>
      </c>
      <c r="J15" s="229" t="s">
        <v>743</v>
      </c>
      <c r="K15" s="229" t="s">
        <v>744</v>
      </c>
    </row>
    <row r="16" spans="2:12" x14ac:dyDescent="0.2">
      <c r="B16" s="229" t="s">
        <v>33</v>
      </c>
      <c r="C16" s="234">
        <f>C5+((C5/$L5)*$J5)</f>
        <v>0.96805845221046505</v>
      </c>
      <c r="D16" s="234">
        <f t="shared" ref="D16:K16" si="1">D5+((D5/$L5)*$J5)</f>
        <v>3.0776905595280294E-2</v>
      </c>
      <c r="E16" s="234">
        <f t="shared" si="1"/>
        <v>3.3272330373275996E-4</v>
      </c>
      <c r="F16" s="234">
        <f t="shared" si="1"/>
        <v>8.3180825933189988E-4</v>
      </c>
      <c r="G16" s="234">
        <f t="shared" si="1"/>
        <v>0</v>
      </c>
      <c r="H16" s="234">
        <f t="shared" si="1"/>
        <v>0</v>
      </c>
      <c r="I16" s="234">
        <f t="shared" si="1"/>
        <v>0</v>
      </c>
      <c r="J16" s="234">
        <f t="shared" si="1"/>
        <v>3.3272330373275996E-4</v>
      </c>
      <c r="K16" s="234">
        <f t="shared" si="1"/>
        <v>0</v>
      </c>
      <c r="L16" s="232">
        <f>SUM(C16:K16)</f>
        <v>1.0003326126725429</v>
      </c>
    </row>
    <row r="17" spans="2:12" x14ac:dyDescent="0.2">
      <c r="B17" s="229" t="s">
        <v>90</v>
      </c>
      <c r="C17" s="234">
        <f t="shared" ref="C17:K22" si="2">C6+((C6/$L6)*$J6)</f>
        <v>3.0643959789526665E-2</v>
      </c>
      <c r="D17" s="234">
        <f t="shared" si="2"/>
        <v>0.93634321579109259</v>
      </c>
      <c r="E17" s="234">
        <f t="shared" si="2"/>
        <v>2.4898217328990415E-2</v>
      </c>
      <c r="F17" s="234">
        <f t="shared" si="2"/>
        <v>7.022574118433194E-3</v>
      </c>
      <c r="G17" s="234">
        <f t="shared" si="2"/>
        <v>1.064026381580787E-3</v>
      </c>
      <c r="H17" s="234">
        <f t="shared" si="2"/>
        <v>0</v>
      </c>
      <c r="I17" s="234">
        <f t="shared" si="2"/>
        <v>0</v>
      </c>
      <c r="J17" s="234">
        <f t="shared" si="2"/>
        <v>5.3201319079039348E-3</v>
      </c>
      <c r="K17" s="234">
        <f t="shared" si="2"/>
        <v>0</v>
      </c>
      <c r="L17" s="232">
        <f t="shared" ref="L17:L22" si="3">SUM(C17:K17)</f>
        <v>1.0052921253175275</v>
      </c>
    </row>
    <row r="18" spans="2:12" x14ac:dyDescent="0.2">
      <c r="B18" s="229" t="s">
        <v>26</v>
      </c>
      <c r="C18" s="234">
        <f t="shared" si="2"/>
        <v>0</v>
      </c>
      <c r="D18" s="234">
        <f t="shared" si="2"/>
        <v>3.877638948728996E-2</v>
      </c>
      <c r="E18" s="234">
        <f t="shared" si="2"/>
        <v>0.91878500646273153</v>
      </c>
      <c r="F18" s="234">
        <f t="shared" si="2"/>
        <v>3.0590262817750971E-2</v>
      </c>
      <c r="G18" s="234">
        <f t="shared" si="2"/>
        <v>1.1202068074105989E-2</v>
      </c>
      <c r="H18" s="234">
        <f t="shared" si="2"/>
        <v>6.4627315812149934E-4</v>
      </c>
      <c r="I18" s="234">
        <f t="shared" si="2"/>
        <v>0</v>
      </c>
      <c r="J18" s="234">
        <f t="shared" si="2"/>
        <v>0</v>
      </c>
      <c r="K18" s="234">
        <f t="shared" si="2"/>
        <v>0</v>
      </c>
      <c r="L18" s="232">
        <f t="shared" si="3"/>
        <v>1</v>
      </c>
    </row>
    <row r="19" spans="2:12" x14ac:dyDescent="0.2">
      <c r="B19" s="229" t="s">
        <v>91</v>
      </c>
      <c r="C19" s="234">
        <f t="shared" si="2"/>
        <v>0</v>
      </c>
      <c r="D19" s="234">
        <f t="shared" si="2"/>
        <v>0</v>
      </c>
      <c r="E19" s="234">
        <f t="shared" si="2"/>
        <v>5.9199707655764662E-2</v>
      </c>
      <c r="F19" s="234">
        <f t="shared" si="2"/>
        <v>0.88817832998355561</v>
      </c>
      <c r="G19" s="234">
        <f t="shared" si="2"/>
        <v>4.7871368536451672E-2</v>
      </c>
      <c r="H19" s="234">
        <f t="shared" si="2"/>
        <v>4.3851635300566419E-3</v>
      </c>
      <c r="I19" s="234">
        <f t="shared" si="2"/>
        <v>3.6543029417138682E-4</v>
      </c>
      <c r="J19" s="234">
        <f t="shared" si="2"/>
        <v>0</v>
      </c>
      <c r="K19" s="234">
        <f t="shared" si="2"/>
        <v>0</v>
      </c>
      <c r="L19" s="232">
        <f t="shared" si="3"/>
        <v>1</v>
      </c>
    </row>
    <row r="20" spans="2:12" x14ac:dyDescent="0.2">
      <c r="B20" s="229" t="s">
        <v>92</v>
      </c>
      <c r="C20" s="234">
        <f t="shared" si="2"/>
        <v>0</v>
      </c>
      <c r="D20" s="234">
        <f t="shared" si="2"/>
        <v>0</v>
      </c>
      <c r="E20" s="234">
        <f t="shared" si="2"/>
        <v>0</v>
      </c>
      <c r="F20" s="234">
        <f t="shared" si="2"/>
        <v>7.5019828325082194E-2</v>
      </c>
      <c r="G20" s="234">
        <f t="shared" si="2"/>
        <v>0.85035462548223029</v>
      </c>
      <c r="H20" s="234">
        <f t="shared" si="2"/>
        <v>6.6251276962410247E-2</v>
      </c>
      <c r="I20" s="234">
        <f t="shared" si="2"/>
        <v>3.3125638481205123E-3</v>
      </c>
      <c r="J20" s="234">
        <f t="shared" si="2"/>
        <v>1.1691401816895926E-3</v>
      </c>
      <c r="K20" s="234">
        <f t="shared" si="2"/>
        <v>5.066274120654901E-3</v>
      </c>
      <c r="L20" s="232">
        <f t="shared" si="3"/>
        <v>1.0011737089201878</v>
      </c>
    </row>
    <row r="21" spans="2:12" x14ac:dyDescent="0.2">
      <c r="B21" s="229" t="s">
        <v>27</v>
      </c>
      <c r="C21" s="234">
        <f t="shared" si="2"/>
        <v>0</v>
      </c>
      <c r="D21" s="234">
        <f t="shared" si="2"/>
        <v>0</v>
      </c>
      <c r="E21" s="234">
        <f t="shared" si="2"/>
        <v>0</v>
      </c>
      <c r="F21" s="234">
        <f t="shared" si="2"/>
        <v>0</v>
      </c>
      <c r="G21" s="234">
        <f t="shared" si="2"/>
        <v>4.9671506438423732E-2</v>
      </c>
      <c r="H21" s="234">
        <f t="shared" si="2"/>
        <v>0.88707032316054868</v>
      </c>
      <c r="I21" s="234">
        <f t="shared" si="2"/>
        <v>3.7115140498599146E-2</v>
      </c>
      <c r="J21" s="234">
        <f t="shared" si="2"/>
        <v>3.3237439252476846E-3</v>
      </c>
      <c r="K21" s="234">
        <f t="shared" si="2"/>
        <v>2.62206465213984E-2</v>
      </c>
      <c r="L21" s="232">
        <f t="shared" si="3"/>
        <v>1.0034013605442176</v>
      </c>
    </row>
    <row r="22" spans="2:12" x14ac:dyDescent="0.2">
      <c r="B22" s="229" t="s">
        <v>93</v>
      </c>
      <c r="C22" s="234">
        <f t="shared" si="2"/>
        <v>0</v>
      </c>
      <c r="D22" s="234">
        <f t="shared" si="2"/>
        <v>0</v>
      </c>
      <c r="E22" s="234">
        <f t="shared" si="2"/>
        <v>0</v>
      </c>
      <c r="F22" s="234">
        <f t="shared" si="2"/>
        <v>0</v>
      </c>
      <c r="G22" s="234">
        <f t="shared" si="2"/>
        <v>7.9582298202029555E-4</v>
      </c>
      <c r="H22" s="234">
        <f t="shared" si="2"/>
        <v>0.15836877342203884</v>
      </c>
      <c r="I22" s="234">
        <f t="shared" si="2"/>
        <v>0.72419891363846889</v>
      </c>
      <c r="J22" s="234">
        <f t="shared" si="2"/>
        <v>9.5498757842435462E-3</v>
      </c>
      <c r="K22" s="234">
        <f t="shared" si="2"/>
        <v>0.11778180133900375</v>
      </c>
      <c r="L22" s="232">
        <f t="shared" si="3"/>
        <v>1.0106951871657754</v>
      </c>
    </row>
    <row r="24" spans="2:12" x14ac:dyDescent="0.2">
      <c r="B24" s="233" t="s">
        <v>159</v>
      </c>
      <c r="C24" s="296" t="s">
        <v>170</v>
      </c>
      <c r="D24" s="296"/>
      <c r="E24" s="296"/>
      <c r="F24" s="296"/>
      <c r="G24" s="296"/>
    </row>
    <row r="26" spans="2:12" x14ac:dyDescent="0.2">
      <c r="B26" s="228" t="s">
        <v>742</v>
      </c>
      <c r="C26" s="229" t="s">
        <v>33</v>
      </c>
      <c r="D26" s="229" t="s">
        <v>90</v>
      </c>
      <c r="E26" s="229" t="s">
        <v>26</v>
      </c>
      <c r="F26" s="229" t="s">
        <v>91</v>
      </c>
      <c r="G26" s="229" t="s">
        <v>92</v>
      </c>
      <c r="H26" s="229" t="s">
        <v>27</v>
      </c>
      <c r="I26" s="229" t="s">
        <v>93</v>
      </c>
      <c r="J26" s="229" t="s">
        <v>744</v>
      </c>
    </row>
    <row r="27" spans="2:12" x14ac:dyDescent="0.2">
      <c r="B27" s="229" t="s">
        <v>33</v>
      </c>
      <c r="C27" s="234">
        <f>C16</f>
        <v>0.96805845221046505</v>
      </c>
      <c r="D27" s="234">
        <f t="shared" ref="D27:I27" si="4">D16</f>
        <v>3.0776905595280294E-2</v>
      </c>
      <c r="E27" s="234">
        <f t="shared" si="4"/>
        <v>3.3272330373275996E-4</v>
      </c>
      <c r="F27" s="234">
        <f t="shared" si="4"/>
        <v>8.3180825933189988E-4</v>
      </c>
      <c r="G27" s="234">
        <f t="shared" si="4"/>
        <v>0</v>
      </c>
      <c r="H27" s="234">
        <f t="shared" si="4"/>
        <v>0</v>
      </c>
      <c r="I27" s="234">
        <f t="shared" si="4"/>
        <v>0</v>
      </c>
      <c r="J27" s="235">
        <f t="shared" ref="J27:J33" si="5">K16</f>
        <v>0</v>
      </c>
      <c r="K27" s="236"/>
    </row>
    <row r="28" spans="2:12" x14ac:dyDescent="0.2">
      <c r="B28" s="229" t="s">
        <v>90</v>
      </c>
      <c r="C28" s="234">
        <f t="shared" ref="C28:I33" si="6">C17</f>
        <v>3.0643959789526665E-2</v>
      </c>
      <c r="D28" s="234">
        <f t="shared" si="6"/>
        <v>0.93634321579109259</v>
      </c>
      <c r="E28" s="234">
        <f t="shared" si="6"/>
        <v>2.4898217328990415E-2</v>
      </c>
      <c r="F28" s="234">
        <f t="shared" si="6"/>
        <v>7.022574118433194E-3</v>
      </c>
      <c r="G28" s="234">
        <f t="shared" si="6"/>
        <v>1.064026381580787E-3</v>
      </c>
      <c r="H28" s="234">
        <f t="shared" si="6"/>
        <v>0</v>
      </c>
      <c r="I28" s="234">
        <f t="shared" si="6"/>
        <v>0</v>
      </c>
      <c r="J28" s="235">
        <f t="shared" si="5"/>
        <v>0</v>
      </c>
      <c r="K28" s="236"/>
    </row>
    <row r="29" spans="2:12" x14ac:dyDescent="0.2">
      <c r="B29" s="229" t="s">
        <v>26</v>
      </c>
      <c r="C29" s="234">
        <f t="shared" si="6"/>
        <v>0</v>
      </c>
      <c r="D29" s="234">
        <f t="shared" si="6"/>
        <v>3.877638948728996E-2</v>
      </c>
      <c r="E29" s="234">
        <f t="shared" si="6"/>
        <v>0.91878500646273153</v>
      </c>
      <c r="F29" s="234">
        <f t="shared" si="6"/>
        <v>3.0590262817750971E-2</v>
      </c>
      <c r="G29" s="234">
        <f t="shared" si="6"/>
        <v>1.1202068074105989E-2</v>
      </c>
      <c r="H29" s="234">
        <f t="shared" si="6"/>
        <v>6.4627315812149934E-4</v>
      </c>
      <c r="I29" s="234">
        <f t="shared" si="6"/>
        <v>0</v>
      </c>
      <c r="J29" s="235">
        <f t="shared" si="5"/>
        <v>0</v>
      </c>
      <c r="K29" s="236"/>
    </row>
    <row r="30" spans="2:12" x14ac:dyDescent="0.2">
      <c r="B30" s="229" t="s">
        <v>91</v>
      </c>
      <c r="C30" s="234">
        <f t="shared" si="6"/>
        <v>0</v>
      </c>
      <c r="D30" s="234">
        <f t="shared" si="6"/>
        <v>0</v>
      </c>
      <c r="E30" s="234">
        <f t="shared" si="6"/>
        <v>5.9199707655764662E-2</v>
      </c>
      <c r="F30" s="234">
        <f t="shared" si="6"/>
        <v>0.88817832998355561</v>
      </c>
      <c r="G30" s="234">
        <f t="shared" si="6"/>
        <v>4.7871368536451672E-2</v>
      </c>
      <c r="H30" s="234">
        <f t="shared" si="6"/>
        <v>4.3851635300566419E-3</v>
      </c>
      <c r="I30" s="234">
        <f t="shared" si="6"/>
        <v>3.6543029417138682E-4</v>
      </c>
      <c r="J30" s="235">
        <f t="shared" si="5"/>
        <v>0</v>
      </c>
      <c r="K30" s="236"/>
    </row>
    <row r="31" spans="2:12" x14ac:dyDescent="0.2">
      <c r="B31" s="229" t="s">
        <v>92</v>
      </c>
      <c r="C31" s="234">
        <f t="shared" si="6"/>
        <v>0</v>
      </c>
      <c r="D31" s="234">
        <f t="shared" si="6"/>
        <v>0</v>
      </c>
      <c r="E31" s="234">
        <f t="shared" si="6"/>
        <v>0</v>
      </c>
      <c r="F31" s="234">
        <f t="shared" si="6"/>
        <v>7.5019828325082194E-2</v>
      </c>
      <c r="G31" s="234">
        <f t="shared" si="6"/>
        <v>0.85035462548223029</v>
      </c>
      <c r="H31" s="234">
        <f t="shared" si="6"/>
        <v>6.6251276962410247E-2</v>
      </c>
      <c r="I31" s="234">
        <f t="shared" si="6"/>
        <v>3.3125638481205123E-3</v>
      </c>
      <c r="J31" s="235">
        <f t="shared" si="5"/>
        <v>5.066274120654901E-3</v>
      </c>
      <c r="K31" s="236"/>
    </row>
    <row r="32" spans="2:12" x14ac:dyDescent="0.2">
      <c r="B32" s="229" t="s">
        <v>27</v>
      </c>
      <c r="C32" s="234">
        <f t="shared" si="6"/>
        <v>0</v>
      </c>
      <c r="D32" s="234">
        <f t="shared" si="6"/>
        <v>0</v>
      </c>
      <c r="E32" s="234">
        <f t="shared" si="6"/>
        <v>0</v>
      </c>
      <c r="F32" s="234">
        <f t="shared" si="6"/>
        <v>0</v>
      </c>
      <c r="G32" s="234">
        <f t="shared" si="6"/>
        <v>4.9671506438423732E-2</v>
      </c>
      <c r="H32" s="234">
        <f t="shared" si="6"/>
        <v>0.88707032316054868</v>
      </c>
      <c r="I32" s="234">
        <f t="shared" si="6"/>
        <v>3.7115140498599146E-2</v>
      </c>
      <c r="J32" s="235">
        <f t="shared" si="5"/>
        <v>2.62206465213984E-2</v>
      </c>
      <c r="K32" s="236"/>
    </row>
    <row r="33" spans="2:10" x14ac:dyDescent="0.2">
      <c r="B33" s="229" t="s">
        <v>93</v>
      </c>
      <c r="C33" s="234">
        <f t="shared" si="6"/>
        <v>0</v>
      </c>
      <c r="D33" s="234">
        <f t="shared" si="6"/>
        <v>0</v>
      </c>
      <c r="E33" s="234">
        <f t="shared" si="6"/>
        <v>0</v>
      </c>
      <c r="F33" s="234">
        <f t="shared" si="6"/>
        <v>0</v>
      </c>
      <c r="G33" s="234">
        <f t="shared" si="6"/>
        <v>7.9582298202029555E-4</v>
      </c>
      <c r="H33" s="234">
        <f t="shared" si="6"/>
        <v>0.15836877342203884</v>
      </c>
      <c r="I33" s="234">
        <f t="shared" si="6"/>
        <v>0.72419891363846889</v>
      </c>
      <c r="J33" s="235">
        <f t="shared" si="5"/>
        <v>0.11778180133900375</v>
      </c>
    </row>
    <row r="34" spans="2:10" x14ac:dyDescent="0.2">
      <c r="B34" s="229" t="s">
        <v>744</v>
      </c>
      <c r="C34" s="234">
        <v>0</v>
      </c>
      <c r="D34" s="234">
        <v>0</v>
      </c>
      <c r="E34" s="234">
        <v>0</v>
      </c>
      <c r="F34" s="234">
        <v>0</v>
      </c>
      <c r="G34" s="234">
        <v>0</v>
      </c>
      <c r="H34" s="234">
        <v>0</v>
      </c>
      <c r="I34" s="234">
        <v>0</v>
      </c>
      <c r="J34" s="235">
        <v>1</v>
      </c>
    </row>
    <row r="36" spans="2:10" x14ac:dyDescent="0.2">
      <c r="B36" s="233" t="s">
        <v>171</v>
      </c>
      <c r="C36" s="296" t="s">
        <v>746</v>
      </c>
      <c r="D36" s="296"/>
      <c r="E36" s="296"/>
      <c r="F36" s="296"/>
      <c r="G36" s="296"/>
    </row>
    <row r="38" spans="2:10" x14ac:dyDescent="0.2">
      <c r="B38" s="237" t="s">
        <v>123</v>
      </c>
      <c r="C38" s="228" t="s">
        <v>33</v>
      </c>
      <c r="D38" s="228" t="s">
        <v>90</v>
      </c>
      <c r="E38" s="228" t="s">
        <v>26</v>
      </c>
      <c r="F38" s="228" t="s">
        <v>91</v>
      </c>
      <c r="G38" s="228" t="s">
        <v>92</v>
      </c>
      <c r="H38" s="228" t="s">
        <v>27</v>
      </c>
      <c r="I38" s="228" t="s">
        <v>93</v>
      </c>
      <c r="J38" s="228" t="s">
        <v>157</v>
      </c>
    </row>
    <row r="39" spans="2:10" x14ac:dyDescent="0.2">
      <c r="B39" s="237" t="s">
        <v>160</v>
      </c>
      <c r="C39" s="231">
        <v>3.0009981374588661E-4</v>
      </c>
      <c r="D39" s="231">
        <v>3.5185289237346532E-4</v>
      </c>
      <c r="E39" s="231">
        <v>4.0000000000000002E-4</v>
      </c>
      <c r="F39" s="231">
        <v>4.4999999999999999E-4</v>
      </c>
      <c r="G39" s="231">
        <v>5.066274120654901E-3</v>
      </c>
      <c r="H39" s="231">
        <v>2.62206465213984E-2</v>
      </c>
      <c r="I39" s="231">
        <v>0.11778180133900375</v>
      </c>
      <c r="J39" s="234">
        <v>1</v>
      </c>
    </row>
    <row r="40" spans="2:10" x14ac:dyDescent="0.2">
      <c r="B40" s="237" t="s">
        <v>161</v>
      </c>
      <c r="C40" s="231">
        <v>6.0195035135838734E-4</v>
      </c>
      <c r="D40" s="231">
        <v>7.0901496063255224E-4</v>
      </c>
      <c r="E40" s="231">
        <v>8.6862165326701294E-4</v>
      </c>
      <c r="F40" s="231">
        <v>1.2739124682629552E-3</v>
      </c>
      <c r="G40" s="231">
        <v>1.153547372776572E-2</v>
      </c>
      <c r="H40" s="231">
        <v>5.4103341477091942E-2</v>
      </c>
      <c r="I40" s="231">
        <v>0.20723581740039737</v>
      </c>
      <c r="J40" s="234">
        <v>1</v>
      </c>
    </row>
    <row r="41" spans="2:10" x14ac:dyDescent="0.2">
      <c r="B41" s="237" t="s">
        <v>162</v>
      </c>
      <c r="C41" s="231">
        <v>9.0599294773374684E-4</v>
      </c>
      <c r="D41" s="231">
        <v>1.0770290434147607E-3</v>
      </c>
      <c r="E41" s="231">
        <v>1.4287256081141968E-3</v>
      </c>
      <c r="F41" s="231">
        <v>2.4980847562233433E-3</v>
      </c>
      <c r="G41" s="231">
        <v>1.9241983594406431E-2</v>
      </c>
      <c r="H41" s="231">
        <v>8.2478685966244636E-2</v>
      </c>
      <c r="I41" s="231">
        <v>0.27643921519021342</v>
      </c>
      <c r="J41" s="234">
        <v>1</v>
      </c>
    </row>
    <row r="42" spans="2:10" x14ac:dyDescent="0.2">
      <c r="B42" s="237" t="s">
        <v>163</v>
      </c>
      <c r="C42" s="231">
        <v>1.2128549545475703E-3</v>
      </c>
      <c r="D42" s="231">
        <v>1.4616766716271088E-3</v>
      </c>
      <c r="E42" s="231">
        <v>2.0997258049576238E-3</v>
      </c>
      <c r="F42" s="231">
        <v>4.1371667627143165E-3</v>
      </c>
      <c r="G42" s="231">
        <v>2.7996230581052224E-2</v>
      </c>
      <c r="H42" s="231">
        <v>0.11060089975843729</v>
      </c>
      <c r="I42" s="231">
        <v>0.331056142209527</v>
      </c>
      <c r="J42" s="234">
        <v>1</v>
      </c>
    </row>
    <row r="43" spans="2:10" x14ac:dyDescent="0.2">
      <c r="B43" s="237" t="s">
        <v>164</v>
      </c>
      <c r="C43" s="231">
        <v>1.5233402679803126E-3</v>
      </c>
      <c r="D43" s="231">
        <v>1.8687751194591926E-3</v>
      </c>
      <c r="E43" s="231">
        <v>2.8975262233590275E-3</v>
      </c>
      <c r="F43" s="231">
        <v>6.1950438672058825E-3</v>
      </c>
      <c r="G43" s="231">
        <v>3.7607463282180308E-2</v>
      </c>
      <c r="H43" s="231">
        <v>0.13800923259055198</v>
      </c>
      <c r="I43" s="231">
        <v>0.3750703087583096</v>
      </c>
      <c r="J43" s="234">
        <v>1</v>
      </c>
    </row>
    <row r="44" spans="2:10" x14ac:dyDescent="0.2">
      <c r="B44" s="237" t="s">
        <v>165</v>
      </c>
      <c r="C44" s="231">
        <v>1.8384146678344397E-3</v>
      </c>
      <c r="D44" s="231">
        <v>2.3040162987630576E-3</v>
      </c>
      <c r="E44" s="231">
        <v>3.8346490481941352E-3</v>
      </c>
      <c r="F44" s="231">
        <v>8.6664122628315795E-3</v>
      </c>
      <c r="G44" s="231">
        <v>4.7896437839716727E-2</v>
      </c>
      <c r="H44" s="231">
        <v>0.16443334763560991</v>
      </c>
      <c r="I44" s="231">
        <v>0.41129359324967468</v>
      </c>
      <c r="J44" s="234">
        <v>1</v>
      </c>
    </row>
    <row r="45" spans="2:10" x14ac:dyDescent="0.2">
      <c r="B45" s="237" t="s">
        <v>166</v>
      </c>
      <c r="C45" s="231">
        <v>2.1591880196275368E-3</v>
      </c>
      <c r="D45" s="231">
        <v>2.7728432114457785E-3</v>
      </c>
      <c r="E45" s="231">
        <v>4.9204753287849035E-3</v>
      </c>
      <c r="F45" s="231">
        <v>1.1538563958523476E-2</v>
      </c>
      <c r="G45" s="231">
        <v>5.8701739885957678E-2</v>
      </c>
      <c r="H45" s="231">
        <v>0.18972889706705814</v>
      </c>
      <c r="I45" s="231">
        <v>0.44171939941760141</v>
      </c>
      <c r="J45" s="234">
        <v>1</v>
      </c>
    </row>
    <row r="46" spans="2:10" x14ac:dyDescent="0.2">
      <c r="B46" s="237" t="s">
        <v>167</v>
      </c>
      <c r="C46" s="231">
        <v>2.4868948076155399E-3</v>
      </c>
      <c r="D46" s="231">
        <v>3.2803589749466292E-3</v>
      </c>
      <c r="E46" s="231">
        <v>6.1615450889076174E-3</v>
      </c>
      <c r="F46" s="231">
        <v>1.4793135681979616E-2</v>
      </c>
      <c r="G46" s="231">
        <v>6.98821966647067E-2</v>
      </c>
      <c r="H46" s="231">
        <v>0.21383380197660126</v>
      </c>
      <c r="I46" s="231">
        <v>0.46776835943517969</v>
      </c>
      <c r="J46" s="234">
        <v>1</v>
      </c>
    </row>
    <row r="47" spans="2:10" x14ac:dyDescent="0.2">
      <c r="B47" s="237" t="s">
        <v>168</v>
      </c>
      <c r="C47" s="231">
        <v>2.8228740443105534E-3</v>
      </c>
      <c r="D47" s="231">
        <v>3.8312633627630406E-3</v>
      </c>
      <c r="E47" s="231">
        <v>7.561881800736114E-3</v>
      </c>
      <c r="F47" s="231">
        <v>1.8407693522998522E-2</v>
      </c>
      <c r="G47" s="231">
        <v>8.1316976788035497E-2</v>
      </c>
      <c r="H47" s="231">
        <v>0.23673870870622896</v>
      </c>
      <c r="I47" s="231">
        <v>0.49045934986975503</v>
      </c>
      <c r="J47" s="234">
        <v>1</v>
      </c>
    </row>
    <row r="48" spans="2:10" x14ac:dyDescent="0.2">
      <c r="B48" s="237" t="s">
        <v>169</v>
      </c>
      <c r="C48" s="231">
        <v>3.1685492947109888E-3</v>
      </c>
      <c r="D48" s="231">
        <v>4.4298120821174751E-3</v>
      </c>
      <c r="E48" s="231">
        <v>9.1233185447650127E-3</v>
      </c>
      <c r="F48" s="231">
        <v>2.2357097304200366E-2</v>
      </c>
      <c r="G48" s="231">
        <v>9.2904403140119093E-2</v>
      </c>
      <c r="H48" s="231">
        <v>0.25846713377339153</v>
      </c>
      <c r="I48" s="231">
        <v>0.51052866253678919</v>
      </c>
      <c r="J48" s="234">
        <v>1</v>
      </c>
    </row>
    <row r="49" spans="2:10" x14ac:dyDescent="0.2">
      <c r="B49" s="237" t="s">
        <v>726</v>
      </c>
      <c r="C49" s="231">
        <v>3.5254093286952197E-3</v>
      </c>
      <c r="D49" s="231">
        <v>5.0797944707928044E-3</v>
      </c>
      <c r="E49" s="231">
        <v>1.0845811708316833E-2</v>
      </c>
      <c r="F49" s="231">
        <v>2.6614631347079851E-2</v>
      </c>
      <c r="G49" s="231">
        <v>0.10456012511637926</v>
      </c>
      <c r="H49" s="231">
        <v>0.27906221510148876</v>
      </c>
      <c r="I49" s="231">
        <v>0.52851316253419878</v>
      </c>
      <c r="J49" s="234">
        <v>1</v>
      </c>
    </row>
    <row r="50" spans="2:10" x14ac:dyDescent="0.2">
      <c r="B50" s="237" t="s">
        <v>727</v>
      </c>
      <c r="C50" s="231">
        <v>3.8949897499388486E-3</v>
      </c>
      <c r="D50" s="231">
        <v>5.7845258274502659E-3</v>
      </c>
      <c r="E50" s="231">
        <v>1.2727733895595761E-2</v>
      </c>
      <c r="F50" s="231">
        <v>3.1152912157801076E-2</v>
      </c>
      <c r="G50" s="231">
        <v>0.11621504692686106</v>
      </c>
      <c r="H50" s="231">
        <v>0.29857795506411094</v>
      </c>
      <c r="I50" s="231">
        <v>0.54480841155453252</v>
      </c>
      <c r="J50" s="234">
        <v>1</v>
      </c>
    </row>
    <row r="51" spans="2:10" x14ac:dyDescent="0.2">
      <c r="B51" s="237" t="s">
        <v>728</v>
      </c>
      <c r="C51" s="231">
        <v>4.278855828060541E-3</v>
      </c>
      <c r="D51" s="231">
        <v>6.5468511301079455E-3</v>
      </c>
      <c r="E51" s="231">
        <v>1.4766141651325683E-2</v>
      </c>
      <c r="F51" s="231">
        <v>3.5944595618624037E-2</v>
      </c>
      <c r="G51" s="231">
        <v>0.12781324639154026</v>
      </c>
      <c r="H51" s="231">
        <v>0.31707350680006946</v>
      </c>
      <c r="I51" s="231">
        <v>0.55970937224746098</v>
      </c>
      <c r="J51" s="234">
        <v>1</v>
      </c>
    </row>
    <row r="52" spans="2:10" x14ac:dyDescent="0.2">
      <c r="B52" s="237" t="s">
        <v>729</v>
      </c>
      <c r="C52" s="231">
        <v>4.6785866709029358E-3</v>
      </c>
      <c r="D52" s="231">
        <v>7.3691574095334647E-3</v>
      </c>
      <c r="E52" s="231">
        <v>1.695701621217759E-2</v>
      </c>
      <c r="F52" s="231">
        <v>4.0962911138213251E-2</v>
      </c>
      <c r="G52" s="231">
        <v>0.13931001452854008</v>
      </c>
      <c r="H52" s="231">
        <v>0.33460951314458492</v>
      </c>
      <c r="I52" s="231">
        <v>0.5734389797493209</v>
      </c>
      <c r="J52" s="234">
        <v>1</v>
      </c>
    </row>
    <row r="53" spans="2:10" x14ac:dyDescent="0.2">
      <c r="B53" s="237" t="s">
        <v>730</v>
      </c>
      <c r="C53" s="231">
        <v>5.095760807602958E-3</v>
      </c>
      <c r="D53" s="231">
        <v>8.2533925094585257E-3</v>
      </c>
      <c r="E53" s="231">
        <v>1.9295477198448419E-2</v>
      </c>
      <c r="F53" s="231">
        <v>4.6182050863702966E-2</v>
      </c>
      <c r="G53" s="231">
        <v>0.15067008067529988</v>
      </c>
      <c r="H53" s="231">
        <v>0.35124582206351984</v>
      </c>
      <c r="I53" s="231">
        <v>0.58616825179465482</v>
      </c>
      <c r="J53" s="234">
        <v>1</v>
      </c>
    </row>
    <row r="54" spans="2:10" x14ac:dyDescent="0.2">
      <c r="B54" s="237" t="s">
        <v>731</v>
      </c>
      <c r="C54" s="231">
        <v>5.5319432043912341E-3</v>
      </c>
      <c r="D54" s="231">
        <v>9.2010883761241696E-3</v>
      </c>
      <c r="E54" s="231">
        <v>2.1775970225557304E-2</v>
      </c>
      <c r="F54" s="231">
        <v>5.1577440385675084E-2</v>
      </c>
      <c r="G54" s="231">
        <v>0.16186604767140286</v>
      </c>
      <c r="H54" s="231">
        <v>0.36704011831159533</v>
      </c>
      <c r="I54" s="231">
        <v>0.59803048922077284</v>
      </c>
      <c r="J54" s="234">
        <v>1</v>
      </c>
    </row>
    <row r="55" spans="2:10" x14ac:dyDescent="0.2">
      <c r="B55" s="237" t="s">
        <v>732</v>
      </c>
      <c r="C55" s="231">
        <v>5.988673699503325E-3</v>
      </c>
      <c r="D55" s="231">
        <v>1.0213387374680489E-2</v>
      </c>
      <c r="E55" s="231">
        <v>2.4392430049185232E-2</v>
      </c>
      <c r="F55" s="231">
        <v>5.7125914557952587E-2</v>
      </c>
      <c r="G55" s="231">
        <v>0.17287703790298395</v>
      </c>
      <c r="H55" s="231">
        <v>0.38204715894389857</v>
      </c>
      <c r="I55" s="231">
        <v>0.60913134200980257</v>
      </c>
      <c r="J55" s="234">
        <v>1</v>
      </c>
    </row>
    <row r="56" spans="2:10" x14ac:dyDescent="0.2">
      <c r="B56" s="237" t="s">
        <v>733</v>
      </c>
      <c r="C56" s="231">
        <v>6.4674568179646525E-3</v>
      </c>
      <c r="D56" s="231">
        <v>1.1291070432106906E-2</v>
      </c>
      <c r="E56" s="231">
        <v>2.713842119824076E-2</v>
      </c>
      <c r="F56" s="231">
        <v>6.2805818825397139E-2</v>
      </c>
      <c r="G56" s="231">
        <v>0.1836875378463681</v>
      </c>
      <c r="H56" s="231">
        <v>0.39631840151037978</v>
      </c>
      <c r="I56" s="231">
        <v>0.6195559769567921</v>
      </c>
      <c r="J56" s="234">
        <v>1</v>
      </c>
    </row>
    <row r="57" spans="2:10" x14ac:dyDescent="0.2">
      <c r="B57" s="237" t="s">
        <v>734</v>
      </c>
      <c r="C57" s="231">
        <v>6.9697529089352587E-3</v>
      </c>
      <c r="D57" s="231">
        <v>1.2434586060238926E-2</v>
      </c>
      <c r="E57" s="231">
        <v>3.000725819345643E-2</v>
      </c>
      <c r="F57" s="231">
        <v>6.859705322207138E-2</v>
      </c>
      <c r="G57" s="231">
        <v>0.1942864222327717</v>
      </c>
      <c r="H57" s="231">
        <v>0.40990188287397533</v>
      </c>
      <c r="I57" s="231">
        <v>0.62937420868524363</v>
      </c>
      <c r="J57" s="234">
        <v>1</v>
      </c>
    </row>
    <row r="58" spans="2:10" x14ac:dyDescent="0.2">
      <c r="B58" s="237" t="s">
        <v>735</v>
      </c>
      <c r="C58" s="231">
        <v>7.4969705359772404E-3</v>
      </c>
      <c r="D58" s="231">
        <v>1.3644079523643785E-2</v>
      </c>
      <c r="E58" s="231">
        <v>3.2992107464066098E-2</v>
      </c>
      <c r="F58" s="231">
        <v>7.4481073195414041E-2</v>
      </c>
      <c r="G58" s="231">
        <v>0.20466613651133966</v>
      </c>
      <c r="H58" s="231">
        <v>0.42284225368091399</v>
      </c>
      <c r="I58" s="231">
        <v>0.63864419555497121</v>
      </c>
      <c r="J58" s="234">
        <v>1</v>
      </c>
    </row>
    <row r="59" spans="2:10" x14ac:dyDescent="0.2">
      <c r="B59" s="237" t="s">
        <v>736</v>
      </c>
      <c r="C59" s="231">
        <v>8.050460042680745E-3</v>
      </c>
      <c r="D59" s="231">
        <v>1.4919421591074147E-2</v>
      </c>
      <c r="E59" s="231">
        <v>3.6086073007729202E-2</v>
      </c>
      <c r="F59" s="231">
        <v>8.0440858736833182E-2</v>
      </c>
      <c r="G59" s="231">
        <v>0.21482201624126937</v>
      </c>
      <c r="H59" s="231">
        <v>0.4351809055041494</v>
      </c>
      <c r="I59" s="231">
        <v>0.64741512104296173</v>
      </c>
      <c r="J59" s="234">
        <v>1</v>
      </c>
    </row>
    <row r="60" spans="2:10" x14ac:dyDescent="0.2">
      <c r="B60" s="237" t="s">
        <v>737</v>
      </c>
      <c r="C60" s="231">
        <v>8.6315082115176935E-3</v>
      </c>
      <c r="D60" s="231">
        <v>1.626023645138543E-2</v>
      </c>
      <c r="E60" s="231">
        <v>3.9282267722112699E-2</v>
      </c>
      <c r="F60" s="231">
        <v>8.6460860990982727E-2</v>
      </c>
      <c r="G60" s="231">
        <v>0.22475172332359791</v>
      </c>
      <c r="H60" s="231">
        <v>0.44695614934153488</v>
      </c>
      <c r="I60" s="231">
        <v>0.65572915519038755</v>
      </c>
      <c r="J60" s="234">
        <v>1</v>
      </c>
    </row>
    <row r="61" spans="2:10" x14ac:dyDescent="0.2">
      <c r="B61" s="237" t="s">
        <v>738</v>
      </c>
      <c r="C61" s="231">
        <v>9.241333931787948E-3</v>
      </c>
      <c r="D61" s="231">
        <v>1.7665928490015751E-2</v>
      </c>
      <c r="E61" s="231">
        <v>4.2573872192509965E-2</v>
      </c>
      <c r="F61" s="231">
        <v>9.2526933569247544E-2</v>
      </c>
      <c r="G61" s="231">
        <v>0.23445478091608188</v>
      </c>
      <c r="H61" s="231">
        <v>0.4582034187524221</v>
      </c>
      <c r="I61" s="231">
        <v>0.66362290290027948</v>
      </c>
      <c r="J61" s="234">
        <v>1</v>
      </c>
    </row>
    <row r="62" spans="2:10" x14ac:dyDescent="0.2">
      <c r="B62" s="237" t="s">
        <v>739</v>
      </c>
      <c r="C62" s="231">
        <v>9.8810847924608366E-3</v>
      </c>
      <c r="D62" s="231">
        <v>1.9135707714744793E-2</v>
      </c>
      <c r="E62" s="231">
        <v>4.5954182563546851E-2</v>
      </c>
      <c r="F62" s="231">
        <v>9.862625417985707E-2</v>
      </c>
      <c r="G62" s="231">
        <v>0.24393219104870148</v>
      </c>
      <c r="H62" s="231">
        <v>0.46895548070640214</v>
      </c>
      <c r="I62" s="231">
        <v>0.67112848459349672</v>
      </c>
      <c r="J62" s="234">
        <v>1</v>
      </c>
    </row>
  </sheetData>
  <mergeCells count="5">
    <mergeCell ref="B2:K2"/>
    <mergeCell ref="B3:K3"/>
    <mergeCell ref="C13:G13"/>
    <mergeCell ref="C24:G24"/>
    <mergeCell ref="C36:G3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B2:W406"/>
  <sheetViews>
    <sheetView showGridLines="0" topLeftCell="A16" zoomScale="80" zoomScaleNormal="20" workbookViewId="0">
      <selection activeCell="L10" sqref="L10"/>
    </sheetView>
  </sheetViews>
  <sheetFormatPr defaultColWidth="8.75" defaultRowHeight="12" x14ac:dyDescent="0.2"/>
  <cols>
    <col min="1" max="2" width="8.75" style="96"/>
    <col min="3" max="3" width="12.75" style="96" customWidth="1"/>
    <col min="4" max="4" width="15.5" style="96" bestFit="1" customWidth="1"/>
    <col min="5" max="5" width="17.875" style="96" customWidth="1"/>
    <col min="6" max="6" width="20.625" style="96" customWidth="1"/>
    <col min="7" max="7" width="26.75" style="96" customWidth="1"/>
    <col min="8" max="8" width="16.375" style="96" customWidth="1"/>
    <col min="9" max="9" width="20.25" style="96" customWidth="1"/>
    <col min="10" max="10" width="14.25" style="96" customWidth="1"/>
    <col min="11" max="11" width="14.125" style="96" customWidth="1"/>
    <col min="12" max="12" width="17.75" style="96" customWidth="1"/>
    <col min="13" max="13" width="14.5" style="96" customWidth="1"/>
    <col min="14" max="14" width="16.125" style="96" customWidth="1"/>
    <col min="15" max="15" width="14.75" style="96" customWidth="1"/>
    <col min="16" max="23" width="13.25" style="96" customWidth="1"/>
    <col min="24" max="16384" width="8.75" style="96"/>
  </cols>
  <sheetData>
    <row r="2" spans="2:23" x14ac:dyDescent="0.2">
      <c r="B2" s="297" t="s">
        <v>174</v>
      </c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</row>
    <row r="3" spans="2:23" ht="12.75" thickBot="1" x14ac:dyDescent="0.25"/>
    <row r="4" spans="2:23" x14ac:dyDescent="0.2">
      <c r="B4" s="97"/>
      <c r="C4" s="98" t="s">
        <v>33</v>
      </c>
      <c r="D4" s="98" t="s">
        <v>39</v>
      </c>
      <c r="E4" s="98" t="s">
        <v>42</v>
      </c>
      <c r="F4" s="98" t="s">
        <v>11</v>
      </c>
      <c r="G4" s="98" t="s">
        <v>8</v>
      </c>
      <c r="H4" s="98" t="s">
        <v>9</v>
      </c>
      <c r="I4" s="98" t="s">
        <v>46</v>
      </c>
      <c r="J4" s="98" t="s">
        <v>6</v>
      </c>
      <c r="K4" s="98" t="s">
        <v>5</v>
      </c>
      <c r="L4" s="98" t="s">
        <v>7</v>
      </c>
      <c r="M4" s="98" t="s">
        <v>54</v>
      </c>
      <c r="N4" s="98" t="s">
        <v>58</v>
      </c>
      <c r="O4" s="98" t="s">
        <v>60</v>
      </c>
      <c r="P4" s="98" t="s">
        <v>10</v>
      </c>
      <c r="Q4" s="98" t="s">
        <v>12</v>
      </c>
      <c r="R4" s="98" t="s">
        <v>62</v>
      </c>
      <c r="S4" s="98" t="s">
        <v>63</v>
      </c>
      <c r="T4" s="98" t="s">
        <v>67</v>
      </c>
      <c r="U4" s="98" t="s">
        <v>69</v>
      </c>
      <c r="V4" s="98" t="s">
        <v>156</v>
      </c>
      <c r="W4" s="99" t="s">
        <v>157</v>
      </c>
    </row>
    <row r="5" spans="2:23" x14ac:dyDescent="0.2">
      <c r="B5" s="100" t="s">
        <v>160</v>
      </c>
      <c r="C5" s="132">
        <v>3.0009981374588661E-4</v>
      </c>
      <c r="D5" s="132">
        <v>3.5185289237346532E-4</v>
      </c>
      <c r="E5" s="132">
        <v>3.5185289237346532E-4</v>
      </c>
      <c r="F5" s="132">
        <v>3.5185289237346532E-4</v>
      </c>
      <c r="G5" s="132">
        <v>4.0000000000000002E-4</v>
      </c>
      <c r="H5" s="132">
        <v>4.0000000000000002E-4</v>
      </c>
      <c r="I5" s="132">
        <v>4.0000000000000002E-4</v>
      </c>
      <c r="J5" s="132">
        <v>4.4999999999999999E-4</v>
      </c>
      <c r="K5" s="132">
        <v>4.4999999999999999E-4</v>
      </c>
      <c r="L5" s="132">
        <v>4.4999999999999999E-4</v>
      </c>
      <c r="M5" s="132">
        <v>5.066274120654901E-3</v>
      </c>
      <c r="N5" s="132">
        <v>5.066274120654901E-3</v>
      </c>
      <c r="O5" s="132">
        <v>5.066274120654901E-3</v>
      </c>
      <c r="P5" s="132">
        <v>2.62206465213984E-2</v>
      </c>
      <c r="Q5" s="132">
        <v>2.62206465213984E-2</v>
      </c>
      <c r="R5" s="132">
        <v>2.62206465213984E-2</v>
      </c>
      <c r="S5" s="132">
        <v>0.11778180133900375</v>
      </c>
      <c r="T5" s="132">
        <v>0.11778180133900375</v>
      </c>
      <c r="U5" s="132">
        <v>0.11778180133900375</v>
      </c>
      <c r="V5" s="132">
        <v>0.11778180133900375</v>
      </c>
      <c r="W5" s="132">
        <v>1</v>
      </c>
    </row>
    <row r="6" spans="2:23" x14ac:dyDescent="0.2">
      <c r="B6" s="100" t="s">
        <v>161</v>
      </c>
      <c r="C6" s="132">
        <v>6.0195035135838734E-4</v>
      </c>
      <c r="D6" s="132">
        <v>7.0901496063255224E-4</v>
      </c>
      <c r="E6" s="132">
        <v>7.0901496063255224E-4</v>
      </c>
      <c r="F6" s="132">
        <v>7.0901496063255224E-4</v>
      </c>
      <c r="G6" s="132">
        <v>8.6862165326701294E-4</v>
      </c>
      <c r="H6" s="132">
        <v>8.6862165326701294E-4</v>
      </c>
      <c r="I6" s="132">
        <v>8.6862165326701294E-4</v>
      </c>
      <c r="J6" s="132">
        <v>1.2739124682629552E-3</v>
      </c>
      <c r="K6" s="132">
        <v>1.2739124682629552E-3</v>
      </c>
      <c r="L6" s="132">
        <v>1.2739124682629552E-3</v>
      </c>
      <c r="M6" s="132">
        <v>1.153547372776572E-2</v>
      </c>
      <c r="N6" s="132">
        <v>1.153547372776572E-2</v>
      </c>
      <c r="O6" s="132">
        <v>1.153547372776572E-2</v>
      </c>
      <c r="P6" s="132">
        <v>5.4103341477091942E-2</v>
      </c>
      <c r="Q6" s="132">
        <v>5.4103341477091942E-2</v>
      </c>
      <c r="R6" s="132">
        <v>5.4103341477091942E-2</v>
      </c>
      <c r="S6" s="132">
        <v>0.20723581740039737</v>
      </c>
      <c r="T6" s="132">
        <v>0.20723581740039737</v>
      </c>
      <c r="U6" s="132">
        <v>0.20723581740039737</v>
      </c>
      <c r="V6" s="132">
        <v>0.20723581740039737</v>
      </c>
      <c r="W6" s="132">
        <v>1</v>
      </c>
    </row>
    <row r="7" spans="2:23" x14ac:dyDescent="0.2">
      <c r="B7" s="100" t="s">
        <v>162</v>
      </c>
      <c r="C7" s="132">
        <v>9.0599294773374684E-4</v>
      </c>
      <c r="D7" s="132">
        <v>1.0770290434147607E-3</v>
      </c>
      <c r="E7" s="132">
        <v>1.0770290434147607E-3</v>
      </c>
      <c r="F7" s="132">
        <v>1.0770290434147607E-3</v>
      </c>
      <c r="G7" s="132">
        <v>1.4287256081141968E-3</v>
      </c>
      <c r="H7" s="132">
        <v>1.4287256081141968E-3</v>
      </c>
      <c r="I7" s="132">
        <v>1.4287256081141968E-3</v>
      </c>
      <c r="J7" s="132">
        <v>2.4980847562233433E-3</v>
      </c>
      <c r="K7" s="132">
        <v>2.4980847562233433E-3</v>
      </c>
      <c r="L7" s="132">
        <v>2.4980847562233433E-3</v>
      </c>
      <c r="M7" s="132">
        <v>1.9241983594406431E-2</v>
      </c>
      <c r="N7" s="132">
        <v>1.9241983594406431E-2</v>
      </c>
      <c r="O7" s="132">
        <v>1.9241983594406431E-2</v>
      </c>
      <c r="P7" s="132">
        <v>8.2478685966244636E-2</v>
      </c>
      <c r="Q7" s="132">
        <v>8.2478685966244636E-2</v>
      </c>
      <c r="R7" s="132">
        <v>8.2478685966244636E-2</v>
      </c>
      <c r="S7" s="132">
        <v>0.27643921519021342</v>
      </c>
      <c r="T7" s="132">
        <v>0.27643921519021342</v>
      </c>
      <c r="U7" s="132">
        <v>0.27643921519021342</v>
      </c>
      <c r="V7" s="132">
        <v>0.27643921519021342</v>
      </c>
      <c r="W7" s="132">
        <v>1</v>
      </c>
    </row>
    <row r="8" spans="2:23" x14ac:dyDescent="0.2">
      <c r="B8" s="100" t="s">
        <v>163</v>
      </c>
      <c r="C8" s="132">
        <v>1.2128549545475703E-3</v>
      </c>
      <c r="D8" s="132">
        <v>1.4616766716271088E-3</v>
      </c>
      <c r="E8" s="132">
        <v>1.4616766716271088E-3</v>
      </c>
      <c r="F8" s="132">
        <v>1.4616766716271088E-3</v>
      </c>
      <c r="G8" s="132">
        <v>2.0997258049576238E-3</v>
      </c>
      <c r="H8" s="132">
        <v>2.0997258049576238E-3</v>
      </c>
      <c r="I8" s="132">
        <v>2.0997258049576238E-3</v>
      </c>
      <c r="J8" s="132">
        <v>4.1371667627143165E-3</v>
      </c>
      <c r="K8" s="132">
        <v>4.1371667627143165E-3</v>
      </c>
      <c r="L8" s="132">
        <v>4.1371667627143165E-3</v>
      </c>
      <c r="M8" s="132">
        <v>2.7996230581052224E-2</v>
      </c>
      <c r="N8" s="132">
        <v>2.7996230581052224E-2</v>
      </c>
      <c r="O8" s="132">
        <v>2.7996230581052224E-2</v>
      </c>
      <c r="P8" s="132">
        <v>0.11060089975843729</v>
      </c>
      <c r="Q8" s="132">
        <v>0.11060089975843729</v>
      </c>
      <c r="R8" s="132">
        <v>0.11060089975843729</v>
      </c>
      <c r="S8" s="132">
        <v>0.331056142209527</v>
      </c>
      <c r="T8" s="132">
        <v>0.331056142209527</v>
      </c>
      <c r="U8" s="132">
        <v>0.331056142209527</v>
      </c>
      <c r="V8" s="132">
        <v>0.331056142209527</v>
      </c>
      <c r="W8" s="132">
        <v>1</v>
      </c>
    </row>
    <row r="9" spans="2:23" x14ac:dyDescent="0.2">
      <c r="B9" s="100" t="s">
        <v>164</v>
      </c>
      <c r="C9" s="132">
        <v>1.5233402679803126E-3</v>
      </c>
      <c r="D9" s="132">
        <v>1.8687751194591926E-3</v>
      </c>
      <c r="E9" s="132">
        <v>1.8687751194591926E-3</v>
      </c>
      <c r="F9" s="132">
        <v>1.8687751194591926E-3</v>
      </c>
      <c r="G9" s="132">
        <v>2.8975262233590275E-3</v>
      </c>
      <c r="H9" s="132">
        <v>2.8975262233590275E-3</v>
      </c>
      <c r="I9" s="132">
        <v>2.8975262233590275E-3</v>
      </c>
      <c r="J9" s="132">
        <v>6.1950438672058825E-3</v>
      </c>
      <c r="K9" s="132">
        <v>6.1950438672058825E-3</v>
      </c>
      <c r="L9" s="132">
        <v>6.1950438672058825E-3</v>
      </c>
      <c r="M9" s="132">
        <v>3.7607463282180308E-2</v>
      </c>
      <c r="N9" s="132">
        <v>3.7607463282180308E-2</v>
      </c>
      <c r="O9" s="132">
        <v>3.7607463282180308E-2</v>
      </c>
      <c r="P9" s="132">
        <v>0.13800923259055198</v>
      </c>
      <c r="Q9" s="132">
        <v>0.13800923259055198</v>
      </c>
      <c r="R9" s="132">
        <v>0.13800923259055198</v>
      </c>
      <c r="S9" s="132">
        <v>0.3750703087583096</v>
      </c>
      <c r="T9" s="132">
        <v>0.3750703087583096</v>
      </c>
      <c r="U9" s="132">
        <v>0.3750703087583096</v>
      </c>
      <c r="V9" s="132">
        <v>0.3750703087583096</v>
      </c>
      <c r="W9" s="132">
        <v>1</v>
      </c>
    </row>
    <row r="10" spans="2:23" x14ac:dyDescent="0.2">
      <c r="B10" s="100" t="s">
        <v>165</v>
      </c>
      <c r="C10" s="132">
        <v>1.8384146678344397E-3</v>
      </c>
      <c r="D10" s="132">
        <v>2.3040162987630576E-3</v>
      </c>
      <c r="E10" s="132">
        <v>2.3040162987630576E-3</v>
      </c>
      <c r="F10" s="132">
        <v>2.3040162987630576E-3</v>
      </c>
      <c r="G10" s="132">
        <v>3.8346490481941352E-3</v>
      </c>
      <c r="H10" s="132">
        <v>3.8346490481941352E-3</v>
      </c>
      <c r="I10" s="132">
        <v>3.8346490481941352E-3</v>
      </c>
      <c r="J10" s="132">
        <v>8.6664122628315795E-3</v>
      </c>
      <c r="K10" s="132">
        <v>8.6664122628315795E-3</v>
      </c>
      <c r="L10" s="132">
        <v>8.6664122628315795E-3</v>
      </c>
      <c r="M10" s="132">
        <v>4.7896437839716727E-2</v>
      </c>
      <c r="N10" s="132">
        <v>4.7896437839716727E-2</v>
      </c>
      <c r="O10" s="132">
        <v>4.7896437839716727E-2</v>
      </c>
      <c r="P10" s="132">
        <v>0.16443334763560991</v>
      </c>
      <c r="Q10" s="132">
        <v>0.16443334763560991</v>
      </c>
      <c r="R10" s="132">
        <v>0.16443334763560991</v>
      </c>
      <c r="S10" s="132">
        <v>0.41129359324967468</v>
      </c>
      <c r="T10" s="132">
        <v>0.41129359324967468</v>
      </c>
      <c r="U10" s="132">
        <v>0.41129359324967468</v>
      </c>
      <c r="V10" s="132">
        <v>0.41129359324967468</v>
      </c>
      <c r="W10" s="132">
        <v>1</v>
      </c>
    </row>
    <row r="11" spans="2:23" x14ac:dyDescent="0.2">
      <c r="B11" s="100" t="s">
        <v>166</v>
      </c>
      <c r="C11" s="132">
        <v>2.1591880196275368E-3</v>
      </c>
      <c r="D11" s="132">
        <v>2.7728432114457785E-3</v>
      </c>
      <c r="E11" s="132">
        <v>2.7728432114457785E-3</v>
      </c>
      <c r="F11" s="132">
        <v>2.7728432114457785E-3</v>
      </c>
      <c r="G11" s="132">
        <v>4.9204753287849035E-3</v>
      </c>
      <c r="H11" s="132">
        <v>4.9204753287849035E-3</v>
      </c>
      <c r="I11" s="132">
        <v>4.9204753287849035E-3</v>
      </c>
      <c r="J11" s="132">
        <v>1.1538563958523476E-2</v>
      </c>
      <c r="K11" s="132">
        <v>1.1538563958523476E-2</v>
      </c>
      <c r="L11" s="132">
        <v>1.1538563958523476E-2</v>
      </c>
      <c r="M11" s="132">
        <v>5.8701739885957678E-2</v>
      </c>
      <c r="N11" s="132">
        <v>5.8701739885957678E-2</v>
      </c>
      <c r="O11" s="132">
        <v>5.8701739885957678E-2</v>
      </c>
      <c r="P11" s="132">
        <v>0.18972889706705814</v>
      </c>
      <c r="Q11" s="132">
        <v>0.18972889706705814</v>
      </c>
      <c r="R11" s="132">
        <v>0.18972889706705814</v>
      </c>
      <c r="S11" s="132">
        <v>0.44171939941760141</v>
      </c>
      <c r="T11" s="132">
        <v>0.44171939941760141</v>
      </c>
      <c r="U11" s="132">
        <v>0.44171939941760141</v>
      </c>
      <c r="V11" s="132">
        <v>0.44171939941760141</v>
      </c>
      <c r="W11" s="132">
        <v>1</v>
      </c>
    </row>
    <row r="12" spans="2:23" x14ac:dyDescent="0.2">
      <c r="B12" s="100" t="s">
        <v>167</v>
      </c>
      <c r="C12" s="132">
        <v>2.4868948076155399E-3</v>
      </c>
      <c r="D12" s="132">
        <v>3.2803589749466292E-3</v>
      </c>
      <c r="E12" s="132">
        <v>3.2803589749466292E-3</v>
      </c>
      <c r="F12" s="132">
        <v>3.2803589749466292E-3</v>
      </c>
      <c r="G12" s="132">
        <v>6.1615450889076174E-3</v>
      </c>
      <c r="H12" s="132">
        <v>6.1615450889076174E-3</v>
      </c>
      <c r="I12" s="132">
        <v>6.1615450889076174E-3</v>
      </c>
      <c r="J12" s="132">
        <v>1.4793135681979616E-2</v>
      </c>
      <c r="K12" s="132">
        <v>1.4793135681979616E-2</v>
      </c>
      <c r="L12" s="132">
        <v>1.4793135681979616E-2</v>
      </c>
      <c r="M12" s="132">
        <v>6.98821966647067E-2</v>
      </c>
      <c r="N12" s="132">
        <v>6.98821966647067E-2</v>
      </c>
      <c r="O12" s="132">
        <v>6.98821966647067E-2</v>
      </c>
      <c r="P12" s="132">
        <v>0.21383380197660126</v>
      </c>
      <c r="Q12" s="132">
        <v>0.21383380197660126</v>
      </c>
      <c r="R12" s="132">
        <v>0.21383380197660126</v>
      </c>
      <c r="S12" s="132">
        <v>0.46776835943517969</v>
      </c>
      <c r="T12" s="132">
        <v>0.46776835943517969</v>
      </c>
      <c r="U12" s="132">
        <v>0.46776835943517969</v>
      </c>
      <c r="V12" s="132">
        <v>0.46776835943517969</v>
      </c>
      <c r="W12" s="132">
        <v>1</v>
      </c>
    </row>
    <row r="13" spans="2:23" x14ac:dyDescent="0.2">
      <c r="B13" s="100" t="s">
        <v>168</v>
      </c>
      <c r="C13" s="132">
        <v>2.8228740443105534E-3</v>
      </c>
      <c r="D13" s="132">
        <v>3.8312633627630406E-3</v>
      </c>
      <c r="E13" s="132">
        <v>3.8312633627630406E-3</v>
      </c>
      <c r="F13" s="132">
        <v>3.8312633627630406E-3</v>
      </c>
      <c r="G13" s="132">
        <v>7.561881800736114E-3</v>
      </c>
      <c r="H13" s="132">
        <v>7.561881800736114E-3</v>
      </c>
      <c r="I13" s="132">
        <v>7.561881800736114E-3</v>
      </c>
      <c r="J13" s="132">
        <v>1.8407693522998522E-2</v>
      </c>
      <c r="K13" s="132">
        <v>1.8407693522998522E-2</v>
      </c>
      <c r="L13" s="132">
        <v>1.8407693522998522E-2</v>
      </c>
      <c r="M13" s="132">
        <v>8.1316976788035497E-2</v>
      </c>
      <c r="N13" s="132">
        <v>8.1316976788035497E-2</v>
      </c>
      <c r="O13" s="132">
        <v>8.1316976788035497E-2</v>
      </c>
      <c r="P13" s="132">
        <v>0.23673870870622896</v>
      </c>
      <c r="Q13" s="132">
        <v>0.23673870870622896</v>
      </c>
      <c r="R13" s="132">
        <v>0.23673870870622896</v>
      </c>
      <c r="S13" s="132">
        <v>0.49045934986975503</v>
      </c>
      <c r="T13" s="132">
        <v>0.49045934986975503</v>
      </c>
      <c r="U13" s="132">
        <v>0.49045934986975503</v>
      </c>
      <c r="V13" s="132">
        <v>0.49045934986975503</v>
      </c>
      <c r="W13" s="132">
        <v>1</v>
      </c>
    </row>
    <row r="14" spans="2:23" x14ac:dyDescent="0.2">
      <c r="B14" s="100" t="s">
        <v>169</v>
      </c>
      <c r="C14" s="132">
        <v>3.1685492947109888E-3</v>
      </c>
      <c r="D14" s="132">
        <v>4.4298120821174751E-3</v>
      </c>
      <c r="E14" s="132">
        <v>4.4298120821174751E-3</v>
      </c>
      <c r="F14" s="132">
        <v>4.4298120821174751E-3</v>
      </c>
      <c r="G14" s="132">
        <v>9.1233185447650127E-3</v>
      </c>
      <c r="H14" s="132">
        <v>9.1233185447650127E-3</v>
      </c>
      <c r="I14" s="132">
        <v>9.1233185447650127E-3</v>
      </c>
      <c r="J14" s="132">
        <v>2.2357097304200366E-2</v>
      </c>
      <c r="K14" s="132">
        <v>2.2357097304200366E-2</v>
      </c>
      <c r="L14" s="132">
        <v>2.2357097304200366E-2</v>
      </c>
      <c r="M14" s="132">
        <v>9.2904403140119093E-2</v>
      </c>
      <c r="N14" s="132">
        <v>9.2904403140119093E-2</v>
      </c>
      <c r="O14" s="132">
        <v>9.2904403140119093E-2</v>
      </c>
      <c r="P14" s="132">
        <v>0.25846713377339153</v>
      </c>
      <c r="Q14" s="132">
        <v>0.25846713377339153</v>
      </c>
      <c r="R14" s="132">
        <v>0.25846713377339153</v>
      </c>
      <c r="S14" s="132">
        <v>0.51052866253678919</v>
      </c>
      <c r="T14" s="132">
        <v>0.51052866253678919</v>
      </c>
      <c r="U14" s="132">
        <v>0.51052866253678919</v>
      </c>
      <c r="V14" s="132">
        <v>0.51052866253678919</v>
      </c>
      <c r="W14" s="132">
        <v>1</v>
      </c>
    </row>
    <row r="15" spans="2:23" x14ac:dyDescent="0.2">
      <c r="B15" s="100" t="s">
        <v>726</v>
      </c>
      <c r="C15" s="132">
        <v>3.5254093286952197E-3</v>
      </c>
      <c r="D15" s="132">
        <v>5.0797944707928044E-3</v>
      </c>
      <c r="E15" s="132">
        <v>5.0797944707928044E-3</v>
      </c>
      <c r="F15" s="132">
        <v>5.0797944707928044E-3</v>
      </c>
      <c r="G15" s="132">
        <v>1.0845811708316833E-2</v>
      </c>
      <c r="H15" s="132">
        <v>1.0845811708316833E-2</v>
      </c>
      <c r="I15" s="132">
        <v>1.0845811708316833E-2</v>
      </c>
      <c r="J15" s="132">
        <v>2.6614631347079851E-2</v>
      </c>
      <c r="K15" s="132">
        <v>2.6614631347079851E-2</v>
      </c>
      <c r="L15" s="132">
        <v>2.6614631347079851E-2</v>
      </c>
      <c r="M15" s="132">
        <v>0.10456012511637926</v>
      </c>
      <c r="N15" s="132">
        <v>0.10456012511637926</v>
      </c>
      <c r="O15" s="132">
        <v>0.10456012511637926</v>
      </c>
      <c r="P15" s="132">
        <v>0.27906221510148876</v>
      </c>
      <c r="Q15" s="132">
        <v>0.27906221510148876</v>
      </c>
      <c r="R15" s="132">
        <v>0.27906221510148876</v>
      </c>
      <c r="S15" s="132">
        <v>0.52851316253419878</v>
      </c>
      <c r="T15" s="132">
        <v>0.52851316253419878</v>
      </c>
      <c r="U15" s="132">
        <v>0.52851316253419878</v>
      </c>
      <c r="V15" s="132">
        <v>0.52851316253419878</v>
      </c>
      <c r="W15" s="132">
        <v>1</v>
      </c>
    </row>
    <row r="16" spans="2:23" x14ac:dyDescent="0.2">
      <c r="B16" s="100" t="s">
        <v>727</v>
      </c>
      <c r="C16" s="132">
        <v>3.8949897499388486E-3</v>
      </c>
      <c r="D16" s="132">
        <v>5.7845258274502659E-3</v>
      </c>
      <c r="E16" s="132">
        <v>5.7845258274502659E-3</v>
      </c>
      <c r="F16" s="132">
        <v>5.7845258274502659E-3</v>
      </c>
      <c r="G16" s="132">
        <v>1.2727733895595761E-2</v>
      </c>
      <c r="H16" s="132">
        <v>1.2727733895595761E-2</v>
      </c>
      <c r="I16" s="132">
        <v>1.2727733895595761E-2</v>
      </c>
      <c r="J16" s="132">
        <v>3.1152912157801076E-2</v>
      </c>
      <c r="K16" s="132">
        <v>3.1152912157801076E-2</v>
      </c>
      <c r="L16" s="132">
        <v>3.1152912157801076E-2</v>
      </c>
      <c r="M16" s="132">
        <v>0.11621504692686106</v>
      </c>
      <c r="N16" s="132">
        <v>0.11621504692686106</v>
      </c>
      <c r="O16" s="132">
        <v>0.11621504692686106</v>
      </c>
      <c r="P16" s="132">
        <v>0.29857795506411094</v>
      </c>
      <c r="Q16" s="132">
        <v>0.29857795506411094</v>
      </c>
      <c r="R16" s="132">
        <v>0.29857795506411094</v>
      </c>
      <c r="S16" s="132">
        <v>0.54480841155453252</v>
      </c>
      <c r="T16" s="132">
        <v>0.54480841155453252</v>
      </c>
      <c r="U16" s="132">
        <v>0.54480841155453252</v>
      </c>
      <c r="V16" s="132">
        <v>0.54480841155453252</v>
      </c>
      <c r="W16" s="132">
        <v>1</v>
      </c>
    </row>
    <row r="17" spans="2:23" x14ac:dyDescent="0.2">
      <c r="B17" s="100" t="s">
        <v>728</v>
      </c>
      <c r="C17" s="132">
        <v>4.278855828060541E-3</v>
      </c>
      <c r="D17" s="132">
        <v>6.5468511301079455E-3</v>
      </c>
      <c r="E17" s="132">
        <v>6.5468511301079455E-3</v>
      </c>
      <c r="F17" s="132">
        <v>6.5468511301079455E-3</v>
      </c>
      <c r="G17" s="132">
        <v>1.4766141651325683E-2</v>
      </c>
      <c r="H17" s="132">
        <v>1.4766141651325683E-2</v>
      </c>
      <c r="I17" s="132">
        <v>1.4766141651325683E-2</v>
      </c>
      <c r="J17" s="132">
        <v>3.5944595618624037E-2</v>
      </c>
      <c r="K17" s="132">
        <v>3.5944595618624037E-2</v>
      </c>
      <c r="L17" s="132">
        <v>3.5944595618624037E-2</v>
      </c>
      <c r="M17" s="132">
        <v>0.12781324639154026</v>
      </c>
      <c r="N17" s="132">
        <v>0.12781324639154026</v>
      </c>
      <c r="O17" s="132">
        <v>0.12781324639154026</v>
      </c>
      <c r="P17" s="132">
        <v>0.31707350680006946</v>
      </c>
      <c r="Q17" s="132">
        <v>0.31707350680006946</v>
      </c>
      <c r="R17" s="132">
        <v>0.31707350680006946</v>
      </c>
      <c r="S17" s="132">
        <v>0.55970937224746098</v>
      </c>
      <c r="T17" s="132">
        <v>0.55970937224746098</v>
      </c>
      <c r="U17" s="132">
        <v>0.55970937224746098</v>
      </c>
      <c r="V17" s="132">
        <v>0.55970937224746098</v>
      </c>
      <c r="W17" s="132">
        <v>1</v>
      </c>
    </row>
    <row r="18" spans="2:23" x14ac:dyDescent="0.2">
      <c r="B18" s="100" t="s">
        <v>729</v>
      </c>
      <c r="C18" s="132">
        <v>4.6785866709029358E-3</v>
      </c>
      <c r="D18" s="132">
        <v>7.3691574095334647E-3</v>
      </c>
      <c r="E18" s="132">
        <v>7.3691574095334647E-3</v>
      </c>
      <c r="F18" s="132">
        <v>7.3691574095334647E-3</v>
      </c>
      <c r="G18" s="132">
        <v>1.695701621217759E-2</v>
      </c>
      <c r="H18" s="132">
        <v>1.695701621217759E-2</v>
      </c>
      <c r="I18" s="132">
        <v>1.695701621217759E-2</v>
      </c>
      <c r="J18" s="132">
        <v>4.0962911138213251E-2</v>
      </c>
      <c r="K18" s="132">
        <v>4.0962911138213251E-2</v>
      </c>
      <c r="L18" s="132">
        <v>4.0962911138213251E-2</v>
      </c>
      <c r="M18" s="132">
        <v>0.13931001452854008</v>
      </c>
      <c r="N18" s="132">
        <v>0.13931001452854008</v>
      </c>
      <c r="O18" s="132">
        <v>0.13931001452854008</v>
      </c>
      <c r="P18" s="132">
        <v>0.33460951314458492</v>
      </c>
      <c r="Q18" s="132">
        <v>0.33460951314458492</v>
      </c>
      <c r="R18" s="132">
        <v>0.33460951314458492</v>
      </c>
      <c r="S18" s="132">
        <v>0.5734389797493209</v>
      </c>
      <c r="T18" s="132">
        <v>0.5734389797493209</v>
      </c>
      <c r="U18" s="132">
        <v>0.5734389797493209</v>
      </c>
      <c r="V18" s="132">
        <v>0.5734389797493209</v>
      </c>
      <c r="W18" s="132">
        <v>1</v>
      </c>
    </row>
    <row r="19" spans="2:23" x14ac:dyDescent="0.2">
      <c r="B19" s="100" t="s">
        <v>730</v>
      </c>
      <c r="C19" s="132">
        <v>5.095760807602958E-3</v>
      </c>
      <c r="D19" s="132">
        <v>8.2533925094585257E-3</v>
      </c>
      <c r="E19" s="132">
        <v>8.2533925094585257E-3</v>
      </c>
      <c r="F19" s="132">
        <v>8.2533925094585257E-3</v>
      </c>
      <c r="G19" s="132">
        <v>1.9295477198448419E-2</v>
      </c>
      <c r="H19" s="132">
        <v>1.9295477198448419E-2</v>
      </c>
      <c r="I19" s="132">
        <v>1.9295477198448419E-2</v>
      </c>
      <c r="J19" s="132">
        <v>4.6182050863702966E-2</v>
      </c>
      <c r="K19" s="132">
        <v>4.6182050863702966E-2</v>
      </c>
      <c r="L19" s="132">
        <v>4.6182050863702966E-2</v>
      </c>
      <c r="M19" s="132">
        <v>0.15067008067529988</v>
      </c>
      <c r="N19" s="132">
        <v>0.15067008067529988</v>
      </c>
      <c r="O19" s="132">
        <v>0.15067008067529988</v>
      </c>
      <c r="P19" s="132">
        <v>0.35124582206351984</v>
      </c>
      <c r="Q19" s="132">
        <v>0.35124582206351984</v>
      </c>
      <c r="R19" s="132">
        <v>0.35124582206351984</v>
      </c>
      <c r="S19" s="132">
        <v>0.58616825179465482</v>
      </c>
      <c r="T19" s="132">
        <v>0.58616825179465482</v>
      </c>
      <c r="U19" s="132">
        <v>0.58616825179465482</v>
      </c>
      <c r="V19" s="132">
        <v>0.58616825179465482</v>
      </c>
      <c r="W19" s="132">
        <v>1</v>
      </c>
    </row>
    <row r="20" spans="2:23" x14ac:dyDescent="0.2">
      <c r="B20" s="100" t="s">
        <v>731</v>
      </c>
      <c r="C20" s="132">
        <v>5.5319432043912341E-3</v>
      </c>
      <c r="D20" s="132">
        <v>9.2010883761241696E-3</v>
      </c>
      <c r="E20" s="132">
        <v>9.2010883761241696E-3</v>
      </c>
      <c r="F20" s="132">
        <v>9.2010883761241696E-3</v>
      </c>
      <c r="G20" s="132">
        <v>2.1775970225557304E-2</v>
      </c>
      <c r="H20" s="132">
        <v>2.1775970225557304E-2</v>
      </c>
      <c r="I20" s="132">
        <v>2.1775970225557304E-2</v>
      </c>
      <c r="J20" s="132">
        <v>5.1577440385675084E-2</v>
      </c>
      <c r="K20" s="132">
        <v>5.1577440385675084E-2</v>
      </c>
      <c r="L20" s="132">
        <v>5.1577440385675084E-2</v>
      </c>
      <c r="M20" s="132">
        <v>0.16186604767140286</v>
      </c>
      <c r="N20" s="132">
        <v>0.16186604767140286</v>
      </c>
      <c r="O20" s="132">
        <v>0.16186604767140286</v>
      </c>
      <c r="P20" s="132">
        <v>0.36704011831159533</v>
      </c>
      <c r="Q20" s="132">
        <v>0.36704011831159533</v>
      </c>
      <c r="R20" s="132">
        <v>0.36704011831159533</v>
      </c>
      <c r="S20" s="132">
        <v>0.59803048922077284</v>
      </c>
      <c r="T20" s="132">
        <v>0.59803048922077284</v>
      </c>
      <c r="U20" s="132">
        <v>0.59803048922077284</v>
      </c>
      <c r="V20" s="132">
        <v>0.59803048922077284</v>
      </c>
      <c r="W20" s="132">
        <v>1</v>
      </c>
    </row>
    <row r="21" spans="2:23" x14ac:dyDescent="0.2">
      <c r="B21" s="100" t="s">
        <v>732</v>
      </c>
      <c r="C21" s="132">
        <v>5.988673699503325E-3</v>
      </c>
      <c r="D21" s="132">
        <v>1.0213387374680489E-2</v>
      </c>
      <c r="E21" s="132">
        <v>1.0213387374680489E-2</v>
      </c>
      <c r="F21" s="132">
        <v>1.0213387374680489E-2</v>
      </c>
      <c r="G21" s="132">
        <v>2.4392430049185232E-2</v>
      </c>
      <c r="H21" s="132">
        <v>2.4392430049185232E-2</v>
      </c>
      <c r="I21" s="132">
        <v>2.4392430049185232E-2</v>
      </c>
      <c r="J21" s="132">
        <v>5.7125914557952587E-2</v>
      </c>
      <c r="K21" s="132">
        <v>5.7125914557952587E-2</v>
      </c>
      <c r="L21" s="132">
        <v>5.7125914557952587E-2</v>
      </c>
      <c r="M21" s="132">
        <v>0.17287703790298395</v>
      </c>
      <c r="N21" s="132">
        <v>0.17287703790298395</v>
      </c>
      <c r="O21" s="132">
        <v>0.17287703790298395</v>
      </c>
      <c r="P21" s="132">
        <v>0.38204715894389857</v>
      </c>
      <c r="Q21" s="132">
        <v>0.38204715894389857</v>
      </c>
      <c r="R21" s="132">
        <v>0.38204715894389857</v>
      </c>
      <c r="S21" s="132">
        <v>0.60913134200980257</v>
      </c>
      <c r="T21" s="132">
        <v>0.60913134200980257</v>
      </c>
      <c r="U21" s="132">
        <v>0.60913134200980257</v>
      </c>
      <c r="V21" s="132">
        <v>0.60913134200980257</v>
      </c>
      <c r="W21" s="132">
        <v>1</v>
      </c>
    </row>
    <row r="22" spans="2:23" x14ac:dyDescent="0.2">
      <c r="B22" s="100" t="s">
        <v>733</v>
      </c>
      <c r="C22" s="132">
        <v>6.4674568179646525E-3</v>
      </c>
      <c r="D22" s="132">
        <v>1.1291070432106906E-2</v>
      </c>
      <c r="E22" s="132">
        <v>1.1291070432106906E-2</v>
      </c>
      <c r="F22" s="132">
        <v>1.1291070432106906E-2</v>
      </c>
      <c r="G22" s="132">
        <v>2.713842119824076E-2</v>
      </c>
      <c r="H22" s="132">
        <v>2.713842119824076E-2</v>
      </c>
      <c r="I22" s="132">
        <v>2.713842119824076E-2</v>
      </c>
      <c r="J22" s="132">
        <v>6.2805818825397139E-2</v>
      </c>
      <c r="K22" s="132">
        <v>6.2805818825397139E-2</v>
      </c>
      <c r="L22" s="132">
        <v>6.2805818825397139E-2</v>
      </c>
      <c r="M22" s="132">
        <v>0.1836875378463681</v>
      </c>
      <c r="N22" s="132">
        <v>0.1836875378463681</v>
      </c>
      <c r="O22" s="132">
        <v>0.1836875378463681</v>
      </c>
      <c r="P22" s="132">
        <v>0.39631840151037978</v>
      </c>
      <c r="Q22" s="132">
        <v>0.39631840151037978</v>
      </c>
      <c r="R22" s="132">
        <v>0.39631840151037978</v>
      </c>
      <c r="S22" s="132">
        <v>0.6195559769567921</v>
      </c>
      <c r="T22" s="132">
        <v>0.6195559769567921</v>
      </c>
      <c r="U22" s="132">
        <v>0.6195559769567921</v>
      </c>
      <c r="V22" s="132">
        <v>0.6195559769567921</v>
      </c>
      <c r="W22" s="132">
        <v>1</v>
      </c>
    </row>
    <row r="23" spans="2:23" x14ac:dyDescent="0.2">
      <c r="B23" s="100" t="s">
        <v>734</v>
      </c>
      <c r="C23" s="132">
        <v>6.9697529089352587E-3</v>
      </c>
      <c r="D23" s="132">
        <v>1.2434586060238926E-2</v>
      </c>
      <c r="E23" s="132">
        <v>1.2434586060238926E-2</v>
      </c>
      <c r="F23" s="132">
        <v>1.2434586060238926E-2</v>
      </c>
      <c r="G23" s="132">
        <v>3.000725819345643E-2</v>
      </c>
      <c r="H23" s="132">
        <v>3.000725819345643E-2</v>
      </c>
      <c r="I23" s="132">
        <v>3.000725819345643E-2</v>
      </c>
      <c r="J23" s="132">
        <v>6.859705322207138E-2</v>
      </c>
      <c r="K23" s="132">
        <v>6.859705322207138E-2</v>
      </c>
      <c r="L23" s="132">
        <v>6.859705322207138E-2</v>
      </c>
      <c r="M23" s="132">
        <v>0.1942864222327717</v>
      </c>
      <c r="N23" s="132">
        <v>0.1942864222327717</v>
      </c>
      <c r="O23" s="132">
        <v>0.1942864222327717</v>
      </c>
      <c r="P23" s="132">
        <v>0.40990188287397533</v>
      </c>
      <c r="Q23" s="132">
        <v>0.40990188287397533</v>
      </c>
      <c r="R23" s="132">
        <v>0.40990188287397533</v>
      </c>
      <c r="S23" s="132">
        <v>0.62937420868524363</v>
      </c>
      <c r="T23" s="132">
        <v>0.62937420868524363</v>
      </c>
      <c r="U23" s="132">
        <v>0.62937420868524363</v>
      </c>
      <c r="V23" s="132">
        <v>0.62937420868524363</v>
      </c>
      <c r="W23" s="132">
        <v>1</v>
      </c>
    </row>
    <row r="24" spans="2:23" x14ac:dyDescent="0.2">
      <c r="B24" s="100" t="s">
        <v>735</v>
      </c>
      <c r="C24" s="132">
        <v>7.4969705359772404E-3</v>
      </c>
      <c r="D24" s="132">
        <v>1.3644079523643785E-2</v>
      </c>
      <c r="E24" s="132">
        <v>1.3644079523643785E-2</v>
      </c>
      <c r="F24" s="132">
        <v>1.3644079523643785E-2</v>
      </c>
      <c r="G24" s="132">
        <v>3.2992107464066098E-2</v>
      </c>
      <c r="H24" s="132">
        <v>3.2992107464066098E-2</v>
      </c>
      <c r="I24" s="132">
        <v>3.2992107464066098E-2</v>
      </c>
      <c r="J24" s="132">
        <v>7.4481073195414041E-2</v>
      </c>
      <c r="K24" s="132">
        <v>7.4481073195414041E-2</v>
      </c>
      <c r="L24" s="132">
        <v>7.4481073195414041E-2</v>
      </c>
      <c r="M24" s="132">
        <v>0.20466613651133966</v>
      </c>
      <c r="N24" s="132">
        <v>0.20466613651133966</v>
      </c>
      <c r="O24" s="132">
        <v>0.20466613651133966</v>
      </c>
      <c r="P24" s="132">
        <v>0.42284225368091399</v>
      </c>
      <c r="Q24" s="132">
        <v>0.42284225368091399</v>
      </c>
      <c r="R24" s="132">
        <v>0.42284225368091399</v>
      </c>
      <c r="S24" s="132">
        <v>0.63864419555497121</v>
      </c>
      <c r="T24" s="132">
        <v>0.63864419555497121</v>
      </c>
      <c r="U24" s="132">
        <v>0.63864419555497121</v>
      </c>
      <c r="V24" s="132">
        <v>0.63864419555497121</v>
      </c>
      <c r="W24" s="132">
        <v>1</v>
      </c>
    </row>
    <row r="25" spans="2:23" x14ac:dyDescent="0.2">
      <c r="B25" s="100" t="s">
        <v>736</v>
      </c>
      <c r="C25" s="132">
        <v>8.050460042680745E-3</v>
      </c>
      <c r="D25" s="132">
        <v>1.4919421591074147E-2</v>
      </c>
      <c r="E25" s="132">
        <v>1.4919421591074147E-2</v>
      </c>
      <c r="F25" s="132">
        <v>1.4919421591074147E-2</v>
      </c>
      <c r="G25" s="132">
        <v>3.6086073007729202E-2</v>
      </c>
      <c r="H25" s="132">
        <v>3.6086073007729202E-2</v>
      </c>
      <c r="I25" s="132">
        <v>3.6086073007729202E-2</v>
      </c>
      <c r="J25" s="132">
        <v>8.0440858736833182E-2</v>
      </c>
      <c r="K25" s="132">
        <v>8.0440858736833182E-2</v>
      </c>
      <c r="L25" s="132">
        <v>8.0440858736833182E-2</v>
      </c>
      <c r="M25" s="132">
        <v>0.21482201624126937</v>
      </c>
      <c r="N25" s="132">
        <v>0.21482201624126937</v>
      </c>
      <c r="O25" s="132">
        <v>0.21482201624126937</v>
      </c>
      <c r="P25" s="132">
        <v>0.4351809055041494</v>
      </c>
      <c r="Q25" s="132">
        <v>0.4351809055041494</v>
      </c>
      <c r="R25" s="132">
        <v>0.4351809055041494</v>
      </c>
      <c r="S25" s="132">
        <v>0.64741512104296173</v>
      </c>
      <c r="T25" s="132">
        <v>0.64741512104296173</v>
      </c>
      <c r="U25" s="132">
        <v>0.64741512104296173</v>
      </c>
      <c r="V25" s="132">
        <v>0.64741512104296173</v>
      </c>
      <c r="W25" s="132">
        <v>1</v>
      </c>
    </row>
    <row r="26" spans="2:23" x14ac:dyDescent="0.2">
      <c r="B26" s="100" t="s">
        <v>737</v>
      </c>
      <c r="C26" s="132">
        <v>8.6315082115176935E-3</v>
      </c>
      <c r="D26" s="132">
        <v>1.626023645138543E-2</v>
      </c>
      <c r="E26" s="132">
        <v>1.626023645138543E-2</v>
      </c>
      <c r="F26" s="132">
        <v>1.626023645138543E-2</v>
      </c>
      <c r="G26" s="132">
        <v>3.9282267722112699E-2</v>
      </c>
      <c r="H26" s="132">
        <v>3.9282267722112699E-2</v>
      </c>
      <c r="I26" s="132">
        <v>3.9282267722112699E-2</v>
      </c>
      <c r="J26" s="132">
        <v>8.6460860990982727E-2</v>
      </c>
      <c r="K26" s="132">
        <v>8.6460860990982727E-2</v>
      </c>
      <c r="L26" s="132">
        <v>8.6460860990982727E-2</v>
      </c>
      <c r="M26" s="132">
        <v>0.22475172332359791</v>
      </c>
      <c r="N26" s="132">
        <v>0.22475172332359791</v>
      </c>
      <c r="O26" s="132">
        <v>0.22475172332359791</v>
      </c>
      <c r="P26" s="132">
        <v>0.44695614934153488</v>
      </c>
      <c r="Q26" s="132">
        <v>0.44695614934153488</v>
      </c>
      <c r="R26" s="132">
        <v>0.44695614934153488</v>
      </c>
      <c r="S26" s="132">
        <v>0.65572915519038755</v>
      </c>
      <c r="T26" s="132">
        <v>0.65572915519038755</v>
      </c>
      <c r="U26" s="132">
        <v>0.65572915519038755</v>
      </c>
      <c r="V26" s="132">
        <v>0.65572915519038755</v>
      </c>
      <c r="W26" s="132">
        <v>1</v>
      </c>
    </row>
    <row r="27" spans="2:23" x14ac:dyDescent="0.2">
      <c r="B27" s="100" t="s">
        <v>738</v>
      </c>
      <c r="C27" s="132">
        <v>9.241333931787948E-3</v>
      </c>
      <c r="D27" s="132">
        <v>1.7665928490015751E-2</v>
      </c>
      <c r="E27" s="132">
        <v>1.7665928490015751E-2</v>
      </c>
      <c r="F27" s="132">
        <v>1.7665928490015751E-2</v>
      </c>
      <c r="G27" s="132">
        <v>4.2573872192509965E-2</v>
      </c>
      <c r="H27" s="132">
        <v>4.2573872192509965E-2</v>
      </c>
      <c r="I27" s="132">
        <v>4.2573872192509965E-2</v>
      </c>
      <c r="J27" s="132">
        <v>9.2526933569247544E-2</v>
      </c>
      <c r="K27" s="132">
        <v>9.2526933569247544E-2</v>
      </c>
      <c r="L27" s="132">
        <v>9.2526933569247544E-2</v>
      </c>
      <c r="M27" s="132">
        <v>0.23445478091608188</v>
      </c>
      <c r="N27" s="132">
        <v>0.23445478091608188</v>
      </c>
      <c r="O27" s="132">
        <v>0.23445478091608188</v>
      </c>
      <c r="P27" s="132">
        <v>0.4582034187524221</v>
      </c>
      <c r="Q27" s="132">
        <v>0.4582034187524221</v>
      </c>
      <c r="R27" s="132">
        <v>0.4582034187524221</v>
      </c>
      <c r="S27" s="132">
        <v>0.66362290290027948</v>
      </c>
      <c r="T27" s="132">
        <v>0.66362290290027948</v>
      </c>
      <c r="U27" s="132">
        <v>0.66362290290027948</v>
      </c>
      <c r="V27" s="132">
        <v>0.66362290290027948</v>
      </c>
      <c r="W27" s="132">
        <v>1</v>
      </c>
    </row>
    <row r="28" spans="2:23" x14ac:dyDescent="0.2">
      <c r="B28" s="100" t="s">
        <v>739</v>
      </c>
      <c r="C28" s="132">
        <v>9.8810847924608366E-3</v>
      </c>
      <c r="D28" s="132">
        <v>1.9135707714744793E-2</v>
      </c>
      <c r="E28" s="132">
        <v>1.9135707714744793E-2</v>
      </c>
      <c r="F28" s="132">
        <v>1.9135707714744793E-2</v>
      </c>
      <c r="G28" s="132">
        <v>4.5954182563546851E-2</v>
      </c>
      <c r="H28" s="132">
        <v>4.5954182563546851E-2</v>
      </c>
      <c r="I28" s="132">
        <v>4.5954182563546851E-2</v>
      </c>
      <c r="J28" s="132">
        <v>9.862625417985707E-2</v>
      </c>
      <c r="K28" s="132">
        <v>9.862625417985707E-2</v>
      </c>
      <c r="L28" s="132">
        <v>9.862625417985707E-2</v>
      </c>
      <c r="M28" s="132">
        <v>0.24393219104870148</v>
      </c>
      <c r="N28" s="132">
        <v>0.24393219104870148</v>
      </c>
      <c r="O28" s="132">
        <v>0.24393219104870148</v>
      </c>
      <c r="P28" s="132">
        <v>0.46895548070640214</v>
      </c>
      <c r="Q28" s="132">
        <v>0.46895548070640214</v>
      </c>
      <c r="R28" s="132">
        <v>0.46895548070640214</v>
      </c>
      <c r="S28" s="132">
        <v>0.67112848459349672</v>
      </c>
      <c r="T28" s="132">
        <v>0.67112848459349672</v>
      </c>
      <c r="U28" s="132">
        <v>0.67112848459349672</v>
      </c>
      <c r="V28" s="132">
        <v>0.67112848459349672</v>
      </c>
      <c r="W28" s="132">
        <v>1</v>
      </c>
    </row>
    <row r="29" spans="2:23" x14ac:dyDescent="0.2">
      <c r="B29" s="100" t="s">
        <v>789</v>
      </c>
      <c r="C29" s="153">
        <v>1.0551834517111822E-2</v>
      </c>
      <c r="D29" s="153">
        <v>2.0668613693260521E-2</v>
      </c>
      <c r="E29" s="153">
        <v>2.0668613693260521E-2</v>
      </c>
      <c r="F29" s="153">
        <v>2.0668613693260521E-2</v>
      </c>
      <c r="G29" s="153">
        <v>4.9416648964319861E-2</v>
      </c>
      <c r="H29" s="153">
        <v>4.9416648964319861E-2</v>
      </c>
      <c r="I29" s="153">
        <v>4.9416648964319861E-2</v>
      </c>
      <c r="J29" s="153">
        <v>0.10474724086968296</v>
      </c>
      <c r="K29" s="153">
        <v>0.10474724086968296</v>
      </c>
      <c r="L29" s="153">
        <v>0.10474724086968296</v>
      </c>
      <c r="M29" s="153">
        <v>0.25318612113068051</v>
      </c>
      <c r="N29" s="153">
        <v>0.25318612113068051</v>
      </c>
      <c r="O29" s="153">
        <v>0.25318612113068051</v>
      </c>
      <c r="P29" s="153">
        <v>0.47924264373605091</v>
      </c>
      <c r="Q29" s="153">
        <v>0.47924264373605091</v>
      </c>
      <c r="R29" s="153">
        <v>0.47924264373605091</v>
      </c>
      <c r="S29" s="153">
        <v>0.67827435190615259</v>
      </c>
      <c r="T29" s="153">
        <v>0.67827435190615259</v>
      </c>
      <c r="U29" s="153">
        <v>0.67827435190615259</v>
      </c>
      <c r="V29" s="153">
        <v>0.67827435190615259</v>
      </c>
      <c r="W29" s="154">
        <v>1</v>
      </c>
    </row>
    <row r="30" spans="2:23" x14ac:dyDescent="0.2">
      <c r="B30" s="100" t="s">
        <v>790</v>
      </c>
      <c r="C30" s="153">
        <v>1.1254581160629502E-2</v>
      </c>
      <c r="D30" s="153">
        <v>2.2263537923329357E-2</v>
      </c>
      <c r="E30" s="153">
        <v>2.2263537923329357E-2</v>
      </c>
      <c r="F30" s="153">
        <v>2.2263537923329357E-2</v>
      </c>
      <c r="G30" s="153">
        <v>5.2954905801617755E-2</v>
      </c>
      <c r="H30" s="153">
        <v>5.2954905801617755E-2</v>
      </c>
      <c r="I30" s="153">
        <v>5.2954905801617755E-2</v>
      </c>
      <c r="J30" s="153">
        <v>0.11087946611030226</v>
      </c>
      <c r="K30" s="153">
        <v>0.11087946611030226</v>
      </c>
      <c r="L30" s="153">
        <v>0.11087946611030226</v>
      </c>
      <c r="M30" s="153">
        <v>0.26221964757918942</v>
      </c>
      <c r="N30" s="153">
        <v>0.26221964757918942</v>
      </c>
      <c r="O30" s="153">
        <v>0.26221964757918942</v>
      </c>
      <c r="P30" s="153">
        <v>0.48909295728610802</v>
      </c>
      <c r="Q30" s="153">
        <v>0.48909295728610802</v>
      </c>
      <c r="R30" s="153">
        <v>0.48909295728610802</v>
      </c>
      <c r="S30" s="153">
        <v>0.68508591113221384</v>
      </c>
      <c r="T30" s="153">
        <v>0.68508591113221384</v>
      </c>
      <c r="U30" s="153">
        <v>0.68508591113221384</v>
      </c>
      <c r="V30" s="153">
        <v>0.68508591113221384</v>
      </c>
      <c r="W30" s="154">
        <v>1</v>
      </c>
    </row>
    <row r="31" spans="2:23" x14ac:dyDescent="0.2">
      <c r="B31" s="100" t="s">
        <v>791</v>
      </c>
      <c r="C31" s="153">
        <v>1.1990245990622412E-2</v>
      </c>
      <c r="D31" s="153">
        <v>2.3919244601855946E-2</v>
      </c>
      <c r="E31" s="153">
        <v>2.3919244601855946E-2</v>
      </c>
      <c r="F31" s="153">
        <v>2.3919244601855946E-2</v>
      </c>
      <c r="G31" s="153">
        <v>5.6562795089129272E-2</v>
      </c>
      <c r="H31" s="153">
        <v>5.6562795089129272E-2</v>
      </c>
      <c r="I31" s="153">
        <v>5.6562795089129272E-2</v>
      </c>
      <c r="J31" s="153">
        <v>0.11701357111360902</v>
      </c>
      <c r="K31" s="153">
        <v>0.11701357111360902</v>
      </c>
      <c r="L31" s="153">
        <v>0.11701357111360902</v>
      </c>
      <c r="M31" s="153">
        <v>0.27103654663991006</v>
      </c>
      <c r="N31" s="153">
        <v>0.27103654663991006</v>
      </c>
      <c r="O31" s="153">
        <v>0.27103654663991006</v>
      </c>
      <c r="P31" s="153">
        <v>0.49853239895502849</v>
      </c>
      <c r="Q31" s="153">
        <v>0.49853239895502849</v>
      </c>
      <c r="R31" s="153">
        <v>0.49853239895502849</v>
      </c>
      <c r="S31" s="153">
        <v>0.69158600608661291</v>
      </c>
      <c r="T31" s="153">
        <v>0.69158600608661291</v>
      </c>
      <c r="U31" s="153">
        <v>0.69158600608661291</v>
      </c>
      <c r="V31" s="153">
        <v>0.69158600608661291</v>
      </c>
      <c r="W31" s="154">
        <v>1</v>
      </c>
    </row>
    <row r="32" spans="2:23" x14ac:dyDescent="0.2">
      <c r="B32" s="100" t="s">
        <v>792</v>
      </c>
      <c r="C32" s="153">
        <v>1.2759672980251959E-2</v>
      </c>
      <c r="D32" s="153">
        <v>2.5634389794166795E-2</v>
      </c>
      <c r="E32" s="153">
        <v>2.5634389794166795E-2</v>
      </c>
      <c r="F32" s="153">
        <v>2.5634389794166795E-2</v>
      </c>
      <c r="G32" s="153">
        <v>6.0234383843977439E-2</v>
      </c>
      <c r="H32" s="153">
        <v>6.0234383843977439E-2</v>
      </c>
      <c r="I32" s="153">
        <v>6.0234383843977439E-2</v>
      </c>
      <c r="J32" s="153">
        <v>0.12314118209371126</v>
      </c>
      <c r="K32" s="153">
        <v>0.12314118209371126</v>
      </c>
      <c r="L32" s="153">
        <v>0.12314118209371126</v>
      </c>
      <c r="M32" s="153">
        <v>0.27964112408681335</v>
      </c>
      <c r="N32" s="153">
        <v>0.27964112408681335</v>
      </c>
      <c r="O32" s="153">
        <v>0.27964112408681335</v>
      </c>
      <c r="P32" s="153">
        <v>0.50758504812268124</v>
      </c>
      <c r="Q32" s="153">
        <v>0.50758504812268124</v>
      </c>
      <c r="R32" s="153">
        <v>0.50758504812268124</v>
      </c>
      <c r="S32" s="153">
        <v>0.69779529728093415</v>
      </c>
      <c r="T32" s="153">
        <v>0.69779529728093415</v>
      </c>
      <c r="U32" s="153">
        <v>0.69779529728093415</v>
      </c>
      <c r="V32" s="153">
        <v>0.69779529728093415</v>
      </c>
      <c r="W32" s="154">
        <v>1</v>
      </c>
    </row>
    <row r="33" spans="2:23" x14ac:dyDescent="0.2">
      <c r="B33" s="100" t="s">
        <v>793</v>
      </c>
      <c r="C33" s="153">
        <v>1.3563628843370487E-2</v>
      </c>
      <c r="D33" s="153">
        <v>2.7407539031411559E-2</v>
      </c>
      <c r="E33" s="153">
        <v>2.7407539031411559E-2</v>
      </c>
      <c r="F33" s="153">
        <v>2.7407539031411559E-2</v>
      </c>
      <c r="G33" s="153">
        <v>6.3963976456635749E-2</v>
      </c>
      <c r="H33" s="153">
        <v>6.3963976456635749E-2</v>
      </c>
      <c r="I33" s="153">
        <v>6.3963976456635749E-2</v>
      </c>
      <c r="J33" s="153">
        <v>0.12925482966987584</v>
      </c>
      <c r="K33" s="153">
        <v>0.12925482966987584</v>
      </c>
      <c r="L33" s="153">
        <v>0.12925482966987584</v>
      </c>
      <c r="M33" s="153">
        <v>0.28803807688366034</v>
      </c>
      <c r="N33" s="153">
        <v>0.28803807688366034</v>
      </c>
      <c r="O33" s="153">
        <v>0.28803807688366034</v>
      </c>
      <c r="P33" s="153">
        <v>0.51627324558441767</v>
      </c>
      <c r="Q33" s="153">
        <v>0.51627324558441767</v>
      </c>
      <c r="R33" s="153">
        <v>0.51627324558441767</v>
      </c>
      <c r="S33" s="153">
        <v>0.70373256388371053</v>
      </c>
      <c r="T33" s="153">
        <v>0.70373256388371053</v>
      </c>
      <c r="U33" s="153">
        <v>0.70373256388371053</v>
      </c>
      <c r="V33" s="153">
        <v>0.70373256388371053</v>
      </c>
      <c r="W33" s="154">
        <v>1</v>
      </c>
    </row>
    <row r="34" spans="2:23" x14ac:dyDescent="0.2">
      <c r="B34" s="100" t="s">
        <v>794</v>
      </c>
      <c r="C34" s="153">
        <v>1.4402803547205034E-2</v>
      </c>
      <c r="D34" s="153">
        <v>2.923718338367098E-2</v>
      </c>
      <c r="E34" s="153">
        <v>2.923718338367098E-2</v>
      </c>
      <c r="F34" s="153">
        <v>2.923718338367098E-2</v>
      </c>
      <c r="G34" s="153">
        <v>6.7746122826590149E-2</v>
      </c>
      <c r="H34" s="153">
        <v>6.7746122826590149E-2</v>
      </c>
      <c r="I34" s="153">
        <v>6.7746122826590149E-2</v>
      </c>
      <c r="J34" s="153">
        <v>0.13534787220217959</v>
      </c>
      <c r="K34" s="153">
        <v>0.13534787220217959</v>
      </c>
      <c r="L34" s="153">
        <v>0.13534787220217959</v>
      </c>
      <c r="M34" s="153">
        <v>0.29623238107706562</v>
      </c>
      <c r="N34" s="153">
        <v>0.29623238107706562</v>
      </c>
      <c r="O34" s="153">
        <v>0.29623238107706562</v>
      </c>
      <c r="P34" s="153">
        <v>0.52461773949353441</v>
      </c>
      <c r="Q34" s="153">
        <v>0.52461773949353441</v>
      </c>
      <c r="R34" s="153">
        <v>0.52461773949353441</v>
      </c>
      <c r="S34" s="153">
        <v>0.70941494757070145</v>
      </c>
      <c r="T34" s="153">
        <v>0.70941494757070145</v>
      </c>
      <c r="U34" s="153">
        <v>0.70941494757070145</v>
      </c>
      <c r="V34" s="153">
        <v>0.70941494757070145</v>
      </c>
      <c r="W34" s="154">
        <v>1</v>
      </c>
    </row>
    <row r="35" spans="2:23" x14ac:dyDescent="0.2"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</row>
    <row r="37" spans="2:23" x14ac:dyDescent="0.2">
      <c r="B37" s="297" t="s">
        <v>178</v>
      </c>
      <c r="C37" s="297"/>
      <c r="D37" s="297"/>
      <c r="E37" s="297"/>
      <c r="F37" s="297"/>
      <c r="G37" s="297"/>
      <c r="H37" s="297"/>
      <c r="I37" s="297"/>
      <c r="J37" s="297"/>
      <c r="K37" s="297"/>
      <c r="L37" s="297"/>
      <c r="M37" s="297"/>
      <c r="N37" s="297"/>
      <c r="O37" s="297"/>
    </row>
    <row r="39" spans="2:23" x14ac:dyDescent="0.2">
      <c r="B39" s="298" t="s">
        <v>173</v>
      </c>
      <c r="C39" s="299"/>
      <c r="D39" s="101" t="str">
        <f ca="1">'ECL Calculation'!$BG$2</f>
        <v>United Arab Emirates</v>
      </c>
      <c r="E39" s="142" t="s">
        <v>782</v>
      </c>
    </row>
    <row r="40" spans="2:23" x14ac:dyDescent="0.2">
      <c r="B40" s="298" t="s">
        <v>172</v>
      </c>
      <c r="C40" s="299"/>
      <c r="D40" s="101" t="str">
        <f ca="1">_xlfn.IFNA(VLOOKUP($D$39,'Lookup Table'!$J$33:$K$176,2,0),"B3")</f>
        <v>Aa2</v>
      </c>
    </row>
    <row r="42" spans="2:23" x14ac:dyDescent="0.2">
      <c r="B42" s="148" t="s">
        <v>783</v>
      </c>
      <c r="C42" s="148">
        <v>30</v>
      </c>
    </row>
    <row r="43" spans="2:23" x14ac:dyDescent="0.2">
      <c r="B43" s="148" t="s">
        <v>784</v>
      </c>
      <c r="C43" s="148">
        <f>C42*12</f>
        <v>360</v>
      </c>
    </row>
    <row r="44" spans="2:23" x14ac:dyDescent="0.2">
      <c r="B44" s="148" t="s">
        <v>785</v>
      </c>
      <c r="C44" s="148">
        <f>C42/C43</f>
        <v>8.3333333333333329E-2</v>
      </c>
    </row>
    <row r="45" spans="2:23" ht="24" x14ac:dyDescent="0.2">
      <c r="B45" s="102" t="s">
        <v>85</v>
      </c>
      <c r="C45" s="102" t="s">
        <v>123</v>
      </c>
      <c r="D45" s="102" t="s">
        <v>175</v>
      </c>
      <c r="E45" s="102" t="s">
        <v>176</v>
      </c>
      <c r="F45" s="102" t="s">
        <v>757</v>
      </c>
      <c r="G45" s="145" t="s">
        <v>177</v>
      </c>
      <c r="H45" s="102" t="s">
        <v>786</v>
      </c>
      <c r="I45" s="102" t="s">
        <v>787</v>
      </c>
      <c r="J45" s="102" t="s">
        <v>788</v>
      </c>
      <c r="K45" s="149"/>
      <c r="L45" s="149"/>
      <c r="S45" s="133"/>
    </row>
    <row r="46" spans="2:23" x14ac:dyDescent="0.2">
      <c r="B46" s="103">
        <v>1</v>
      </c>
      <c r="C46" s="103" t="str">
        <f>B5</f>
        <v>1 Year</v>
      </c>
      <c r="D46" s="103">
        <v>1</v>
      </c>
      <c r="E46" s="132">
        <f ca="1">OFFSET($B$4,MATCH($C46,$B$5:$B$34,0),MATCH($D$40,$C$4:$W$4,0),1,1)</f>
        <v>3.5185289237346532E-4</v>
      </c>
      <c r="F46" s="153">
        <f ca="1">IFERROR(VLOOKUP($D$39,'Lookup Table'!$P$33:$Y$95,10,0),VLOOKUP($E$39,'Lookup Table'!$P$33:$Y$95,10,0))</f>
        <v>-0.16557622387745496</v>
      </c>
      <c r="G46" s="153">
        <f t="shared" ref="G46:G75" ca="1" si="0">E46*(1-F46)</f>
        <v>4.101113656530243E-4</v>
      </c>
      <c r="H46" s="147">
        <f>C44</f>
        <v>8.3333333333333329E-2</v>
      </c>
      <c r="I46" s="153">
        <f ca="1">1-((1-$G$46)^H46)</f>
        <v>3.4182372795954485E-5</v>
      </c>
      <c r="J46" s="151">
        <f ca="1">I46</f>
        <v>3.4182372795954485E-5</v>
      </c>
      <c r="K46" s="150"/>
      <c r="L46" s="150"/>
      <c r="M46" s="146"/>
      <c r="R46" s="133"/>
      <c r="S46" s="133"/>
      <c r="T46" s="134"/>
    </row>
    <row r="47" spans="2:23" x14ac:dyDescent="0.2">
      <c r="B47" s="103">
        <v>2</v>
      </c>
      <c r="C47" s="103" t="str">
        <f>B6</f>
        <v>2 Year</v>
      </c>
      <c r="D47" s="103">
        <v>2</v>
      </c>
      <c r="E47" s="132">
        <f t="shared" ref="E47:E75" ca="1" si="1">OFFSET($B$4,MATCH($C47,$B$5:$B$34,0),MATCH($D$40,$C$4:$W$4,0),1,1)</f>
        <v>7.0901496063255224E-4</v>
      </c>
      <c r="F47" s="153">
        <f ca="1">IFERROR(VLOOKUP($D$39,'Lookup Table'!$P$33:$Y$95,10,0),VLOOKUP($E$39,'Lookup Table'!$P$33:$Y$95,10,0))</f>
        <v>-0.16557622387745496</v>
      </c>
      <c r="G47" s="153">
        <f t="shared" ca="1" si="0"/>
        <v>8.2641098048671262E-4</v>
      </c>
      <c r="H47" s="147">
        <f>$C$44*B47</f>
        <v>0.16666666666666666</v>
      </c>
      <c r="I47" s="153">
        <f t="shared" ref="I47:I57" ca="1" si="2">1-((1-$G$46)^H47)</f>
        <v>6.8363577157226629E-5</v>
      </c>
      <c r="J47" s="151">
        <f ca="1">I47-I46</f>
        <v>3.4181204361272144E-5</v>
      </c>
      <c r="K47" s="150"/>
      <c r="L47" s="150"/>
      <c r="M47" s="133"/>
      <c r="N47" s="134"/>
      <c r="R47" s="133"/>
      <c r="S47" s="133"/>
      <c r="T47" s="134"/>
    </row>
    <row r="48" spans="2:23" x14ac:dyDescent="0.2">
      <c r="B48" s="103">
        <v>3</v>
      </c>
      <c r="C48" s="103" t="str">
        <f t="shared" ref="C48:C75" si="3">B7</f>
        <v>3 Year</v>
      </c>
      <c r="D48" s="103">
        <v>3</v>
      </c>
      <c r="E48" s="132">
        <f t="shared" ca="1" si="1"/>
        <v>1.0770290434147607E-3</v>
      </c>
      <c r="F48" s="153">
        <f ca="1">IFERROR(VLOOKUP($D$39,'Lookup Table'!$P$33:$Y$95,10,0),VLOOKUP($E$39,'Lookup Table'!$P$33:$Y$95,10,0))</f>
        <v>-0.16557622387745496</v>
      </c>
      <c r="G48" s="153">
        <f t="shared" ca="1" si="0"/>
        <v>1.2553594454297243E-3</v>
      </c>
      <c r="H48" s="147">
        <f t="shared" ref="H48:H111" si="4">$C$44*B48</f>
        <v>0.25</v>
      </c>
      <c r="I48" s="153">
        <f t="shared" ca="1" si="2"/>
        <v>1.0254361312389548E-4</v>
      </c>
      <c r="J48" s="151">
        <f t="shared" ref="J48:J111" ca="1" si="5">I48-I47</f>
        <v>3.4180035966668854E-5</v>
      </c>
      <c r="K48" s="150"/>
      <c r="L48" s="150"/>
      <c r="M48" s="133"/>
      <c r="N48" s="134"/>
      <c r="R48" s="133"/>
      <c r="S48" s="133"/>
      <c r="T48" s="134"/>
    </row>
    <row r="49" spans="2:20" x14ac:dyDescent="0.2">
      <c r="B49" s="103">
        <v>4</v>
      </c>
      <c r="C49" s="103" t="str">
        <f t="shared" si="3"/>
        <v>4 Year</v>
      </c>
      <c r="D49" s="103">
        <v>4</v>
      </c>
      <c r="E49" s="132">
        <f t="shared" ca="1" si="1"/>
        <v>1.4616766716271088E-3</v>
      </c>
      <c r="F49" s="153">
        <f ca="1">IFERROR(VLOOKUP($D$39,'Lookup Table'!$P$33:$Y$95,10,0),VLOOKUP($E$39,'Lookup Table'!$P$33:$Y$95,10,0))</f>
        <v>-0.16557622387745496</v>
      </c>
      <c r="G49" s="153">
        <f t="shared" ca="1" si="0"/>
        <v>1.7036955754448921E-3</v>
      </c>
      <c r="H49" s="147">
        <f t="shared" si="4"/>
        <v>0.33333333333333331</v>
      </c>
      <c r="I49" s="153">
        <f t="shared" ca="1" si="2"/>
        <v>1.3672248073581805E-4</v>
      </c>
      <c r="J49" s="151">
        <f t="shared" ca="1" si="5"/>
        <v>3.417886761192257E-5</v>
      </c>
      <c r="K49" s="150"/>
      <c r="L49" s="150"/>
      <c r="M49" s="146"/>
      <c r="N49" s="134"/>
      <c r="R49" s="133"/>
      <c r="S49" s="133"/>
      <c r="T49" s="134"/>
    </row>
    <row r="50" spans="2:20" x14ac:dyDescent="0.2">
      <c r="B50" s="103">
        <v>5</v>
      </c>
      <c r="C50" s="103" t="str">
        <f t="shared" si="3"/>
        <v>5 Year</v>
      </c>
      <c r="D50" s="103">
        <v>5</v>
      </c>
      <c r="E50" s="132">
        <f t="shared" ca="1" si="1"/>
        <v>1.8687751194591926E-3</v>
      </c>
      <c r="F50" s="153">
        <f ca="1">IFERROR(VLOOKUP($D$39,'Lookup Table'!$P$33:$Y$95,10,0),VLOOKUP($E$39,'Lookup Table'!$P$33:$Y$95,10,0))</f>
        <v>-0.16557622387745496</v>
      </c>
      <c r="G50" s="153">
        <f t="shared" ca="1" si="0"/>
        <v>2.1781998470153854E-3</v>
      </c>
      <c r="H50" s="147">
        <f t="shared" si="4"/>
        <v>0.41666666666666663</v>
      </c>
      <c r="I50" s="153">
        <f t="shared" ca="1" si="2"/>
        <v>1.7090018003296237E-4</v>
      </c>
      <c r="J50" s="151">
        <f t="shared" ca="1" si="5"/>
        <v>3.4177699297144315E-5</v>
      </c>
      <c r="K50" s="150"/>
      <c r="L50" s="150"/>
      <c r="M50" s="133"/>
      <c r="N50" s="134"/>
      <c r="R50" s="133"/>
      <c r="S50" s="133"/>
      <c r="T50" s="134"/>
    </row>
    <row r="51" spans="2:20" x14ac:dyDescent="0.2">
      <c r="B51" s="103">
        <v>6</v>
      </c>
      <c r="C51" s="103" t="str">
        <f t="shared" si="3"/>
        <v>6 Year</v>
      </c>
      <c r="D51" s="103">
        <v>6</v>
      </c>
      <c r="E51" s="132">
        <f t="shared" ca="1" si="1"/>
        <v>2.3040162987630576E-3</v>
      </c>
      <c r="F51" s="153">
        <f ca="1">IFERROR(VLOOKUP($D$39,'Lookup Table'!$P$33:$Y$95,10,0),VLOOKUP($E$39,'Lookup Table'!$P$33:$Y$95,10,0))</f>
        <v>-0.16557622387745496</v>
      </c>
      <c r="G51" s="153">
        <f t="shared" ca="1" si="0"/>
        <v>2.6855066172643549E-3</v>
      </c>
      <c r="H51" s="147">
        <f t="shared" si="4"/>
        <v>0.5</v>
      </c>
      <c r="I51" s="153">
        <f t="shared" ca="1" si="2"/>
        <v>2.0507671105518543E-4</v>
      </c>
      <c r="J51" s="151">
        <f t="shared" ca="1" si="5"/>
        <v>3.4176531022223067E-5</v>
      </c>
      <c r="K51" s="150"/>
      <c r="L51" s="150"/>
      <c r="M51" s="133"/>
      <c r="N51" s="134"/>
      <c r="R51" s="133"/>
      <c r="S51" s="133"/>
      <c r="T51" s="134"/>
    </row>
    <row r="52" spans="2:20" x14ac:dyDescent="0.2">
      <c r="B52" s="103">
        <v>7</v>
      </c>
      <c r="C52" s="103" t="str">
        <f t="shared" si="3"/>
        <v>7 Year</v>
      </c>
      <c r="D52" s="103">
        <v>7</v>
      </c>
      <c r="E52" s="132">
        <f t="shared" ca="1" si="1"/>
        <v>2.7728432114457785E-3</v>
      </c>
      <c r="F52" s="153">
        <f ca="1">IFERROR(VLOOKUP($D$39,'Lookup Table'!$P$33:$Y$95,10,0),VLOOKUP($E$39,'Lookup Table'!$P$33:$Y$95,10,0))</f>
        <v>-0.16557622387745496</v>
      </c>
      <c r="G52" s="153">
        <f t="shared" ca="1" si="0"/>
        <v>3.2319601198012061E-3</v>
      </c>
      <c r="H52" s="147">
        <f t="shared" si="4"/>
        <v>0.58333333333333326</v>
      </c>
      <c r="I52" s="153">
        <f t="shared" ca="1" si="2"/>
        <v>2.392520738425663E-4</v>
      </c>
      <c r="J52" s="151">
        <f t="shared" ca="1" si="5"/>
        <v>3.417536278738087E-5</v>
      </c>
      <c r="K52" s="150"/>
      <c r="L52" s="150"/>
      <c r="M52" s="146"/>
      <c r="N52" s="134"/>
      <c r="R52" s="133"/>
      <c r="S52" s="133"/>
      <c r="T52" s="134"/>
    </row>
    <row r="53" spans="2:20" x14ac:dyDescent="0.2">
      <c r="B53" s="103">
        <v>8</v>
      </c>
      <c r="C53" s="103" t="str">
        <f t="shared" si="3"/>
        <v>8 Year</v>
      </c>
      <c r="D53" s="103">
        <v>8</v>
      </c>
      <c r="E53" s="132">
        <f t="shared" ca="1" si="1"/>
        <v>3.2803589749466292E-3</v>
      </c>
      <c r="F53" s="153">
        <f ca="1">IFERROR(VLOOKUP($D$39,'Lookup Table'!$P$33:$Y$95,10,0),VLOOKUP($E$39,'Lookup Table'!$P$33:$Y$95,10,0))</f>
        <v>-0.16557622387745496</v>
      </c>
      <c r="G53" s="153">
        <f t="shared" ca="1" si="0"/>
        <v>3.8235084269808112E-3</v>
      </c>
      <c r="H53" s="147">
        <f t="shared" si="4"/>
        <v>0.66666666666666663</v>
      </c>
      <c r="I53" s="153">
        <f t="shared" ca="1" si="2"/>
        <v>2.7342626843496198E-4</v>
      </c>
      <c r="J53" s="151">
        <f t="shared" ca="1" si="5"/>
        <v>3.4174194592395679E-5</v>
      </c>
      <c r="K53" s="150"/>
      <c r="L53" s="150"/>
      <c r="M53" s="133"/>
      <c r="N53" s="134"/>
      <c r="R53" s="133"/>
      <c r="S53" s="133"/>
      <c r="T53" s="134"/>
    </row>
    <row r="54" spans="2:20" x14ac:dyDescent="0.2">
      <c r="B54" s="103">
        <v>9</v>
      </c>
      <c r="C54" s="103" t="str">
        <f t="shared" si="3"/>
        <v>9 Year</v>
      </c>
      <c r="D54" s="103">
        <v>9</v>
      </c>
      <c r="E54" s="132">
        <f t="shared" ca="1" si="1"/>
        <v>3.8312633627630406E-3</v>
      </c>
      <c r="F54" s="153">
        <f ca="1">IFERROR(VLOOKUP($D$39,'Lookup Table'!$P$33:$Y$95,10,0),VLOOKUP($E$39,'Lookup Table'!$P$33:$Y$95,10,0))</f>
        <v>-0.16557622387745496</v>
      </c>
      <c r="G54" s="153">
        <f t="shared" ca="1" si="0"/>
        <v>4.4656294830493848E-3</v>
      </c>
      <c r="H54" s="147">
        <f t="shared" si="4"/>
        <v>0.75</v>
      </c>
      <c r="I54" s="153">
        <f t="shared" ca="1" si="2"/>
        <v>3.0759929487222948E-4</v>
      </c>
      <c r="J54" s="151">
        <f t="shared" ca="1" si="5"/>
        <v>3.4173026437267495E-5</v>
      </c>
      <c r="K54" s="150"/>
      <c r="L54" s="150"/>
      <c r="M54" s="133"/>
      <c r="N54" s="134"/>
      <c r="R54" s="133"/>
      <c r="S54" s="133"/>
      <c r="T54" s="134"/>
    </row>
    <row r="55" spans="2:20" x14ac:dyDescent="0.2">
      <c r="B55" s="103">
        <v>10</v>
      </c>
      <c r="C55" s="103" t="str">
        <f t="shared" si="3"/>
        <v>10 Year</v>
      </c>
      <c r="D55" s="103">
        <v>10</v>
      </c>
      <c r="E55" s="132">
        <f t="shared" ca="1" si="1"/>
        <v>4.4298120821174751E-3</v>
      </c>
      <c r="F55" s="153">
        <f ca="1">IFERROR(VLOOKUP($D$39,'Lookup Table'!$P$33:$Y$95,10,0),VLOOKUP($E$39,'Lookup Table'!$P$33:$Y$95,10,0))</f>
        <v>-0.16557622387745496</v>
      </c>
      <c r="G55" s="153">
        <f t="shared" ca="1" si="0"/>
        <v>5.163283639161213E-3</v>
      </c>
      <c r="H55" s="147">
        <f t="shared" si="4"/>
        <v>0.83333333333333326</v>
      </c>
      <c r="I55" s="153">
        <f t="shared" ca="1" si="2"/>
        <v>3.4177115319444784E-4</v>
      </c>
      <c r="J55" s="151">
        <f t="shared" ca="1" si="5"/>
        <v>3.4171858322218363E-5</v>
      </c>
      <c r="K55" s="150"/>
      <c r="L55" s="150"/>
      <c r="M55" s="146"/>
      <c r="N55" s="134"/>
      <c r="R55" s="133"/>
      <c r="S55" s="133"/>
      <c r="T55" s="134"/>
    </row>
    <row r="56" spans="2:20" x14ac:dyDescent="0.2">
      <c r="B56" s="103">
        <v>11</v>
      </c>
      <c r="C56" s="103" t="str">
        <f t="shared" si="3"/>
        <v>11 Year</v>
      </c>
      <c r="D56" s="103">
        <v>11</v>
      </c>
      <c r="E56" s="132">
        <f t="shared" ca="1" si="1"/>
        <v>5.0797944707928044E-3</v>
      </c>
      <c r="F56" s="153">
        <f ca="1">IFERROR(VLOOKUP($D$39,'Lookup Table'!$P$33:$Y$95,10,0),VLOOKUP($E$39,'Lookup Table'!$P$33:$Y$95,10,0))</f>
        <v>-0.16557622387745496</v>
      </c>
      <c r="G56" s="153">
        <f t="shared" ca="1" si="0"/>
        <v>5.9208876573402514E-3</v>
      </c>
      <c r="H56" s="147">
        <f t="shared" si="4"/>
        <v>0.91666666666666663</v>
      </c>
      <c r="I56" s="153">
        <f t="shared" ca="1" si="2"/>
        <v>3.7594184344136305E-4</v>
      </c>
      <c r="J56" s="151">
        <f t="shared" ca="1" si="5"/>
        <v>3.4170690246915214E-5</v>
      </c>
      <c r="K56" s="150"/>
      <c r="L56" s="150"/>
      <c r="M56" s="133"/>
      <c r="N56" s="134"/>
      <c r="R56" s="133"/>
      <c r="S56" s="133"/>
      <c r="T56" s="134"/>
    </row>
    <row r="57" spans="2:20" x14ac:dyDescent="0.2">
      <c r="B57" s="103">
        <v>12</v>
      </c>
      <c r="C57" s="103" t="str">
        <f t="shared" si="3"/>
        <v>12 Year</v>
      </c>
      <c r="D57" s="103">
        <v>12</v>
      </c>
      <c r="E57" s="132">
        <f t="shared" ca="1" si="1"/>
        <v>5.7845258274502659E-3</v>
      </c>
      <c r="F57" s="153">
        <f ca="1">IFERROR(VLOOKUP($D$39,'Lookup Table'!$P$33:$Y$95,10,0),VLOOKUP($E$39,'Lookup Table'!$P$33:$Y$95,10,0))</f>
        <v>-0.16557622387745496</v>
      </c>
      <c r="G57" s="153">
        <f t="shared" ca="1" si="0"/>
        <v>6.7423057708810913E-3</v>
      </c>
      <c r="H57" s="147">
        <f t="shared" si="4"/>
        <v>1</v>
      </c>
      <c r="I57" s="153">
        <f t="shared" ca="1" si="2"/>
        <v>4.1011136565305417E-4</v>
      </c>
      <c r="J57" s="151">
        <f t="shared" ca="1" si="5"/>
        <v>3.4169522211691117E-5</v>
      </c>
      <c r="K57" s="150"/>
      <c r="L57" s="150"/>
      <c r="M57" s="133"/>
      <c r="N57" s="134"/>
      <c r="R57" s="133"/>
      <c r="S57" s="133"/>
      <c r="T57" s="134"/>
    </row>
    <row r="58" spans="2:20" x14ac:dyDescent="0.2">
      <c r="B58" s="103">
        <v>13</v>
      </c>
      <c r="C58" s="103" t="str">
        <f t="shared" si="3"/>
        <v>13 Year</v>
      </c>
      <c r="D58" s="103">
        <v>13</v>
      </c>
      <c r="E58" s="132">
        <f t="shared" ca="1" si="1"/>
        <v>6.5468511301079455E-3</v>
      </c>
      <c r="F58" s="153">
        <f ca="1">IFERROR(VLOOKUP($D$39,'Lookup Table'!$P$33:$Y$95,10,0),VLOOKUP($E$39,'Lookup Table'!$P$33:$Y$95,10,0))</f>
        <v>-0.16557622387745496</v>
      </c>
      <c r="G58" s="153">
        <f t="shared" ca="1" si="0"/>
        <v>7.6308540185190676E-3</v>
      </c>
      <c r="H58" s="147">
        <f t="shared" si="4"/>
        <v>1.0833333333333333</v>
      </c>
      <c r="I58" s="153">
        <f ca="1">1-(1-$G$46)*((1-$G$47)/(1-$G$46))^(H58-1)</f>
        <v>4.448096240030619E-4</v>
      </c>
      <c r="J58" s="151">
        <f t="shared" ca="1" si="5"/>
        <v>3.4698258350007727E-5</v>
      </c>
      <c r="K58" s="150"/>
      <c r="L58" s="150"/>
      <c r="M58" s="146"/>
      <c r="R58" s="133"/>
      <c r="S58" s="133"/>
      <c r="T58" s="134"/>
    </row>
    <row r="59" spans="2:20" x14ac:dyDescent="0.2">
      <c r="B59" s="103">
        <v>14</v>
      </c>
      <c r="C59" s="103" t="str">
        <f t="shared" si="3"/>
        <v>14 Year</v>
      </c>
      <c r="D59" s="103">
        <v>14</v>
      </c>
      <c r="E59" s="132">
        <f t="shared" ca="1" si="1"/>
        <v>7.3691574095334647E-3</v>
      </c>
      <c r="F59" s="153">
        <f ca="1">IFERROR(VLOOKUP($D$39,'Lookup Table'!$P$33:$Y$95,10,0),VLOOKUP($E$39,'Lookup Table'!$P$33:$Y$95,10,0))</f>
        <v>-0.16557622387745496</v>
      </c>
      <c r="G59" s="153">
        <f t="shared" ca="1" si="0"/>
        <v>8.5893146665625836E-3</v>
      </c>
      <c r="H59" s="147">
        <f t="shared" si="4"/>
        <v>1.1666666666666665</v>
      </c>
      <c r="I59" s="153">
        <f t="shared" ref="I59:I69" ca="1" si="6">1-(1-$G$46)*((1-$G$47)/(1-$G$46))^(H59-1)</f>
        <v>4.7950667789009582E-4</v>
      </c>
      <c r="J59" s="151">
        <f t="shared" ca="1" si="5"/>
        <v>3.4697053887033924E-5</v>
      </c>
      <c r="K59" s="150"/>
      <c r="L59" s="150"/>
      <c r="M59" s="133"/>
      <c r="R59" s="133"/>
      <c r="S59" s="133"/>
      <c r="T59" s="134"/>
    </row>
    <row r="60" spans="2:20" x14ac:dyDescent="0.2">
      <c r="B60" s="103">
        <v>15</v>
      </c>
      <c r="C60" s="103" t="str">
        <f t="shared" si="3"/>
        <v>15 Year</v>
      </c>
      <c r="D60" s="103">
        <v>15</v>
      </c>
      <c r="E60" s="132">
        <f t="shared" ca="1" si="1"/>
        <v>8.2533925094585257E-3</v>
      </c>
      <c r="F60" s="153">
        <f ca="1">IFERROR(VLOOKUP($D$39,'Lookup Table'!$P$33:$Y$95,10,0),VLOOKUP($E$39,'Lookup Table'!$P$33:$Y$95,10,0))</f>
        <v>-0.16557622387745496</v>
      </c>
      <c r="G60" s="153">
        <f t="shared" ca="1" si="0"/>
        <v>9.61995807535314E-3</v>
      </c>
      <c r="H60" s="147">
        <f t="shared" si="4"/>
        <v>1.25</v>
      </c>
      <c r="I60" s="153">
        <f t="shared" ca="1" si="6"/>
        <v>5.1420252735567828E-4</v>
      </c>
      <c r="J60" s="151">
        <f t="shared" ca="1" si="5"/>
        <v>3.4695849465582462E-5</v>
      </c>
      <c r="K60" s="150"/>
      <c r="L60" s="150"/>
      <c r="M60" s="133"/>
      <c r="R60" s="133"/>
      <c r="S60" s="133"/>
      <c r="T60" s="134"/>
    </row>
    <row r="61" spans="2:20" x14ac:dyDescent="0.2">
      <c r="B61" s="103">
        <v>16</v>
      </c>
      <c r="C61" s="103" t="str">
        <f t="shared" si="3"/>
        <v>16 Year</v>
      </c>
      <c r="D61" s="103">
        <v>16</v>
      </c>
      <c r="E61" s="132">
        <f t="shared" ca="1" si="1"/>
        <v>9.2010883761241696E-3</v>
      </c>
      <c r="F61" s="153">
        <f ca="1">IFERROR(VLOOKUP($D$39,'Lookup Table'!$P$33:$Y$95,10,0),VLOOKUP($E$39,'Lookup Table'!$P$33:$Y$95,10,0))</f>
        <v>-0.16557622387745496</v>
      </c>
      <c r="G61" s="153">
        <f t="shared" ca="1" si="0"/>
        <v>1.0724569845005553E-2</v>
      </c>
      <c r="H61" s="147">
        <f t="shared" si="4"/>
        <v>1.3333333333333333</v>
      </c>
      <c r="I61" s="153">
        <f t="shared" ca="1" si="6"/>
        <v>5.4889717244188674E-4</v>
      </c>
      <c r="J61" s="151">
        <f t="shared" ca="1" si="5"/>
        <v>3.4694645086208453E-5</v>
      </c>
      <c r="K61" s="150"/>
      <c r="L61" s="150"/>
      <c r="M61" s="146"/>
      <c r="R61" s="133"/>
      <c r="S61" s="133"/>
      <c r="T61" s="134"/>
    </row>
    <row r="62" spans="2:20" x14ac:dyDescent="0.2">
      <c r="B62" s="103">
        <v>17</v>
      </c>
      <c r="C62" s="103" t="str">
        <f t="shared" si="3"/>
        <v>17 Year</v>
      </c>
      <c r="D62" s="103">
        <v>17</v>
      </c>
      <c r="E62" s="132">
        <f t="shared" ca="1" si="1"/>
        <v>1.0213387374680489E-2</v>
      </c>
      <c r="F62" s="153">
        <f ca="1">IFERROR(VLOOKUP($D$39,'Lookup Table'!$P$33:$Y$95,10,0),VLOOKUP($E$39,'Lookup Table'!$P$33:$Y$95,10,0))</f>
        <v>-0.16557622387745496</v>
      </c>
      <c r="G62" s="153">
        <f t="shared" ca="1" si="0"/>
        <v>1.1904481489177757E-2</v>
      </c>
      <c r="H62" s="147">
        <f t="shared" si="4"/>
        <v>1.4166666666666665</v>
      </c>
      <c r="I62" s="153">
        <f t="shared" ca="1" si="6"/>
        <v>5.8359061319046557E-4</v>
      </c>
      <c r="J62" s="151">
        <f t="shared" ca="1" si="5"/>
        <v>3.469344074857883E-5</v>
      </c>
      <c r="K62" s="150"/>
      <c r="L62" s="150"/>
      <c r="M62" s="133"/>
      <c r="R62" s="133"/>
      <c r="S62" s="133"/>
      <c r="T62" s="134"/>
    </row>
    <row r="63" spans="2:20" x14ac:dyDescent="0.2">
      <c r="B63" s="103">
        <v>18</v>
      </c>
      <c r="C63" s="103" t="str">
        <f t="shared" si="3"/>
        <v>18 Year</v>
      </c>
      <c r="D63" s="103">
        <v>18</v>
      </c>
      <c r="E63" s="132">
        <f t="shared" ca="1" si="1"/>
        <v>1.1291070432106906E-2</v>
      </c>
      <c r="F63" s="153">
        <f ca="1">IFERROR(VLOOKUP($D$39,'Lookup Table'!$P$33:$Y$95,10,0),VLOOKUP($E$39,'Lookup Table'!$P$33:$Y$95,10,0))</f>
        <v>-0.16557622387745496</v>
      </c>
      <c r="G63" s="153">
        <f t="shared" ca="1" si="0"/>
        <v>1.3160603237789552E-2</v>
      </c>
      <c r="H63" s="147">
        <f t="shared" si="4"/>
        <v>1.5</v>
      </c>
      <c r="I63" s="153">
        <f t="shared" ca="1" si="6"/>
        <v>6.1828284964304814E-4</v>
      </c>
      <c r="J63" s="151">
        <f t="shared" ca="1" si="5"/>
        <v>3.469223645258257E-5</v>
      </c>
      <c r="K63" s="150"/>
      <c r="L63" s="150"/>
      <c r="M63" s="133"/>
      <c r="R63" s="133"/>
      <c r="S63" s="133"/>
      <c r="T63" s="134"/>
    </row>
    <row r="64" spans="2:20" x14ac:dyDescent="0.2">
      <c r="B64" s="103">
        <v>19</v>
      </c>
      <c r="C64" s="103" t="str">
        <f t="shared" si="3"/>
        <v>19 Year</v>
      </c>
      <c r="D64" s="103">
        <v>19</v>
      </c>
      <c r="E64" s="132">
        <f t="shared" ca="1" si="1"/>
        <v>1.2434586060238926E-2</v>
      </c>
      <c r="F64" s="153">
        <f ca="1">IFERROR(VLOOKUP($D$39,'Lookup Table'!$P$33:$Y$95,10,0),VLOOKUP($E$39,'Lookup Table'!$P$33:$Y$95,10,0))</f>
        <v>-0.16557622387745496</v>
      </c>
      <c r="G64" s="153">
        <f t="shared" ca="1" si="0"/>
        <v>1.4493457865572526E-2</v>
      </c>
      <c r="H64" s="147">
        <f t="shared" si="4"/>
        <v>1.5833333333333333</v>
      </c>
      <c r="I64" s="153">
        <f t="shared" ca="1" si="6"/>
        <v>6.5297388184160088E-4</v>
      </c>
      <c r="J64" s="151">
        <f t="shared" ca="1" si="5"/>
        <v>3.469103219855274E-5</v>
      </c>
      <c r="K64" s="150"/>
      <c r="L64" s="150"/>
      <c r="M64" s="146"/>
      <c r="R64" s="133"/>
      <c r="S64" s="133"/>
      <c r="T64" s="134"/>
    </row>
    <row r="65" spans="2:20" x14ac:dyDescent="0.2">
      <c r="B65" s="103">
        <v>20</v>
      </c>
      <c r="C65" s="103" t="str">
        <f t="shared" si="3"/>
        <v>20 Year</v>
      </c>
      <c r="D65" s="103">
        <v>20</v>
      </c>
      <c r="E65" s="132">
        <f t="shared" ca="1" si="1"/>
        <v>1.3644079523643785E-2</v>
      </c>
      <c r="F65" s="153">
        <f ca="1">IFERROR(VLOOKUP($D$39,'Lookup Table'!$P$33:$Y$95,10,0),VLOOKUP($E$39,'Lookup Table'!$P$33:$Y$95,10,0))</f>
        <v>-0.16557622387745496</v>
      </c>
      <c r="G65" s="153">
        <f t="shared" ca="1" si="0"/>
        <v>1.5903214689452428E-2</v>
      </c>
      <c r="H65" s="147">
        <f t="shared" si="4"/>
        <v>1.6666666666666665</v>
      </c>
      <c r="I65" s="153">
        <f t="shared" ca="1" si="6"/>
        <v>6.876637098279792E-4</v>
      </c>
      <c r="J65" s="151">
        <f t="shared" ca="1" si="5"/>
        <v>3.4689827986378319E-5</v>
      </c>
      <c r="K65" s="150"/>
      <c r="L65" s="150"/>
      <c r="M65" s="133"/>
      <c r="R65" s="133"/>
      <c r="S65" s="133"/>
      <c r="T65" s="134"/>
    </row>
    <row r="66" spans="2:20" x14ac:dyDescent="0.2">
      <c r="B66" s="103">
        <v>21</v>
      </c>
      <c r="C66" s="103" t="str">
        <f t="shared" si="3"/>
        <v>21 Year</v>
      </c>
      <c r="D66" s="103">
        <v>21</v>
      </c>
      <c r="E66" s="132">
        <f t="shared" ca="1" si="1"/>
        <v>1.4919421591074147E-2</v>
      </c>
      <c r="F66" s="153">
        <f ca="1">IFERROR(VLOOKUP($D$39,'Lookup Table'!$P$33:$Y$95,10,0),VLOOKUP($E$39,'Lookup Table'!$P$33:$Y$95,10,0))</f>
        <v>-0.16557622387745496</v>
      </c>
      <c r="G66" s="153">
        <f t="shared" ca="1" si="0"/>
        <v>1.7389723080559975E-2</v>
      </c>
      <c r="H66" s="147">
        <f t="shared" si="4"/>
        <v>1.75</v>
      </c>
      <c r="I66" s="153">
        <f t="shared" ca="1" si="6"/>
        <v>7.2235233364381646E-4</v>
      </c>
      <c r="J66" s="151">
        <f t="shared" ca="1" si="5"/>
        <v>3.4688623815837261E-5</v>
      </c>
      <c r="K66" s="150"/>
      <c r="L66" s="150"/>
      <c r="M66" s="133"/>
      <c r="R66" s="133"/>
      <c r="S66" s="133"/>
      <c r="T66" s="134"/>
    </row>
    <row r="67" spans="2:20" x14ac:dyDescent="0.2">
      <c r="B67" s="103">
        <v>22</v>
      </c>
      <c r="C67" s="103" t="str">
        <f t="shared" si="3"/>
        <v>22 Year</v>
      </c>
      <c r="D67" s="103">
        <v>22</v>
      </c>
      <c r="E67" s="132">
        <f t="shared" ca="1" si="1"/>
        <v>1.626023645138543E-2</v>
      </c>
      <c r="F67" s="153">
        <f ca="1">IFERROR(VLOOKUP($D$39,'Lookup Table'!$P$33:$Y$95,10,0),VLOOKUP($E$39,'Lookup Table'!$P$33:$Y$95,10,0))</f>
        <v>-0.16557622387745496</v>
      </c>
      <c r="G67" s="153">
        <f t="shared" ca="1" si="0"/>
        <v>1.8952545002360377E-2</v>
      </c>
      <c r="H67" s="147">
        <f t="shared" si="4"/>
        <v>1.8333333333333333</v>
      </c>
      <c r="I67" s="153">
        <f t="shared" ca="1" si="6"/>
        <v>7.5703975333119011E-4</v>
      </c>
      <c r="J67" s="151">
        <f t="shared" ca="1" si="5"/>
        <v>3.4687419687373655E-5</v>
      </c>
      <c r="K67" s="150"/>
      <c r="L67" s="150"/>
      <c r="M67" s="146"/>
      <c r="R67" s="133"/>
      <c r="S67" s="133"/>
      <c r="T67" s="134"/>
    </row>
    <row r="68" spans="2:20" x14ac:dyDescent="0.2">
      <c r="B68" s="103">
        <v>23</v>
      </c>
      <c r="C68" s="103" t="str">
        <f t="shared" si="3"/>
        <v>23 Year</v>
      </c>
      <c r="D68" s="103">
        <v>23</v>
      </c>
      <c r="E68" s="132">
        <f t="shared" ca="1" si="1"/>
        <v>1.7665928490015751E-2</v>
      </c>
      <c r="F68" s="153">
        <f ca="1">IFERROR(VLOOKUP($D$39,'Lookup Table'!$P$33:$Y$95,10,0),VLOOKUP($E$39,'Lookup Table'!$P$33:$Y$95,10,0))</f>
        <v>-0.16557622387745496</v>
      </c>
      <c r="G68" s="153">
        <f t="shared" ca="1" si="0"/>
        <v>2.0590986220681708E-2</v>
      </c>
      <c r="H68" s="147">
        <f t="shared" si="4"/>
        <v>1.9166666666666665</v>
      </c>
      <c r="I68" s="153">
        <f t="shared" ca="1" si="6"/>
        <v>7.9172596893151148E-4</v>
      </c>
      <c r="J68" s="151">
        <f t="shared" ca="1" si="5"/>
        <v>3.4686215600321368E-5</v>
      </c>
      <c r="K68" s="150"/>
      <c r="L68" s="150"/>
      <c r="M68" s="133"/>
      <c r="R68" s="133"/>
      <c r="S68" s="133"/>
      <c r="T68" s="134"/>
    </row>
    <row r="69" spans="2:20" x14ac:dyDescent="0.2">
      <c r="B69" s="103">
        <v>24</v>
      </c>
      <c r="C69" s="103" t="str">
        <f t="shared" si="3"/>
        <v>24 Year</v>
      </c>
      <c r="D69" s="103">
        <v>24</v>
      </c>
      <c r="E69" s="132">
        <f t="shared" ca="1" si="1"/>
        <v>1.9135707714744793E-2</v>
      </c>
      <c r="F69" s="153">
        <f ca="1">IFERROR(VLOOKUP($D$39,'Lookup Table'!$P$33:$Y$95,10,0),VLOOKUP($E$39,'Lookup Table'!$P$33:$Y$95,10,0))</f>
        <v>-0.16557622387745496</v>
      </c>
      <c r="G69" s="153">
        <f t="shared" ca="1" si="0"/>
        <v>2.2304125939374919E-2</v>
      </c>
      <c r="H69" s="147">
        <f t="shared" si="4"/>
        <v>2</v>
      </c>
      <c r="I69" s="153">
        <f t="shared" ca="1" si="6"/>
        <v>8.2641098048674699E-4</v>
      </c>
      <c r="J69" s="151">
        <f t="shared" ca="1" si="5"/>
        <v>3.4685011555235512E-5</v>
      </c>
      <c r="K69" s="150"/>
      <c r="L69" s="150"/>
      <c r="M69" s="133"/>
      <c r="R69" s="133"/>
      <c r="S69" s="133"/>
      <c r="T69" s="134"/>
    </row>
    <row r="70" spans="2:20" x14ac:dyDescent="0.2">
      <c r="B70" s="103">
        <v>25</v>
      </c>
      <c r="C70" s="103" t="str">
        <f t="shared" si="3"/>
        <v>25 Year</v>
      </c>
      <c r="D70" s="103">
        <v>25</v>
      </c>
      <c r="E70" s="132">
        <f t="shared" ca="1" si="1"/>
        <v>2.0668613693260521E-2</v>
      </c>
      <c r="F70" s="153">
        <f ca="1">IFERROR(VLOOKUP($D$39,'Lookup Table'!$P$33:$Y$95,10,0),VLOOKUP($E$39,'Lookup Table'!$P$33:$Y$95,10,0))</f>
        <v>-0.16557622387745496</v>
      </c>
      <c r="G70" s="153">
        <f t="shared" ca="1" si="0"/>
        <v>2.4090844701372457E-2</v>
      </c>
      <c r="H70" s="147">
        <f t="shared" si="4"/>
        <v>2.083333333333333</v>
      </c>
      <c r="I70" s="153">
        <f ca="1">1-(1-$G$47)*((1-$G$48)/(1-$G$47))^(H70-1)</f>
        <v>1.2910968374711951E-3</v>
      </c>
      <c r="J70" s="151">
        <f t="shared" ca="1" si="5"/>
        <v>4.6468585698444809E-4</v>
      </c>
      <c r="K70" s="150"/>
      <c r="L70" s="150"/>
      <c r="M70" s="146"/>
      <c r="P70" s="133"/>
    </row>
    <row r="71" spans="2:20" x14ac:dyDescent="0.2">
      <c r="B71" s="103">
        <v>26</v>
      </c>
      <c r="C71" s="103" t="str">
        <f t="shared" si="3"/>
        <v>26 Year</v>
      </c>
      <c r="D71" s="103">
        <v>26</v>
      </c>
      <c r="E71" s="132">
        <f t="shared" ca="1" si="1"/>
        <v>2.2263537923329357E-2</v>
      </c>
      <c r="F71" s="153">
        <f ca="1">IFERROR(VLOOKUP($D$39,'Lookup Table'!$P$33:$Y$95,10,0),VLOOKUP($E$39,'Lookup Table'!$P$33:$Y$95,10,0))</f>
        <v>-0.16557622387745496</v>
      </c>
      <c r="G71" s="153">
        <f t="shared" ca="1" si="0"/>
        <v>2.5949850462826749E-2</v>
      </c>
      <c r="H71" s="147">
        <f t="shared" si="4"/>
        <v>2.1666666666666665</v>
      </c>
      <c r="I71" s="153">
        <f t="shared" ref="I71:I81" ca="1" si="7">1-(1-$G$47)*((1-$G$48)/(1-$G$47))^(H71-1)</f>
        <v>1.326832950746204E-3</v>
      </c>
      <c r="J71" s="151">
        <f t="shared" ca="1" si="5"/>
        <v>3.5736113275008918E-5</v>
      </c>
      <c r="K71" s="150"/>
      <c r="L71" s="150"/>
      <c r="M71" s="133"/>
      <c r="P71" s="133"/>
    </row>
    <row r="72" spans="2:20" x14ac:dyDescent="0.2">
      <c r="B72" s="103">
        <v>27</v>
      </c>
      <c r="C72" s="103" t="str">
        <f t="shared" si="3"/>
        <v>27 Year</v>
      </c>
      <c r="D72" s="103">
        <v>27</v>
      </c>
      <c r="E72" s="132">
        <f t="shared" ca="1" si="1"/>
        <v>2.3919244601855946E-2</v>
      </c>
      <c r="F72" s="153">
        <f ca="1">IFERROR(VLOOKUP($D$39,'Lookup Table'!$P$33:$Y$95,10,0),VLOOKUP($E$39,'Lookup Table'!$P$33:$Y$95,10,0))</f>
        <v>-0.16557622387745496</v>
      </c>
      <c r="G72" s="153">
        <f t="shared" ca="1" si="0"/>
        <v>2.7879702801032451E-2</v>
      </c>
      <c r="H72" s="147">
        <f t="shared" si="4"/>
        <v>2.25</v>
      </c>
      <c r="I72" s="153">
        <f t="shared" ca="1" si="7"/>
        <v>1.362567785300528E-3</v>
      </c>
      <c r="J72" s="151">
        <f t="shared" ca="1" si="5"/>
        <v>3.5734834554324024E-5</v>
      </c>
      <c r="K72" s="150"/>
      <c r="L72" s="150"/>
      <c r="M72" s="133"/>
      <c r="P72" s="133"/>
    </row>
    <row r="73" spans="2:20" x14ac:dyDescent="0.2">
      <c r="B73" s="103">
        <v>28</v>
      </c>
      <c r="C73" s="103" t="str">
        <f t="shared" si="3"/>
        <v>28 Year</v>
      </c>
      <c r="D73" s="103">
        <v>28</v>
      </c>
      <c r="E73" s="132">
        <f t="shared" ca="1" si="1"/>
        <v>2.5634389794166795E-2</v>
      </c>
      <c r="F73" s="153">
        <f ca="1">IFERROR(VLOOKUP($D$39,'Lookup Table'!$P$33:$Y$95,10,0),VLOOKUP($E$39,'Lookup Table'!$P$33:$Y$95,10,0))</f>
        <v>-0.16557622387745496</v>
      </c>
      <c r="G73" s="153">
        <f t="shared" ca="1" si="0"/>
        <v>2.9878835257687704E-2</v>
      </c>
      <c r="H73" s="147">
        <f t="shared" si="4"/>
        <v>2.333333333333333</v>
      </c>
      <c r="I73" s="153">
        <f t="shared" ca="1" si="7"/>
        <v>1.3983013411797973E-3</v>
      </c>
      <c r="J73" s="151">
        <f t="shared" ca="1" si="5"/>
        <v>3.5733555879269296E-5</v>
      </c>
      <c r="K73" s="150"/>
      <c r="L73" s="150"/>
      <c r="M73" s="146"/>
      <c r="P73" s="133"/>
    </row>
    <row r="74" spans="2:20" x14ac:dyDescent="0.2">
      <c r="B74" s="103">
        <v>29</v>
      </c>
      <c r="C74" s="103" t="str">
        <f t="shared" si="3"/>
        <v>29 Year</v>
      </c>
      <c r="D74" s="103">
        <v>29</v>
      </c>
      <c r="E74" s="132">
        <f t="shared" ca="1" si="1"/>
        <v>2.7407539031411559E-2</v>
      </c>
      <c r="F74" s="153">
        <f ca="1">IFERROR(VLOOKUP($D$39,'Lookup Table'!$P$33:$Y$95,10,0),VLOOKUP($E$39,'Lookup Table'!$P$33:$Y$95,10,0))</f>
        <v>-0.16557622387745496</v>
      </c>
      <c r="G74" s="153">
        <f t="shared" ca="1" si="0"/>
        <v>3.1945575850006645E-2</v>
      </c>
      <c r="H74" s="147">
        <f t="shared" si="4"/>
        <v>2.4166666666666665</v>
      </c>
      <c r="I74" s="153">
        <f t="shared" ca="1" si="7"/>
        <v>1.4340336184297531E-3</v>
      </c>
      <c r="J74" s="151">
        <f t="shared" ca="1" si="5"/>
        <v>3.5732277249955757E-5</v>
      </c>
      <c r="K74" s="150"/>
      <c r="L74" s="150"/>
      <c r="M74" s="133"/>
      <c r="P74" s="133"/>
    </row>
    <row r="75" spans="2:20" x14ac:dyDescent="0.2">
      <c r="B75" s="103">
        <v>30</v>
      </c>
      <c r="C75" s="103" t="str">
        <f t="shared" si="3"/>
        <v>30 Year</v>
      </c>
      <c r="D75" s="103">
        <v>30</v>
      </c>
      <c r="E75" s="132">
        <f t="shared" ca="1" si="1"/>
        <v>2.923718338367098E-2</v>
      </c>
      <c r="F75" s="153">
        <f ca="1">IFERROR(VLOOKUP($D$39,'Lookup Table'!$P$33:$Y$95,10,0),VLOOKUP($E$39,'Lookup Table'!$P$33:$Y$95,10,0))</f>
        <v>-0.16557622387745496</v>
      </c>
      <c r="G75" s="153">
        <f t="shared" ca="1" si="0"/>
        <v>3.407816580515189E-2</v>
      </c>
      <c r="H75" s="147">
        <f t="shared" si="4"/>
        <v>2.5</v>
      </c>
      <c r="I75" s="153">
        <f t="shared" ca="1" si="7"/>
        <v>1.4697646170963585E-3</v>
      </c>
      <c r="J75" s="151">
        <f t="shared" ca="1" si="5"/>
        <v>3.5730998666605451E-5</v>
      </c>
      <c r="K75" s="150"/>
      <c r="L75" s="150"/>
      <c r="M75" s="133"/>
      <c r="P75" s="133"/>
    </row>
    <row r="76" spans="2:20" x14ac:dyDescent="0.2">
      <c r="B76" s="103">
        <v>31</v>
      </c>
      <c r="C76" s="103"/>
      <c r="D76" s="103">
        <v>31</v>
      </c>
      <c r="E76" s="132"/>
      <c r="F76" s="153"/>
      <c r="G76" s="153"/>
      <c r="H76" s="147">
        <f t="shared" si="4"/>
        <v>2.583333333333333</v>
      </c>
      <c r="I76" s="153">
        <f t="shared" ca="1" si="7"/>
        <v>1.5054943372251328E-3</v>
      </c>
      <c r="J76" s="151">
        <f t="shared" ca="1" si="5"/>
        <v>3.5729720128774289E-5</v>
      </c>
      <c r="K76" s="150"/>
      <c r="L76" s="150"/>
      <c r="M76" s="146"/>
      <c r="P76" s="133"/>
    </row>
    <row r="77" spans="2:20" x14ac:dyDescent="0.2">
      <c r="B77" s="103">
        <v>32</v>
      </c>
      <c r="C77" s="103"/>
      <c r="D77" s="103">
        <v>32</v>
      </c>
      <c r="E77" s="132"/>
      <c r="F77" s="153"/>
      <c r="G77" s="153"/>
      <c r="H77" s="147">
        <f t="shared" si="4"/>
        <v>2.6666666666666665</v>
      </c>
      <c r="I77" s="153">
        <f t="shared" ca="1" si="7"/>
        <v>1.5412227788619282E-3</v>
      </c>
      <c r="J77" s="151">
        <f t="shared" ca="1" si="5"/>
        <v>3.5728441636795338E-5</v>
      </c>
      <c r="K77" s="150"/>
      <c r="L77" s="150"/>
      <c r="M77" s="133"/>
      <c r="P77" s="133"/>
    </row>
    <row r="78" spans="2:20" x14ac:dyDescent="0.2">
      <c r="B78" s="103">
        <v>33</v>
      </c>
      <c r="C78" s="103"/>
      <c r="D78" s="103">
        <v>33</v>
      </c>
      <c r="E78" s="132"/>
      <c r="F78" s="153"/>
      <c r="G78" s="153"/>
      <c r="H78" s="147">
        <f t="shared" si="4"/>
        <v>2.75</v>
      </c>
      <c r="I78" s="153">
        <f t="shared" ca="1" si="7"/>
        <v>1.5769499420525968E-3</v>
      </c>
      <c r="J78" s="151">
        <f t="shared" ca="1" si="5"/>
        <v>3.5727163190668598E-5</v>
      </c>
      <c r="K78" s="150"/>
      <c r="L78" s="150"/>
      <c r="M78" s="133"/>
      <c r="P78" s="133"/>
    </row>
    <row r="79" spans="2:20" x14ac:dyDescent="0.2">
      <c r="B79" s="103">
        <v>34</v>
      </c>
      <c r="C79" s="103"/>
      <c r="D79" s="103">
        <v>34</v>
      </c>
      <c r="E79" s="132"/>
      <c r="F79" s="153"/>
      <c r="G79" s="153"/>
      <c r="H79" s="147">
        <f t="shared" si="4"/>
        <v>2.833333333333333</v>
      </c>
      <c r="I79" s="153">
        <f t="shared" ca="1" si="7"/>
        <v>1.6126758268426578E-3</v>
      </c>
      <c r="J79" s="151">
        <f t="shared" ca="1" si="5"/>
        <v>3.5725884790061002E-5</v>
      </c>
      <c r="K79" s="150"/>
      <c r="L79" s="150"/>
      <c r="M79" s="146"/>
      <c r="P79" s="133"/>
    </row>
    <row r="80" spans="2:20" x14ac:dyDescent="0.2">
      <c r="B80" s="103">
        <v>35</v>
      </c>
      <c r="C80" s="103"/>
      <c r="D80" s="103">
        <v>35</v>
      </c>
      <c r="E80" s="132"/>
      <c r="F80" s="153"/>
      <c r="G80" s="153"/>
      <c r="H80" s="147">
        <f t="shared" si="4"/>
        <v>2.9166666666666665</v>
      </c>
      <c r="I80" s="153">
        <f t="shared" ca="1" si="7"/>
        <v>1.6484004332780744E-3</v>
      </c>
      <c r="J80" s="151">
        <f t="shared" ca="1" si="5"/>
        <v>3.5724606435416639E-5</v>
      </c>
      <c r="K80" s="150"/>
      <c r="L80" s="150"/>
      <c r="M80" s="133"/>
      <c r="P80" s="133"/>
    </row>
    <row r="81" spans="2:16" x14ac:dyDescent="0.2">
      <c r="B81" s="103">
        <v>36</v>
      </c>
      <c r="C81" s="103"/>
      <c r="D81" s="103">
        <v>36</v>
      </c>
      <c r="E81" s="132"/>
      <c r="F81" s="153"/>
      <c r="G81" s="153"/>
      <c r="H81" s="147">
        <f t="shared" si="4"/>
        <v>3</v>
      </c>
      <c r="I81" s="153">
        <f t="shared" ca="1" si="7"/>
        <v>1.6841237614043658E-3</v>
      </c>
      <c r="J81" s="151">
        <f t="shared" ca="1" si="5"/>
        <v>3.572332812629142E-5</v>
      </c>
      <c r="K81" s="150"/>
      <c r="L81" s="150"/>
      <c r="M81" s="133"/>
      <c r="P81" s="133"/>
    </row>
    <row r="82" spans="2:16" x14ac:dyDescent="0.2">
      <c r="B82" s="103">
        <v>37</v>
      </c>
      <c r="C82" s="103"/>
      <c r="D82" s="103">
        <v>37</v>
      </c>
      <c r="E82" s="132"/>
      <c r="F82" s="153"/>
      <c r="G82" s="153"/>
      <c r="H82" s="147">
        <f t="shared" si="4"/>
        <v>3.083333333333333</v>
      </c>
      <c r="I82" s="153">
        <f ca="1">1-(1-$G$48)*((1-$G$49)/(1-$G$48))^(H82-1)</f>
        <v>2.1891659384692952E-3</v>
      </c>
      <c r="J82" s="151">
        <f t="shared" ca="1" si="5"/>
        <v>5.0504217706492938E-4</v>
      </c>
      <c r="K82" s="150"/>
      <c r="L82" s="150"/>
      <c r="M82" s="146"/>
      <c r="P82" s="133"/>
    </row>
    <row r="83" spans="2:16" x14ac:dyDescent="0.2">
      <c r="B83" s="103">
        <v>38</v>
      </c>
      <c r="C83" s="103"/>
      <c r="D83" s="103">
        <v>38</v>
      </c>
      <c r="E83" s="132"/>
      <c r="F83" s="153"/>
      <c r="G83" s="153"/>
      <c r="H83" s="147">
        <f t="shared" si="4"/>
        <v>3.1666666666666665</v>
      </c>
      <c r="I83" s="153">
        <f t="shared" ref="I83:I93" ca="1" si="8">1-(1-$G$48)*((1-$G$49)/(1-$G$48))^(H83-1)</f>
        <v>2.2265000324703799E-3</v>
      </c>
      <c r="J83" s="151">
        <f t="shared" ca="1" si="5"/>
        <v>3.7334094001084672E-5</v>
      </c>
      <c r="K83" s="150"/>
      <c r="L83" s="150"/>
      <c r="M83" s="133"/>
      <c r="P83" s="133"/>
    </row>
    <row r="84" spans="2:16" x14ac:dyDescent="0.2">
      <c r="B84" s="103">
        <v>39</v>
      </c>
      <c r="C84" s="103"/>
      <c r="D84" s="103">
        <v>39</v>
      </c>
      <c r="E84" s="132"/>
      <c r="F84" s="153"/>
      <c r="G84" s="153"/>
      <c r="H84" s="147">
        <f t="shared" si="4"/>
        <v>3.25</v>
      </c>
      <c r="I84" s="153">
        <f t="shared" ca="1" si="8"/>
        <v>2.2638327295786409E-3</v>
      </c>
      <c r="J84" s="151">
        <f t="shared" ca="1" si="5"/>
        <v>3.7332697108261037E-5</v>
      </c>
      <c r="K84" s="150"/>
      <c r="L84" s="150"/>
      <c r="M84" s="133"/>
      <c r="P84" s="133"/>
    </row>
    <row r="85" spans="2:16" x14ac:dyDescent="0.2">
      <c r="B85" s="103">
        <v>40</v>
      </c>
      <c r="C85" s="103"/>
      <c r="D85" s="103">
        <v>40</v>
      </c>
      <c r="E85" s="132"/>
      <c r="F85" s="153"/>
      <c r="G85" s="153"/>
      <c r="H85" s="147">
        <f t="shared" si="4"/>
        <v>3.333333333333333</v>
      </c>
      <c r="I85" s="153">
        <f t="shared" ca="1" si="8"/>
        <v>2.3011640298468139E-3</v>
      </c>
      <c r="J85" s="151">
        <f t="shared" ca="1" si="5"/>
        <v>3.7331300268172996E-5</v>
      </c>
      <c r="K85" s="150"/>
      <c r="L85" s="150"/>
      <c r="M85" s="146"/>
      <c r="P85" s="133"/>
    </row>
    <row r="86" spans="2:16" x14ac:dyDescent="0.2">
      <c r="B86" s="103">
        <v>41</v>
      </c>
      <c r="C86" s="103"/>
      <c r="D86" s="103">
        <v>41</v>
      </c>
      <c r="E86" s="132"/>
      <c r="F86" s="153"/>
      <c r="G86" s="153"/>
      <c r="H86" s="147">
        <f t="shared" si="4"/>
        <v>3.4166666666666665</v>
      </c>
      <c r="I86" s="153">
        <f t="shared" ca="1" si="8"/>
        <v>2.3384939333266352E-3</v>
      </c>
      <c r="J86" s="151">
        <f t="shared" ca="1" si="5"/>
        <v>3.7329903479821347E-5</v>
      </c>
      <c r="K86" s="150"/>
      <c r="L86" s="150"/>
      <c r="M86" s="133"/>
      <c r="P86" s="133"/>
    </row>
    <row r="87" spans="2:16" x14ac:dyDescent="0.2">
      <c r="B87" s="103">
        <v>42</v>
      </c>
      <c r="C87" s="103"/>
      <c r="D87" s="103">
        <v>42</v>
      </c>
      <c r="E87" s="132"/>
      <c r="F87" s="153"/>
      <c r="G87" s="153"/>
      <c r="H87" s="147">
        <f t="shared" si="4"/>
        <v>3.5</v>
      </c>
      <c r="I87" s="153">
        <f t="shared" ca="1" si="8"/>
        <v>2.3758224400708405E-3</v>
      </c>
      <c r="J87" s="151">
        <f t="shared" ca="1" si="5"/>
        <v>3.7328506744205292E-5</v>
      </c>
      <c r="K87" s="150"/>
      <c r="L87" s="150"/>
      <c r="M87" s="133"/>
      <c r="P87" s="133"/>
    </row>
    <row r="88" spans="2:16" x14ac:dyDescent="0.2">
      <c r="B88" s="103">
        <v>43</v>
      </c>
      <c r="C88" s="103"/>
      <c r="D88" s="103">
        <v>43</v>
      </c>
      <c r="E88" s="132"/>
      <c r="F88" s="153"/>
      <c r="G88" s="153"/>
      <c r="H88" s="147">
        <f t="shared" si="4"/>
        <v>3.583333333333333</v>
      </c>
      <c r="I88" s="153">
        <f t="shared" ca="1" si="8"/>
        <v>2.4131495501314992E-3</v>
      </c>
      <c r="J88" s="151">
        <f t="shared" ca="1" si="5"/>
        <v>3.7327110060658697E-5</v>
      </c>
      <c r="K88" s="150"/>
      <c r="L88" s="150"/>
      <c r="M88" s="146"/>
      <c r="P88" s="133"/>
    </row>
    <row r="89" spans="2:16" x14ac:dyDescent="0.2">
      <c r="B89" s="103">
        <v>44</v>
      </c>
      <c r="C89" s="103"/>
      <c r="D89" s="103">
        <v>44</v>
      </c>
      <c r="E89" s="132"/>
      <c r="F89" s="153"/>
      <c r="G89" s="153"/>
      <c r="H89" s="147">
        <f t="shared" si="4"/>
        <v>3.6666666666666665</v>
      </c>
      <c r="I89" s="153">
        <f t="shared" ca="1" si="8"/>
        <v>2.4504752635607918E-3</v>
      </c>
      <c r="J89" s="151">
        <f t="shared" ca="1" si="5"/>
        <v>3.7325713429292584E-5</v>
      </c>
      <c r="K89" s="150"/>
      <c r="L89" s="150"/>
      <c r="M89" s="133"/>
      <c r="P89" s="133"/>
    </row>
    <row r="90" spans="2:16" x14ac:dyDescent="0.2">
      <c r="B90" s="103">
        <v>45</v>
      </c>
      <c r="C90" s="103"/>
      <c r="D90" s="103">
        <v>45</v>
      </c>
      <c r="E90" s="132"/>
      <c r="F90" s="153"/>
      <c r="G90" s="153"/>
      <c r="H90" s="147">
        <f t="shared" si="4"/>
        <v>3.75</v>
      </c>
      <c r="I90" s="153">
        <f t="shared" ca="1" si="8"/>
        <v>2.4877995804110098E-3</v>
      </c>
      <c r="J90" s="151">
        <f t="shared" ca="1" si="5"/>
        <v>3.7324316850217976E-5</v>
      </c>
      <c r="K90" s="150"/>
      <c r="L90" s="150"/>
      <c r="M90" s="133"/>
      <c r="P90" s="133"/>
    </row>
    <row r="91" spans="2:16" x14ac:dyDescent="0.2">
      <c r="B91" s="103">
        <v>46</v>
      </c>
      <c r="C91" s="103"/>
      <c r="D91" s="103">
        <v>46</v>
      </c>
      <c r="E91" s="132"/>
      <c r="F91" s="153"/>
      <c r="G91" s="153"/>
      <c r="H91" s="147">
        <f t="shared" si="4"/>
        <v>3.833333333333333</v>
      </c>
      <c r="I91" s="153">
        <f t="shared" ca="1" si="8"/>
        <v>2.5251225007345557E-3</v>
      </c>
      <c r="J91" s="151">
        <f t="shared" ca="1" si="5"/>
        <v>3.7322920323545894E-5</v>
      </c>
      <c r="K91" s="150"/>
      <c r="L91" s="150"/>
      <c r="M91" s="146"/>
      <c r="P91" s="133"/>
    </row>
    <row r="92" spans="2:16" x14ac:dyDescent="0.2">
      <c r="B92" s="103">
        <v>47</v>
      </c>
      <c r="C92" s="103"/>
      <c r="D92" s="103">
        <v>47</v>
      </c>
      <c r="E92" s="132"/>
      <c r="F92" s="153"/>
      <c r="G92" s="153"/>
      <c r="H92" s="147">
        <f t="shared" si="4"/>
        <v>3.9166666666666665</v>
      </c>
      <c r="I92" s="153">
        <f t="shared" ca="1" si="8"/>
        <v>2.562444024583499E-3</v>
      </c>
      <c r="J92" s="151">
        <f t="shared" ca="1" si="5"/>
        <v>3.7321523848943272E-5</v>
      </c>
      <c r="K92" s="150"/>
      <c r="L92" s="150"/>
      <c r="M92" s="133"/>
      <c r="P92" s="133"/>
    </row>
    <row r="93" spans="2:16" x14ac:dyDescent="0.2">
      <c r="B93" s="103">
        <v>48</v>
      </c>
      <c r="C93" s="103"/>
      <c r="D93" s="103">
        <v>48</v>
      </c>
      <c r="E93" s="132"/>
      <c r="F93" s="153"/>
      <c r="G93" s="153"/>
      <c r="H93" s="147">
        <f t="shared" si="4"/>
        <v>4</v>
      </c>
      <c r="I93" s="153">
        <f t="shared" ca="1" si="8"/>
        <v>2.5997641520102421E-3</v>
      </c>
      <c r="J93" s="151">
        <f t="shared" ca="1" si="5"/>
        <v>3.7320127426743177E-5</v>
      </c>
      <c r="K93" s="150"/>
      <c r="L93" s="150"/>
      <c r="M93" s="133"/>
      <c r="P93" s="133"/>
    </row>
    <row r="94" spans="2:16" x14ac:dyDescent="0.2">
      <c r="B94" s="103">
        <v>49</v>
      </c>
      <c r="C94" s="103"/>
      <c r="D94" s="103">
        <v>49</v>
      </c>
      <c r="E94" s="132"/>
      <c r="F94" s="153"/>
      <c r="G94" s="153"/>
      <c r="H94" s="147">
        <f t="shared" si="4"/>
        <v>4.083333333333333</v>
      </c>
      <c r="I94" s="153">
        <f ca="1">1-(1-$G$49)*((1-$G$50)/(1-$G$49))^(H94-1)</f>
        <v>3.1660261511436971E-3</v>
      </c>
      <c r="J94" s="151">
        <f t="shared" ca="1" si="5"/>
        <v>5.6626199913345499E-4</v>
      </c>
      <c r="K94" s="150"/>
      <c r="L94" s="150"/>
      <c r="M94" s="146"/>
      <c r="P94" s="133"/>
    </row>
    <row r="95" spans="2:16" x14ac:dyDescent="0.2">
      <c r="B95" s="103">
        <v>50</v>
      </c>
      <c r="C95" s="103"/>
      <c r="D95" s="103">
        <v>50</v>
      </c>
      <c r="E95" s="132"/>
      <c r="F95" s="153"/>
      <c r="G95" s="153"/>
      <c r="H95" s="147">
        <f t="shared" si="4"/>
        <v>4.1666666666666661</v>
      </c>
      <c r="I95" s="153">
        <f t="shared" ref="I95:I105" ca="1" si="9">1-(1-$G$49)*((1-$G$50)/(1-$G$49))^(H95-1)</f>
        <v>3.2055188558983705E-3</v>
      </c>
      <c r="J95" s="151">
        <f t="shared" ca="1" si="5"/>
        <v>3.9492704754673369E-5</v>
      </c>
      <c r="K95" s="150"/>
      <c r="L95" s="150"/>
      <c r="M95" s="133"/>
      <c r="P95" s="133"/>
    </row>
    <row r="96" spans="2:16" x14ac:dyDescent="0.2">
      <c r="B96" s="103">
        <v>51</v>
      </c>
      <c r="C96" s="103"/>
      <c r="D96" s="103">
        <v>51</v>
      </c>
      <c r="E96" s="132"/>
      <c r="F96" s="153"/>
      <c r="G96" s="153"/>
      <c r="H96" s="147">
        <f t="shared" si="4"/>
        <v>4.25</v>
      </c>
      <c r="I96" s="153">
        <f t="shared" ca="1" si="9"/>
        <v>3.2450099960256162E-3</v>
      </c>
      <c r="J96" s="151">
        <f t="shared" ca="1" si="5"/>
        <v>3.949114012724575E-5</v>
      </c>
      <c r="K96" s="150"/>
      <c r="L96" s="150"/>
      <c r="M96" s="133"/>
      <c r="P96" s="133"/>
    </row>
    <row r="97" spans="2:16" x14ac:dyDescent="0.2">
      <c r="B97" s="103">
        <v>52</v>
      </c>
      <c r="C97" s="103"/>
      <c r="D97" s="103">
        <v>52</v>
      </c>
      <c r="E97" s="132"/>
      <c r="F97" s="153"/>
      <c r="G97" s="153"/>
      <c r="H97" s="147">
        <f t="shared" si="4"/>
        <v>4.333333333333333</v>
      </c>
      <c r="I97" s="153">
        <f t="shared" ca="1" si="9"/>
        <v>3.2844995715873848E-3</v>
      </c>
      <c r="J97" s="151">
        <f t="shared" ca="1" si="5"/>
        <v>3.9489575561768575E-5</v>
      </c>
      <c r="K97" s="150"/>
      <c r="L97" s="150"/>
      <c r="M97" s="146"/>
      <c r="P97" s="133"/>
    </row>
    <row r="98" spans="2:16" x14ac:dyDescent="0.2">
      <c r="B98" s="103">
        <v>53</v>
      </c>
      <c r="C98" s="103"/>
      <c r="D98" s="103">
        <v>53</v>
      </c>
      <c r="E98" s="132"/>
      <c r="F98" s="153"/>
      <c r="G98" s="153"/>
      <c r="H98" s="147">
        <f t="shared" si="4"/>
        <v>4.4166666666666661</v>
      </c>
      <c r="I98" s="153">
        <f t="shared" ca="1" si="9"/>
        <v>3.3239875826459597E-3</v>
      </c>
      <c r="J98" s="151">
        <f t="shared" ca="1" si="5"/>
        <v>3.9488011058574912E-5</v>
      </c>
      <c r="K98" s="150"/>
      <c r="L98" s="150"/>
      <c r="M98" s="133"/>
      <c r="P98" s="133"/>
    </row>
    <row r="99" spans="2:16" x14ac:dyDescent="0.2">
      <c r="B99" s="103">
        <v>54</v>
      </c>
      <c r="C99" s="103"/>
      <c r="D99" s="103">
        <v>54</v>
      </c>
      <c r="E99" s="132"/>
      <c r="F99" s="153"/>
      <c r="G99" s="153"/>
      <c r="H99" s="147">
        <f t="shared" si="4"/>
        <v>4.5</v>
      </c>
      <c r="I99" s="153">
        <f t="shared" ca="1" si="9"/>
        <v>3.3634740292629584E-3</v>
      </c>
      <c r="J99" s="151">
        <f t="shared" ca="1" si="5"/>
        <v>3.9486446616998627E-5</v>
      </c>
      <c r="K99" s="150"/>
      <c r="L99" s="150"/>
      <c r="M99" s="133"/>
      <c r="P99" s="133"/>
    </row>
    <row r="100" spans="2:16" x14ac:dyDescent="0.2">
      <c r="B100" s="103">
        <v>55</v>
      </c>
      <c r="C100" s="103"/>
      <c r="D100" s="103">
        <v>55</v>
      </c>
      <c r="E100" s="132"/>
      <c r="F100" s="153"/>
      <c r="G100" s="153"/>
      <c r="H100" s="147">
        <f t="shared" si="4"/>
        <v>4.583333333333333</v>
      </c>
      <c r="I100" s="153">
        <f t="shared" ca="1" si="9"/>
        <v>3.4029589115005532E-3</v>
      </c>
      <c r="J100" s="151">
        <f t="shared" ca="1" si="5"/>
        <v>3.9484882237594832E-5</v>
      </c>
      <c r="K100" s="150"/>
      <c r="L100" s="150"/>
      <c r="M100" s="146"/>
      <c r="P100" s="133"/>
    </row>
    <row r="101" spans="2:16" x14ac:dyDescent="0.2">
      <c r="B101" s="103">
        <v>56</v>
      </c>
      <c r="C101" s="103"/>
      <c r="D101" s="103">
        <v>56</v>
      </c>
      <c r="E101" s="132"/>
      <c r="F101" s="153"/>
      <c r="G101" s="153"/>
      <c r="H101" s="147">
        <f t="shared" si="4"/>
        <v>4.6666666666666661</v>
      </c>
      <c r="I101" s="153">
        <f t="shared" ca="1" si="9"/>
        <v>3.4424422294206947E-3</v>
      </c>
      <c r="J101" s="151">
        <f t="shared" ca="1" si="5"/>
        <v>3.9483317920141481E-5</v>
      </c>
      <c r="K101" s="150"/>
      <c r="L101" s="150"/>
      <c r="M101" s="133"/>
      <c r="P101" s="133"/>
    </row>
    <row r="102" spans="2:16" x14ac:dyDescent="0.2">
      <c r="B102" s="103">
        <v>57</v>
      </c>
      <c r="C102" s="103"/>
      <c r="D102" s="103">
        <v>57</v>
      </c>
      <c r="E102" s="132"/>
      <c r="F102" s="153"/>
      <c r="G102" s="153"/>
      <c r="H102" s="147">
        <f t="shared" si="4"/>
        <v>4.75</v>
      </c>
      <c r="I102" s="153">
        <f t="shared" ca="1" si="9"/>
        <v>3.4819239830852222E-3</v>
      </c>
      <c r="J102" s="151">
        <f t="shared" ca="1" si="5"/>
        <v>3.9481753664527552E-5</v>
      </c>
      <c r="K102" s="150"/>
      <c r="L102" s="150"/>
      <c r="M102" s="133"/>
      <c r="P102" s="133"/>
    </row>
    <row r="103" spans="2:16" x14ac:dyDescent="0.2">
      <c r="B103" s="103">
        <v>58</v>
      </c>
      <c r="C103" s="103"/>
      <c r="D103" s="103">
        <v>58</v>
      </c>
      <c r="E103" s="132"/>
      <c r="F103" s="153"/>
      <c r="G103" s="153"/>
      <c r="H103" s="147">
        <f t="shared" si="4"/>
        <v>4.833333333333333</v>
      </c>
      <c r="I103" s="153">
        <f t="shared" ca="1" si="9"/>
        <v>3.5214041725563083E-3</v>
      </c>
      <c r="J103" s="151">
        <f t="shared" ca="1" si="5"/>
        <v>3.9480189471086113E-5</v>
      </c>
      <c r="K103" s="150"/>
      <c r="L103" s="150"/>
      <c r="M103" s="146"/>
      <c r="P103" s="133"/>
    </row>
    <row r="104" spans="2:16" x14ac:dyDescent="0.2">
      <c r="B104" s="103">
        <v>59</v>
      </c>
      <c r="C104" s="103"/>
      <c r="D104" s="103">
        <v>59</v>
      </c>
      <c r="E104" s="132"/>
      <c r="F104" s="153"/>
      <c r="G104" s="153"/>
      <c r="H104" s="147">
        <f t="shared" si="4"/>
        <v>4.9166666666666661</v>
      </c>
      <c r="I104" s="153">
        <f t="shared" ca="1" si="9"/>
        <v>3.5608827978959035E-3</v>
      </c>
      <c r="J104" s="151">
        <f t="shared" ca="1" si="5"/>
        <v>3.9478625339595119E-5</v>
      </c>
      <c r="K104" s="150"/>
      <c r="L104" s="150"/>
      <c r="M104" s="133"/>
      <c r="P104" s="133"/>
    </row>
    <row r="105" spans="2:16" x14ac:dyDescent="0.2">
      <c r="B105" s="103">
        <v>60</v>
      </c>
      <c r="C105" s="103"/>
      <c r="D105" s="103">
        <v>60</v>
      </c>
      <c r="E105" s="132"/>
      <c r="F105" s="153"/>
      <c r="G105" s="153"/>
      <c r="H105" s="147">
        <f t="shared" si="4"/>
        <v>5</v>
      </c>
      <c r="I105" s="153">
        <f t="shared" ca="1" si="9"/>
        <v>3.600359859165847E-3</v>
      </c>
      <c r="J105" s="151">
        <f t="shared" ca="1" si="5"/>
        <v>3.9477061269943547E-5</v>
      </c>
      <c r="K105" s="150"/>
      <c r="L105" s="150"/>
      <c r="M105" s="133"/>
      <c r="P105" s="133"/>
    </row>
    <row r="106" spans="2:16" x14ac:dyDescent="0.2">
      <c r="B106" s="103">
        <v>61</v>
      </c>
      <c r="C106" s="131"/>
      <c r="D106" s="103">
        <v>61</v>
      </c>
      <c r="E106" s="132"/>
      <c r="F106" s="153"/>
      <c r="G106" s="153"/>
      <c r="H106" s="147">
        <f t="shared" si="4"/>
        <v>5.083333333333333</v>
      </c>
      <c r="I106" s="153">
        <f ca="1">1-(1-$G$50)*((1-$G$51)/(1-$G$50))^(H106-1)</f>
        <v>4.2480794107859765E-3</v>
      </c>
      <c r="J106" s="151">
        <f t="shared" ca="1" si="5"/>
        <v>6.4771955162012951E-4</v>
      </c>
      <c r="K106" s="150"/>
      <c r="L106" s="150"/>
      <c r="M106" s="146"/>
      <c r="P106" s="133"/>
    </row>
    <row r="107" spans="2:16" x14ac:dyDescent="0.2">
      <c r="B107" s="103">
        <v>62</v>
      </c>
      <c r="C107" s="131"/>
      <c r="D107" s="103">
        <v>62</v>
      </c>
      <c r="E107" s="132"/>
      <c r="F107" s="153"/>
      <c r="G107" s="153"/>
      <c r="H107" s="147">
        <f t="shared" si="4"/>
        <v>5.1666666666666661</v>
      </c>
      <c r="I107" s="153">
        <f t="shared" ref="I107:I117" ca="1" si="10">1-(1-$G$50)*((1-$G$51)/(1-$G$50))^(H107-1)</f>
        <v>4.2902771125721273E-3</v>
      </c>
      <c r="J107" s="151">
        <f t="shared" ca="1" si="5"/>
        <v>4.2197701786150787E-5</v>
      </c>
      <c r="K107" s="150"/>
      <c r="L107" s="150"/>
      <c r="M107" s="133"/>
      <c r="P107" s="133"/>
    </row>
    <row r="108" spans="2:16" x14ac:dyDescent="0.2">
      <c r="B108" s="103">
        <v>63</v>
      </c>
      <c r="C108" s="131"/>
      <c r="D108" s="103">
        <v>63</v>
      </c>
      <c r="E108" s="132"/>
      <c r="F108" s="153"/>
      <c r="G108" s="153"/>
      <c r="H108" s="147">
        <f t="shared" si="4"/>
        <v>5.25</v>
      </c>
      <c r="I108" s="153">
        <f t="shared" ca="1" si="10"/>
        <v>4.332473026115724E-3</v>
      </c>
      <c r="J108" s="151">
        <f t="shared" ca="1" si="5"/>
        <v>4.2195913543596753E-5</v>
      </c>
      <c r="K108" s="150"/>
      <c r="L108" s="150"/>
      <c r="M108" s="133"/>
      <c r="P108" s="133"/>
    </row>
    <row r="109" spans="2:16" x14ac:dyDescent="0.2">
      <c r="B109" s="103">
        <v>64</v>
      </c>
      <c r="C109" s="131"/>
      <c r="D109" s="103">
        <v>64</v>
      </c>
      <c r="E109" s="132"/>
      <c r="F109" s="153"/>
      <c r="G109" s="153"/>
      <c r="H109" s="147">
        <f t="shared" si="4"/>
        <v>5.333333333333333</v>
      </c>
      <c r="I109" s="153">
        <f t="shared" ca="1" si="10"/>
        <v>4.374667151492373E-3</v>
      </c>
      <c r="J109" s="151">
        <f t="shared" ca="1" si="5"/>
        <v>4.2194125376648906E-5</v>
      </c>
      <c r="K109" s="150"/>
      <c r="L109" s="150"/>
      <c r="M109" s="146"/>
      <c r="P109" s="133"/>
    </row>
    <row r="110" spans="2:16" x14ac:dyDescent="0.2">
      <c r="B110" s="103">
        <v>65</v>
      </c>
      <c r="C110" s="131"/>
      <c r="D110" s="103">
        <v>65</v>
      </c>
      <c r="E110" s="132"/>
      <c r="F110" s="153"/>
      <c r="G110" s="153"/>
      <c r="H110" s="147">
        <f t="shared" si="4"/>
        <v>5.4166666666666661</v>
      </c>
      <c r="I110" s="153">
        <f t="shared" ca="1" si="10"/>
        <v>4.4168594887780133E-3</v>
      </c>
      <c r="J110" s="151">
        <f t="shared" ca="1" si="5"/>
        <v>4.2192337285640313E-5</v>
      </c>
      <c r="K110" s="150"/>
      <c r="L110" s="150"/>
      <c r="M110" s="133"/>
      <c r="P110" s="133"/>
    </row>
    <row r="111" spans="2:16" x14ac:dyDescent="0.2">
      <c r="B111" s="103">
        <v>66</v>
      </c>
      <c r="C111" s="131"/>
      <c r="D111" s="103">
        <v>66</v>
      </c>
      <c r="E111" s="132"/>
      <c r="F111" s="153"/>
      <c r="G111" s="153"/>
      <c r="H111" s="147">
        <f t="shared" si="4"/>
        <v>5.5</v>
      </c>
      <c r="I111" s="153">
        <f t="shared" ca="1" si="10"/>
        <v>4.4590500380482512E-3</v>
      </c>
      <c r="J111" s="151">
        <f t="shared" ca="1" si="5"/>
        <v>4.2190549270237909E-5</v>
      </c>
      <c r="K111" s="150"/>
      <c r="L111" s="150"/>
      <c r="M111" s="133"/>
      <c r="P111" s="133"/>
    </row>
    <row r="112" spans="2:16" x14ac:dyDescent="0.2">
      <c r="B112" s="103">
        <v>67</v>
      </c>
      <c r="C112" s="131"/>
      <c r="D112" s="103">
        <v>67</v>
      </c>
      <c r="E112" s="132"/>
      <c r="F112" s="153"/>
      <c r="G112" s="153"/>
      <c r="H112" s="147">
        <f t="shared" ref="H112:H175" si="11">$C$44*B112</f>
        <v>5.583333333333333</v>
      </c>
      <c r="I112" s="153">
        <f t="shared" ca="1" si="10"/>
        <v>4.501238799379137E-3</v>
      </c>
      <c r="J112" s="151">
        <f t="shared" ref="J112:J175" ca="1" si="12">I112-I111</f>
        <v>4.2188761330885782E-5</v>
      </c>
      <c r="K112" s="150"/>
      <c r="L112" s="150"/>
      <c r="M112" s="146"/>
      <c r="P112" s="133"/>
    </row>
    <row r="113" spans="2:16" x14ac:dyDescent="0.2">
      <c r="B113" s="103">
        <v>68</v>
      </c>
      <c r="C113" s="131"/>
      <c r="D113" s="103">
        <v>68</v>
      </c>
      <c r="E113" s="132"/>
      <c r="F113" s="153"/>
      <c r="G113" s="153"/>
      <c r="H113" s="147">
        <f t="shared" si="11"/>
        <v>5.6666666666666661</v>
      </c>
      <c r="I113" s="153">
        <f t="shared" ca="1" si="10"/>
        <v>4.5434257728461658E-3</v>
      </c>
      <c r="J113" s="151">
        <f t="shared" ca="1" si="12"/>
        <v>4.2186973467028821E-5</v>
      </c>
      <c r="K113" s="150"/>
      <c r="L113" s="150"/>
      <c r="M113" s="133"/>
      <c r="P113" s="133"/>
    </row>
    <row r="114" spans="2:16" x14ac:dyDescent="0.2">
      <c r="B114" s="103">
        <v>69</v>
      </c>
      <c r="C114" s="131"/>
      <c r="D114" s="103">
        <v>69</v>
      </c>
      <c r="E114" s="132"/>
      <c r="F114" s="153"/>
      <c r="G114" s="153"/>
      <c r="H114" s="147">
        <f t="shared" si="11"/>
        <v>5.75</v>
      </c>
      <c r="I114" s="153">
        <f t="shared" ca="1" si="10"/>
        <v>4.5856109585252769E-3</v>
      </c>
      <c r="J114" s="151">
        <f t="shared" ca="1" si="12"/>
        <v>4.2185185679111115E-5</v>
      </c>
      <c r="K114" s="150"/>
      <c r="L114" s="150"/>
      <c r="M114" s="133"/>
      <c r="P114" s="133"/>
    </row>
    <row r="115" spans="2:16" x14ac:dyDescent="0.2">
      <c r="B115" s="103">
        <v>70</v>
      </c>
      <c r="C115" s="131"/>
      <c r="D115" s="103">
        <v>70</v>
      </c>
      <c r="E115" s="132"/>
      <c r="F115" s="153"/>
      <c r="G115" s="153"/>
      <c r="H115" s="147">
        <f t="shared" si="11"/>
        <v>5.833333333333333</v>
      </c>
      <c r="I115" s="153">
        <f t="shared" ca="1" si="10"/>
        <v>4.6277943564919655E-3</v>
      </c>
      <c r="J115" s="151">
        <f t="shared" ca="1" si="12"/>
        <v>4.2183397966688574E-5</v>
      </c>
      <c r="K115" s="150"/>
      <c r="L115" s="150"/>
      <c r="M115" s="146"/>
      <c r="P115" s="133"/>
    </row>
    <row r="116" spans="2:16" x14ac:dyDescent="0.2">
      <c r="B116" s="103">
        <v>71</v>
      </c>
      <c r="C116" s="131"/>
      <c r="D116" s="103">
        <v>71</v>
      </c>
      <c r="E116" s="132"/>
      <c r="F116" s="153"/>
      <c r="G116" s="153"/>
      <c r="H116" s="147">
        <f t="shared" si="11"/>
        <v>5.9166666666666661</v>
      </c>
      <c r="I116" s="153">
        <f t="shared" ca="1" si="10"/>
        <v>4.6699759668223928E-3</v>
      </c>
      <c r="J116" s="151">
        <f t="shared" ca="1" si="12"/>
        <v>4.2181610330427333E-5</v>
      </c>
      <c r="K116" s="150"/>
      <c r="L116" s="150"/>
      <c r="M116" s="133"/>
      <c r="P116" s="133"/>
    </row>
    <row r="117" spans="2:16" x14ac:dyDescent="0.2">
      <c r="B117" s="103">
        <v>72</v>
      </c>
      <c r="C117" s="131"/>
      <c r="D117" s="103">
        <v>72</v>
      </c>
      <c r="E117" s="132"/>
      <c r="F117" s="153"/>
      <c r="G117" s="153"/>
      <c r="H117" s="147">
        <f t="shared" si="11"/>
        <v>6</v>
      </c>
      <c r="I117" s="153">
        <f t="shared" ca="1" si="10"/>
        <v>4.712155789591943E-3</v>
      </c>
      <c r="J117" s="151">
        <f t="shared" ca="1" si="12"/>
        <v>4.2179822769550235E-5</v>
      </c>
      <c r="K117" s="150"/>
      <c r="L117" s="150"/>
      <c r="M117" s="133"/>
      <c r="P117" s="133"/>
    </row>
    <row r="118" spans="2:16" x14ac:dyDescent="0.2">
      <c r="B118" s="103">
        <v>73</v>
      </c>
      <c r="C118" s="103"/>
      <c r="D118" s="103">
        <v>73</v>
      </c>
      <c r="E118" s="132"/>
      <c r="F118" s="153"/>
      <c r="G118" s="153"/>
      <c r="H118" s="147">
        <f t="shared" si="11"/>
        <v>6.083333333333333</v>
      </c>
      <c r="I118" s="153">
        <f ca="1">1-(1-$G$51)*((1-$G$52)/(1-$G$51))^(H118-1)</f>
        <v>5.4602061957045311E-3</v>
      </c>
      <c r="J118" s="151">
        <f t="shared" ca="1" si="12"/>
        <v>7.4805040611258811E-4</v>
      </c>
      <c r="K118" s="150"/>
      <c r="L118" s="150"/>
      <c r="M118" s="146"/>
      <c r="P118" s="133"/>
    </row>
    <row r="119" spans="2:16" x14ac:dyDescent="0.2">
      <c r="B119" s="103">
        <v>74</v>
      </c>
      <c r="C119" s="103"/>
      <c r="D119" s="103">
        <v>74</v>
      </c>
      <c r="E119" s="132"/>
      <c r="F119" s="153"/>
      <c r="G119" s="153"/>
      <c r="H119" s="147">
        <f t="shared" si="11"/>
        <v>6.1666666666666661</v>
      </c>
      <c r="I119" s="153">
        <f t="shared" ref="I119:I129" ca="1" si="13">1-(1-$G$51)*((1-$G$52)/(1-$G$51))^(H119-1)</f>
        <v>5.505628701839349E-3</v>
      </c>
      <c r="J119" s="151">
        <f t="shared" ca="1" si="12"/>
        <v>4.5422506134817908E-5</v>
      </c>
      <c r="K119" s="150"/>
      <c r="L119" s="150"/>
      <c r="M119" s="133"/>
      <c r="P119" s="133"/>
    </row>
    <row r="120" spans="2:16" x14ac:dyDescent="0.2">
      <c r="B120" s="103">
        <v>75</v>
      </c>
      <c r="C120" s="103"/>
      <c r="D120" s="103">
        <v>75</v>
      </c>
      <c r="E120" s="132"/>
      <c r="F120" s="153"/>
      <c r="G120" s="153"/>
      <c r="H120" s="147">
        <f t="shared" si="11"/>
        <v>6.25</v>
      </c>
      <c r="I120" s="153">
        <f t="shared" ca="1" si="13"/>
        <v>5.5510491334426204E-3</v>
      </c>
      <c r="J120" s="151">
        <f t="shared" ca="1" si="12"/>
        <v>4.5420431603271361E-5</v>
      </c>
      <c r="K120" s="150"/>
      <c r="L120" s="150"/>
      <c r="M120" s="133"/>
      <c r="P120" s="133"/>
    </row>
    <row r="121" spans="2:16" x14ac:dyDescent="0.2">
      <c r="B121" s="103">
        <v>76</v>
      </c>
      <c r="C121" s="103"/>
      <c r="D121" s="103">
        <v>76</v>
      </c>
      <c r="E121" s="132"/>
      <c r="F121" s="153"/>
      <c r="G121" s="153"/>
      <c r="H121" s="147">
        <f t="shared" si="11"/>
        <v>6.333333333333333</v>
      </c>
      <c r="I121" s="153">
        <f t="shared" ca="1" si="13"/>
        <v>5.5964674906092693E-3</v>
      </c>
      <c r="J121" s="151">
        <f t="shared" ca="1" si="12"/>
        <v>4.5418357166648882E-5</v>
      </c>
      <c r="K121" s="150"/>
      <c r="L121" s="150"/>
      <c r="M121" s="146"/>
      <c r="P121" s="133"/>
    </row>
    <row r="122" spans="2:16" x14ac:dyDescent="0.2">
      <c r="B122" s="103">
        <v>77</v>
      </c>
      <c r="C122" s="103"/>
      <c r="D122" s="103">
        <v>77</v>
      </c>
      <c r="E122" s="132"/>
      <c r="F122" s="153"/>
      <c r="G122" s="153"/>
      <c r="H122" s="147">
        <f t="shared" si="11"/>
        <v>6.4166666666666661</v>
      </c>
      <c r="I122" s="153">
        <f t="shared" ca="1" si="13"/>
        <v>5.6418837734339977E-3</v>
      </c>
      <c r="J122" s="151">
        <f t="shared" ca="1" si="12"/>
        <v>4.5416282824728427E-5</v>
      </c>
      <c r="K122" s="150"/>
      <c r="L122" s="150"/>
      <c r="M122" s="133"/>
      <c r="P122" s="133"/>
    </row>
    <row r="123" spans="2:16" x14ac:dyDescent="0.2">
      <c r="B123" s="103">
        <v>78</v>
      </c>
      <c r="C123" s="103"/>
      <c r="D123" s="103">
        <v>78</v>
      </c>
      <c r="E123" s="132"/>
      <c r="F123" s="153"/>
      <c r="G123" s="153"/>
      <c r="H123" s="147">
        <f t="shared" si="11"/>
        <v>6.5</v>
      </c>
      <c r="I123" s="153">
        <f t="shared" ca="1" si="13"/>
        <v>5.6872979820115077E-3</v>
      </c>
      <c r="J123" s="151">
        <f t="shared" ca="1" si="12"/>
        <v>4.5414208577509996E-5</v>
      </c>
      <c r="K123" s="150"/>
      <c r="L123" s="150"/>
      <c r="M123" s="133"/>
      <c r="P123" s="133"/>
    </row>
    <row r="124" spans="2:16" x14ac:dyDescent="0.2">
      <c r="B124" s="103">
        <v>79</v>
      </c>
      <c r="C124" s="103"/>
      <c r="D124" s="103">
        <v>79</v>
      </c>
      <c r="E124" s="132"/>
      <c r="F124" s="153"/>
      <c r="G124" s="153"/>
      <c r="H124" s="147">
        <f t="shared" si="11"/>
        <v>6.583333333333333</v>
      </c>
      <c r="I124" s="153">
        <f t="shared" ca="1" si="13"/>
        <v>5.7327101164365013E-3</v>
      </c>
      <c r="J124" s="151">
        <f t="shared" ca="1" si="12"/>
        <v>4.5412134424993589E-5</v>
      </c>
      <c r="K124" s="150"/>
      <c r="L124" s="150"/>
      <c r="M124" s="146"/>
      <c r="P124" s="133"/>
    </row>
    <row r="125" spans="2:16" x14ac:dyDescent="0.2">
      <c r="B125" s="103">
        <v>80</v>
      </c>
      <c r="C125" s="103"/>
      <c r="D125" s="103">
        <v>80</v>
      </c>
      <c r="E125" s="132"/>
      <c r="F125" s="153"/>
      <c r="G125" s="153"/>
      <c r="H125" s="147">
        <f t="shared" si="11"/>
        <v>6.6666666666666661</v>
      </c>
      <c r="I125" s="153">
        <f t="shared" ca="1" si="13"/>
        <v>5.7781201768037915E-3</v>
      </c>
      <c r="J125" s="151">
        <f t="shared" ca="1" si="12"/>
        <v>4.5410060367290228E-5</v>
      </c>
      <c r="K125" s="150"/>
      <c r="L125" s="150"/>
      <c r="M125" s="133"/>
      <c r="P125" s="133"/>
    </row>
    <row r="126" spans="2:16" x14ac:dyDescent="0.2">
      <c r="B126" s="103">
        <v>81</v>
      </c>
      <c r="C126" s="103"/>
      <c r="D126" s="103">
        <v>81</v>
      </c>
      <c r="E126" s="132"/>
      <c r="F126" s="153"/>
      <c r="G126" s="153"/>
      <c r="H126" s="147">
        <f t="shared" si="11"/>
        <v>6.75</v>
      </c>
      <c r="I126" s="153">
        <f t="shared" ca="1" si="13"/>
        <v>5.8235281632080804E-3</v>
      </c>
      <c r="J126" s="151">
        <f t="shared" ca="1" si="12"/>
        <v>4.5407986404288891E-5</v>
      </c>
      <c r="K126" s="150"/>
      <c r="L126" s="150"/>
      <c r="M126" s="133"/>
      <c r="P126" s="133"/>
    </row>
    <row r="127" spans="2:16" x14ac:dyDescent="0.2">
      <c r="B127" s="103">
        <v>82</v>
      </c>
      <c r="C127" s="103"/>
      <c r="D127" s="103">
        <v>82</v>
      </c>
      <c r="E127" s="132"/>
      <c r="F127" s="153"/>
      <c r="G127" s="153"/>
      <c r="H127" s="147">
        <f t="shared" si="11"/>
        <v>6.833333333333333</v>
      </c>
      <c r="I127" s="153">
        <f t="shared" ca="1" si="13"/>
        <v>5.868934075744181E-3</v>
      </c>
      <c r="J127" s="151">
        <f t="shared" ca="1" si="12"/>
        <v>4.5405912536100601E-5</v>
      </c>
      <c r="K127" s="150"/>
      <c r="L127" s="150"/>
      <c r="M127" s="146"/>
      <c r="P127" s="133"/>
    </row>
    <row r="128" spans="2:16" x14ac:dyDescent="0.2">
      <c r="B128" s="103">
        <v>83</v>
      </c>
      <c r="C128" s="103"/>
      <c r="D128" s="103">
        <v>83</v>
      </c>
      <c r="E128" s="132"/>
      <c r="F128" s="153"/>
      <c r="G128" s="153"/>
      <c r="H128" s="147">
        <f t="shared" si="11"/>
        <v>6.9166666666666661</v>
      </c>
      <c r="I128" s="153">
        <f t="shared" ca="1" si="13"/>
        <v>5.9143379145064623E-3</v>
      </c>
      <c r="J128" s="151">
        <f t="shared" ca="1" si="12"/>
        <v>4.5403838762281268E-5</v>
      </c>
      <c r="K128" s="150"/>
      <c r="L128" s="150"/>
      <c r="M128" s="133"/>
      <c r="P128" s="133"/>
    </row>
    <row r="129" spans="2:16" x14ac:dyDescent="0.2">
      <c r="B129" s="103">
        <v>84</v>
      </c>
      <c r="C129" s="103"/>
      <c r="D129" s="103">
        <v>84</v>
      </c>
      <c r="E129" s="132"/>
      <c r="F129" s="153"/>
      <c r="G129" s="153"/>
      <c r="H129" s="147">
        <f t="shared" si="11"/>
        <v>7</v>
      </c>
      <c r="I129" s="153">
        <f t="shared" ca="1" si="13"/>
        <v>5.9597396795899593E-3</v>
      </c>
      <c r="J129" s="151">
        <f t="shared" ca="1" si="12"/>
        <v>4.5401765083497025E-5</v>
      </c>
      <c r="K129" s="150"/>
      <c r="L129" s="150"/>
      <c r="M129" s="133"/>
      <c r="P129" s="133"/>
    </row>
    <row r="130" spans="2:16" x14ac:dyDescent="0.2">
      <c r="B130" s="103">
        <v>85</v>
      </c>
      <c r="C130" s="103"/>
      <c r="D130" s="103">
        <v>85</v>
      </c>
      <c r="E130" s="132"/>
      <c r="F130" s="153"/>
      <c r="G130" s="153"/>
      <c r="H130" s="147">
        <f t="shared" si="11"/>
        <v>7.083333333333333</v>
      </c>
      <c r="I130" s="153">
        <f ca="1">1-(1-$G$52)*((1-$G$53)/(1-$G$52))^(H130-1)</f>
        <v>6.8251219541146657E-3</v>
      </c>
      <c r="J130" s="151">
        <f t="shared" ca="1" si="12"/>
        <v>8.653822745247064E-4</v>
      </c>
      <c r="K130" s="150"/>
      <c r="L130" s="150"/>
      <c r="M130" s="146"/>
      <c r="P130" s="133"/>
    </row>
    <row r="131" spans="2:16" x14ac:dyDescent="0.2">
      <c r="B131" s="103">
        <v>86</v>
      </c>
      <c r="C131" s="103"/>
      <c r="D131" s="103">
        <v>86</v>
      </c>
      <c r="E131" s="132"/>
      <c r="F131" s="153"/>
      <c r="G131" s="153"/>
      <c r="H131" s="147">
        <f t="shared" si="11"/>
        <v>7.1666666666666661</v>
      </c>
      <c r="I131" s="153">
        <f t="shared" ref="I131:I141" ca="1" si="14">1-(1-$G$52)*((1-$G$53)/(1-$G$52))^(H131-1)</f>
        <v>6.87425331008229E-3</v>
      </c>
      <c r="J131" s="151">
        <f t="shared" ca="1" si="12"/>
        <v>4.9131355967624302E-5</v>
      </c>
      <c r="K131" s="150"/>
      <c r="L131" s="150"/>
      <c r="M131" s="133"/>
      <c r="P131" s="133"/>
    </row>
    <row r="132" spans="2:16" x14ac:dyDescent="0.2">
      <c r="B132" s="103">
        <v>87</v>
      </c>
      <c r="C132" s="103"/>
      <c r="D132" s="103">
        <v>87</v>
      </c>
      <c r="E132" s="132"/>
      <c r="F132" s="153"/>
      <c r="G132" s="153"/>
      <c r="H132" s="147">
        <f t="shared" si="11"/>
        <v>7.25</v>
      </c>
      <c r="I132" s="153">
        <f t="shared" ca="1" si="14"/>
        <v>6.9233822355712071E-3</v>
      </c>
      <c r="J132" s="151">
        <f t="shared" ca="1" si="12"/>
        <v>4.9128925488917119E-5</v>
      </c>
      <c r="K132" s="150"/>
      <c r="L132" s="150"/>
      <c r="M132" s="133"/>
      <c r="P132" s="133"/>
    </row>
    <row r="133" spans="2:16" x14ac:dyDescent="0.2">
      <c r="B133" s="103">
        <v>88</v>
      </c>
      <c r="C133" s="103"/>
      <c r="D133" s="103">
        <v>88</v>
      </c>
      <c r="E133" s="132"/>
      <c r="F133" s="153"/>
      <c r="G133" s="153"/>
      <c r="H133" s="147">
        <f t="shared" si="11"/>
        <v>7.333333333333333</v>
      </c>
      <c r="I133" s="153">
        <f t="shared" ca="1" si="14"/>
        <v>6.9725087307020983E-3</v>
      </c>
      <c r="J133" s="151">
        <f t="shared" ca="1" si="12"/>
        <v>4.9126495130891179E-5</v>
      </c>
      <c r="K133" s="150"/>
      <c r="L133" s="150"/>
      <c r="M133" s="146"/>
      <c r="P133" s="133"/>
    </row>
    <row r="134" spans="2:16" x14ac:dyDescent="0.2">
      <c r="B134" s="103">
        <v>89</v>
      </c>
      <c r="C134" s="103"/>
      <c r="D134" s="103">
        <v>89</v>
      </c>
      <c r="E134" s="132"/>
      <c r="F134" s="153"/>
      <c r="G134" s="153"/>
      <c r="H134" s="147">
        <f t="shared" si="11"/>
        <v>7.4166666666666661</v>
      </c>
      <c r="I134" s="153">
        <f t="shared" ca="1" si="14"/>
        <v>7.0216327955949787E-3</v>
      </c>
      <c r="J134" s="151">
        <f t="shared" ca="1" si="12"/>
        <v>4.9124064892880348E-5</v>
      </c>
      <c r="K134" s="150"/>
      <c r="L134" s="150"/>
      <c r="M134" s="133"/>
      <c r="P134" s="133"/>
    </row>
    <row r="135" spans="2:16" x14ac:dyDescent="0.2">
      <c r="B135" s="103">
        <v>90</v>
      </c>
      <c r="C135" s="103"/>
      <c r="D135" s="103">
        <v>90</v>
      </c>
      <c r="E135" s="132"/>
      <c r="F135" s="153"/>
      <c r="G135" s="153"/>
      <c r="H135" s="147">
        <f t="shared" si="11"/>
        <v>7.5</v>
      </c>
      <c r="I135" s="153">
        <f t="shared" ca="1" si="14"/>
        <v>7.0707544303698633E-3</v>
      </c>
      <c r="J135" s="151">
        <f t="shared" ca="1" si="12"/>
        <v>4.9121634774884626E-5</v>
      </c>
      <c r="K135" s="150"/>
      <c r="L135" s="150"/>
      <c r="M135" s="133"/>
      <c r="P135" s="133"/>
    </row>
    <row r="136" spans="2:16" x14ac:dyDescent="0.2">
      <c r="B136" s="103">
        <v>91</v>
      </c>
      <c r="C136" s="103"/>
      <c r="D136" s="103">
        <v>91</v>
      </c>
      <c r="E136" s="132"/>
      <c r="F136" s="153"/>
      <c r="G136" s="153"/>
      <c r="H136" s="147">
        <f t="shared" si="11"/>
        <v>7.583333333333333</v>
      </c>
      <c r="I136" s="153">
        <f t="shared" ca="1" si="14"/>
        <v>7.1198736351474334E-3</v>
      </c>
      <c r="J136" s="151">
        <f t="shared" ca="1" si="12"/>
        <v>4.9119204777570147E-5</v>
      </c>
      <c r="K136" s="150"/>
      <c r="L136" s="150"/>
      <c r="M136" s="146"/>
      <c r="P136" s="133"/>
    </row>
    <row r="137" spans="2:16" x14ac:dyDescent="0.2">
      <c r="B137" s="103">
        <v>92</v>
      </c>
      <c r="C137" s="103"/>
      <c r="D137" s="103">
        <v>92</v>
      </c>
      <c r="E137" s="132"/>
      <c r="F137" s="153"/>
      <c r="G137" s="153"/>
      <c r="H137" s="147">
        <f t="shared" si="11"/>
        <v>7.6666666666666661</v>
      </c>
      <c r="I137" s="153">
        <f t="shared" ca="1" si="14"/>
        <v>7.1689904100475932E-3</v>
      </c>
      <c r="J137" s="151">
        <f t="shared" ca="1" si="12"/>
        <v>4.9116774900159754E-5</v>
      </c>
      <c r="K137" s="150"/>
      <c r="L137" s="150"/>
      <c r="M137" s="133"/>
      <c r="P137" s="133"/>
    </row>
    <row r="138" spans="2:16" x14ac:dyDescent="0.2">
      <c r="B138" s="103">
        <v>93</v>
      </c>
      <c r="C138" s="103"/>
      <c r="D138" s="103">
        <v>93</v>
      </c>
      <c r="E138" s="132"/>
      <c r="F138" s="153"/>
      <c r="G138" s="153"/>
      <c r="H138" s="147">
        <f t="shared" si="11"/>
        <v>7.75</v>
      </c>
      <c r="I138" s="153">
        <f t="shared" ca="1" si="14"/>
        <v>7.2181047551905797E-3</v>
      </c>
      <c r="J138" s="151">
        <f t="shared" ca="1" si="12"/>
        <v>4.9114345142986515E-5</v>
      </c>
      <c r="K138" s="150"/>
      <c r="L138" s="150"/>
      <c r="M138" s="133"/>
      <c r="P138" s="133"/>
    </row>
    <row r="139" spans="2:16" x14ac:dyDescent="0.2">
      <c r="B139" s="103">
        <v>94</v>
      </c>
      <c r="C139" s="103"/>
      <c r="D139" s="103">
        <v>94</v>
      </c>
      <c r="E139" s="132"/>
      <c r="F139" s="153"/>
      <c r="G139" s="153"/>
      <c r="H139" s="147">
        <f t="shared" si="11"/>
        <v>7.833333333333333</v>
      </c>
      <c r="I139" s="153">
        <f t="shared" ca="1" si="14"/>
        <v>7.2672166706967412E-3</v>
      </c>
      <c r="J139" s="151">
        <f t="shared" ca="1" si="12"/>
        <v>4.9111915506161452E-5</v>
      </c>
      <c r="K139" s="150"/>
      <c r="L139" s="150"/>
      <c r="M139" s="146"/>
      <c r="P139" s="133"/>
    </row>
    <row r="140" spans="2:16" x14ac:dyDescent="0.2">
      <c r="B140" s="103">
        <v>95</v>
      </c>
      <c r="C140" s="103"/>
      <c r="D140" s="103">
        <v>95</v>
      </c>
      <c r="E140" s="132"/>
      <c r="F140" s="153"/>
      <c r="G140" s="153"/>
      <c r="H140" s="147">
        <f t="shared" si="11"/>
        <v>7.9166666666666661</v>
      </c>
      <c r="I140" s="153">
        <f t="shared" ca="1" si="14"/>
        <v>7.3163261566859816E-3</v>
      </c>
      <c r="J140" s="151">
        <f t="shared" ca="1" si="12"/>
        <v>4.9109485989240476E-5</v>
      </c>
      <c r="K140" s="150"/>
      <c r="L140" s="150"/>
      <c r="M140" s="133"/>
      <c r="P140" s="133"/>
    </row>
    <row r="141" spans="2:16" x14ac:dyDescent="0.2">
      <c r="B141" s="103">
        <v>96</v>
      </c>
      <c r="C141" s="103"/>
      <c r="D141" s="103">
        <v>96</v>
      </c>
      <c r="E141" s="132"/>
      <c r="F141" s="153"/>
      <c r="G141" s="153"/>
      <c r="H141" s="147">
        <f t="shared" si="11"/>
        <v>8</v>
      </c>
      <c r="I141" s="153">
        <f t="shared" ca="1" si="14"/>
        <v>7.3654332132788713E-3</v>
      </c>
      <c r="J141" s="151">
        <f t="shared" ca="1" si="12"/>
        <v>4.910705659288972E-5</v>
      </c>
      <c r="K141" s="150"/>
      <c r="L141" s="150"/>
      <c r="M141" s="133"/>
      <c r="P141" s="133"/>
    </row>
    <row r="142" spans="2:16" x14ac:dyDescent="0.2">
      <c r="B142" s="103">
        <v>97</v>
      </c>
      <c r="C142" s="103"/>
      <c r="D142" s="103">
        <v>97</v>
      </c>
      <c r="E142" s="132"/>
      <c r="F142" s="153"/>
      <c r="G142" s="153"/>
      <c r="H142" s="147">
        <f t="shared" si="11"/>
        <v>8.0833333333333321</v>
      </c>
      <c r="I142" s="153">
        <f ca="1">1-(1-$G$53)*((1-$G$54)/(1-$G$53))^(H142-1)</f>
        <v>8.3629580647083257E-3</v>
      </c>
      <c r="J142" s="151">
        <f t="shared" ca="1" si="12"/>
        <v>9.9752485142945435E-4</v>
      </c>
      <c r="K142" s="150"/>
      <c r="L142" s="150"/>
      <c r="M142" s="146"/>
      <c r="P142" s="133"/>
    </row>
    <row r="143" spans="2:16" x14ac:dyDescent="0.2">
      <c r="B143" s="103">
        <v>98</v>
      </c>
      <c r="C143" s="103"/>
      <c r="D143" s="103">
        <v>98</v>
      </c>
      <c r="E143" s="132"/>
      <c r="F143" s="153"/>
      <c r="G143" s="153"/>
      <c r="H143" s="147">
        <f t="shared" si="11"/>
        <v>8.1666666666666661</v>
      </c>
      <c r="I143" s="153">
        <f t="shared" ref="I143:I153" ca="1" si="15">1-(1-$G$53)*((1-$G$54)/(1-$G$53))^(H143-1)</f>
        <v>8.4162400572476148E-3</v>
      </c>
      <c r="J143" s="151">
        <f t="shared" ca="1" si="12"/>
        <v>5.3281992539289114E-5</v>
      </c>
      <c r="K143" s="150"/>
      <c r="L143" s="150"/>
      <c r="M143" s="133"/>
      <c r="P143" s="133"/>
    </row>
    <row r="144" spans="2:16" x14ac:dyDescent="0.2">
      <c r="B144" s="103">
        <v>99</v>
      </c>
      <c r="C144" s="103"/>
      <c r="D144" s="103">
        <v>99</v>
      </c>
      <c r="E144" s="132"/>
      <c r="F144" s="153"/>
      <c r="G144" s="153"/>
      <c r="H144" s="147">
        <f t="shared" si="11"/>
        <v>8.25</v>
      </c>
      <c r="I144" s="153">
        <f t="shared" ca="1" si="15"/>
        <v>8.4695191868739972E-3</v>
      </c>
      <c r="J144" s="151">
        <f t="shared" ca="1" si="12"/>
        <v>5.3279129626382371E-5</v>
      </c>
      <c r="K144" s="150"/>
      <c r="L144" s="150"/>
      <c r="M144" s="133"/>
      <c r="P144" s="133"/>
    </row>
    <row r="145" spans="2:16" x14ac:dyDescent="0.2">
      <c r="B145" s="103">
        <v>100</v>
      </c>
      <c r="C145" s="103"/>
      <c r="D145" s="103">
        <v>100</v>
      </c>
      <c r="E145" s="132"/>
      <c r="F145" s="153"/>
      <c r="G145" s="153"/>
      <c r="H145" s="147">
        <f t="shared" si="11"/>
        <v>8.3333333333333321</v>
      </c>
      <c r="I145" s="153">
        <f t="shared" ca="1" si="15"/>
        <v>8.5227954537409056E-3</v>
      </c>
      <c r="J145" s="151">
        <f t="shared" ca="1" si="12"/>
        <v>5.327626686690845E-5</v>
      </c>
      <c r="K145" s="150"/>
      <c r="L145" s="150"/>
      <c r="M145" s="146"/>
      <c r="P145" s="133"/>
    </row>
    <row r="146" spans="2:16" x14ac:dyDescent="0.2">
      <c r="B146" s="103">
        <v>101</v>
      </c>
      <c r="C146" s="103"/>
      <c r="D146" s="103">
        <v>101</v>
      </c>
      <c r="E146" s="132"/>
      <c r="F146" s="153"/>
      <c r="G146" s="153"/>
      <c r="H146" s="147">
        <f t="shared" si="11"/>
        <v>8.4166666666666661</v>
      </c>
      <c r="I146" s="153">
        <f t="shared" ca="1" si="15"/>
        <v>8.5760688580022171E-3</v>
      </c>
      <c r="J146" s="151">
        <f t="shared" ca="1" si="12"/>
        <v>5.3273404261311441E-5</v>
      </c>
      <c r="K146" s="150"/>
      <c r="L146" s="150"/>
      <c r="M146" s="133"/>
      <c r="P146" s="133"/>
    </row>
    <row r="147" spans="2:16" x14ac:dyDescent="0.2">
      <c r="B147" s="103">
        <v>102</v>
      </c>
      <c r="C147" s="103"/>
      <c r="D147" s="103">
        <v>102</v>
      </c>
      <c r="E147" s="132"/>
      <c r="F147" s="153"/>
      <c r="G147" s="153"/>
      <c r="H147" s="147">
        <f t="shared" si="11"/>
        <v>8.5</v>
      </c>
      <c r="I147" s="153">
        <f t="shared" ca="1" si="15"/>
        <v>8.6293393998120305E-3</v>
      </c>
      <c r="J147" s="151">
        <f t="shared" ca="1" si="12"/>
        <v>5.3270541809813388E-5</v>
      </c>
      <c r="K147" s="150"/>
      <c r="L147" s="150"/>
      <c r="M147" s="133"/>
      <c r="P147" s="133"/>
    </row>
    <row r="148" spans="2:16" x14ac:dyDescent="0.2">
      <c r="B148" s="103">
        <v>103</v>
      </c>
      <c r="C148" s="103"/>
      <c r="D148" s="103">
        <v>103</v>
      </c>
      <c r="E148" s="132"/>
      <c r="F148" s="153"/>
      <c r="G148" s="153"/>
      <c r="H148" s="147">
        <f t="shared" si="11"/>
        <v>8.5833333333333321</v>
      </c>
      <c r="I148" s="153">
        <f t="shared" ca="1" si="15"/>
        <v>8.6826070793237786E-3</v>
      </c>
      <c r="J148" s="151">
        <f t="shared" ca="1" si="12"/>
        <v>5.3267679511748156E-5</v>
      </c>
      <c r="K148" s="150"/>
      <c r="L148" s="150"/>
      <c r="M148" s="146"/>
      <c r="P148" s="133"/>
    </row>
    <row r="149" spans="2:16" x14ac:dyDescent="0.2">
      <c r="B149" s="103">
        <v>104</v>
      </c>
      <c r="C149" s="103"/>
      <c r="D149" s="103">
        <v>104</v>
      </c>
      <c r="E149" s="132"/>
      <c r="F149" s="153"/>
      <c r="G149" s="153"/>
      <c r="H149" s="147">
        <f t="shared" si="11"/>
        <v>8.6666666666666661</v>
      </c>
      <c r="I149" s="153">
        <f t="shared" ca="1" si="15"/>
        <v>8.7358718966915605E-3</v>
      </c>
      <c r="J149" s="151">
        <f t="shared" ca="1" si="12"/>
        <v>5.326481736778188E-5</v>
      </c>
      <c r="K149" s="150"/>
      <c r="L149" s="150"/>
      <c r="M149" s="133"/>
      <c r="P149" s="133"/>
    </row>
    <row r="150" spans="2:16" x14ac:dyDescent="0.2">
      <c r="B150" s="103">
        <v>105</v>
      </c>
      <c r="C150" s="103"/>
      <c r="D150" s="103">
        <v>105</v>
      </c>
      <c r="E150" s="132"/>
      <c r="F150" s="153"/>
      <c r="G150" s="153"/>
      <c r="H150" s="147">
        <f t="shared" si="11"/>
        <v>8.75</v>
      </c>
      <c r="I150" s="153">
        <f t="shared" ca="1" si="15"/>
        <v>8.7891338520689199E-3</v>
      </c>
      <c r="J150" s="151">
        <f t="shared" ca="1" si="12"/>
        <v>5.3261955377359449E-5</v>
      </c>
      <c r="K150" s="150"/>
      <c r="L150" s="150"/>
      <c r="M150" s="133"/>
      <c r="P150" s="133"/>
    </row>
    <row r="151" spans="2:16" x14ac:dyDescent="0.2">
      <c r="B151" s="103">
        <v>106</v>
      </c>
      <c r="C151" s="103"/>
      <c r="D151" s="103">
        <v>106</v>
      </c>
      <c r="E151" s="132"/>
      <c r="F151" s="153"/>
      <c r="G151" s="153"/>
      <c r="H151" s="147">
        <f t="shared" si="11"/>
        <v>8.8333333333333321</v>
      </c>
      <c r="I151" s="153">
        <f t="shared" ca="1" si="15"/>
        <v>8.8423929456098449E-3</v>
      </c>
      <c r="J151" s="151">
        <f t="shared" ca="1" si="12"/>
        <v>5.3259093540924951E-5</v>
      </c>
      <c r="K151" s="150"/>
      <c r="L151" s="150"/>
      <c r="M151" s="146"/>
      <c r="P151" s="133"/>
    </row>
    <row r="152" spans="2:16" x14ac:dyDescent="0.2">
      <c r="B152" s="103">
        <v>107</v>
      </c>
      <c r="C152" s="103"/>
      <c r="D152" s="103">
        <v>107</v>
      </c>
      <c r="E152" s="132"/>
      <c r="F152" s="153"/>
      <c r="G152" s="153"/>
      <c r="H152" s="147">
        <f t="shared" si="11"/>
        <v>8.9166666666666661</v>
      </c>
      <c r="I152" s="153">
        <f t="shared" ca="1" si="15"/>
        <v>8.8956491774681012E-3</v>
      </c>
      <c r="J152" s="151">
        <f t="shared" ca="1" si="12"/>
        <v>5.3256231858256342E-5</v>
      </c>
      <c r="K152" s="150"/>
      <c r="L152" s="150"/>
      <c r="M152" s="133"/>
      <c r="P152" s="133"/>
    </row>
    <row r="153" spans="2:16" x14ac:dyDescent="0.2">
      <c r="B153" s="103">
        <v>108</v>
      </c>
      <c r="C153" s="103"/>
      <c r="D153" s="103">
        <v>108</v>
      </c>
      <c r="E153" s="132"/>
      <c r="F153" s="153"/>
      <c r="G153" s="153"/>
      <c r="H153" s="147">
        <f t="shared" si="11"/>
        <v>9</v>
      </c>
      <c r="I153" s="153">
        <f t="shared" ca="1" si="15"/>
        <v>8.9489025477971218E-3</v>
      </c>
      <c r="J153" s="151">
        <f t="shared" ca="1" si="12"/>
        <v>5.3253370329020555E-5</v>
      </c>
      <c r="K153" s="150"/>
      <c r="L153" s="150"/>
      <c r="M153" s="133"/>
      <c r="P153" s="133"/>
    </row>
    <row r="154" spans="2:16" x14ac:dyDescent="0.2">
      <c r="B154" s="103">
        <v>109</v>
      </c>
      <c r="C154" s="103"/>
      <c r="D154" s="103">
        <v>109</v>
      </c>
      <c r="E154" s="132"/>
      <c r="F154" s="153"/>
      <c r="G154" s="153"/>
      <c r="H154" s="147">
        <f t="shared" si="11"/>
        <v>9.0833333333333321</v>
      </c>
      <c r="I154" s="153">
        <f ca="1">1-(1-$G$54)*((1-$G$55)/(1-$G$54))^(H154-1)</f>
        <v>1.0091023858782355E-2</v>
      </c>
      <c r="J154" s="151">
        <f t="shared" ca="1" si="12"/>
        <v>1.1421213109852335E-3</v>
      </c>
      <c r="K154" s="150"/>
      <c r="L154" s="150"/>
      <c r="M154" s="146"/>
      <c r="P154" s="133"/>
    </row>
    <row r="155" spans="2:16" x14ac:dyDescent="0.2">
      <c r="B155" s="103">
        <v>110</v>
      </c>
      <c r="C155" s="103"/>
      <c r="D155" s="103">
        <v>110</v>
      </c>
      <c r="E155" s="132"/>
      <c r="F155" s="153"/>
      <c r="G155" s="153"/>
      <c r="H155" s="147">
        <f t="shared" si="11"/>
        <v>9.1666666666666661</v>
      </c>
      <c r="I155" s="153">
        <f t="shared" ref="I155:I165" ca="1" si="16">1-(1-$G$54)*((1-$G$55)/(1-$G$54))^(H155-1)</f>
        <v>1.0148851766023426E-2</v>
      </c>
      <c r="J155" s="151">
        <f t="shared" ca="1" si="12"/>
        <v>5.7827907241070342E-5</v>
      </c>
      <c r="K155" s="150"/>
      <c r="L155" s="150"/>
      <c r="M155" s="133"/>
      <c r="P155" s="133"/>
    </row>
    <row r="156" spans="2:16" x14ac:dyDescent="0.2">
      <c r="B156" s="103">
        <v>111</v>
      </c>
      <c r="C156" s="103"/>
      <c r="D156" s="103">
        <v>111</v>
      </c>
      <c r="E156" s="132"/>
      <c r="F156" s="153"/>
      <c r="G156" s="153"/>
      <c r="H156" s="147">
        <f t="shared" si="11"/>
        <v>9.25</v>
      </c>
      <c r="I156" s="153">
        <f t="shared" ca="1" si="16"/>
        <v>1.0206676295108519E-2</v>
      </c>
      <c r="J156" s="151">
        <f t="shared" ca="1" si="12"/>
        <v>5.7824529085093168E-5</v>
      </c>
      <c r="K156" s="150"/>
      <c r="L156" s="150"/>
      <c r="M156" s="133"/>
      <c r="P156" s="133"/>
    </row>
    <row r="157" spans="2:16" x14ac:dyDescent="0.2">
      <c r="B157" s="103">
        <v>112</v>
      </c>
      <c r="C157" s="103"/>
      <c r="D157" s="103">
        <v>112</v>
      </c>
      <c r="E157" s="132"/>
      <c r="F157" s="153"/>
      <c r="G157" s="153"/>
      <c r="H157" s="147">
        <f t="shared" si="11"/>
        <v>9.3333333333333321</v>
      </c>
      <c r="I157" s="153">
        <f t="shared" ca="1" si="16"/>
        <v>1.0264497446235143E-2</v>
      </c>
      <c r="J157" s="151">
        <f t="shared" ca="1" si="12"/>
        <v>5.782115112662467E-5</v>
      </c>
      <c r="K157" s="150"/>
      <c r="L157" s="150"/>
      <c r="M157" s="146"/>
      <c r="P157" s="133"/>
    </row>
    <row r="158" spans="2:16" x14ac:dyDescent="0.2">
      <c r="B158" s="103">
        <v>113</v>
      </c>
      <c r="C158" s="103"/>
      <c r="D158" s="103">
        <v>113</v>
      </c>
      <c r="E158" s="132"/>
      <c r="F158" s="153"/>
      <c r="G158" s="153"/>
      <c r="H158" s="147">
        <f t="shared" si="11"/>
        <v>9.4166666666666661</v>
      </c>
      <c r="I158" s="153">
        <f t="shared" ca="1" si="16"/>
        <v>1.0322315219600364E-2</v>
      </c>
      <c r="J158" s="151">
        <f t="shared" ca="1" si="12"/>
        <v>5.7817773365220759E-5</v>
      </c>
      <c r="K158" s="150"/>
      <c r="L158" s="150"/>
      <c r="M158" s="133"/>
      <c r="P158" s="133"/>
    </row>
    <row r="159" spans="2:16" x14ac:dyDescent="0.2">
      <c r="B159" s="103">
        <v>114</v>
      </c>
      <c r="C159" s="103"/>
      <c r="D159" s="103">
        <v>114</v>
      </c>
      <c r="E159" s="132"/>
      <c r="F159" s="153"/>
      <c r="G159" s="153"/>
      <c r="H159" s="147">
        <f t="shared" si="11"/>
        <v>9.5</v>
      </c>
      <c r="I159" s="153">
        <f t="shared" ca="1" si="16"/>
        <v>1.0380129615401801E-2</v>
      </c>
      <c r="J159" s="151">
        <f t="shared" ca="1" si="12"/>
        <v>5.7814395801436547E-5</v>
      </c>
      <c r="K159" s="150"/>
      <c r="L159" s="150"/>
      <c r="M159" s="133"/>
      <c r="P159" s="133"/>
    </row>
    <row r="160" spans="2:16" x14ac:dyDescent="0.2">
      <c r="B160" s="103">
        <v>115</v>
      </c>
      <c r="C160" s="103"/>
      <c r="D160" s="103">
        <v>115</v>
      </c>
      <c r="E160" s="132"/>
      <c r="F160" s="153"/>
      <c r="G160" s="153"/>
      <c r="H160" s="147">
        <f t="shared" si="11"/>
        <v>9.5833333333333321</v>
      </c>
      <c r="I160" s="153">
        <f t="shared" ca="1" si="16"/>
        <v>1.0437940633836629E-2</v>
      </c>
      <c r="J160" s="151">
        <f t="shared" ca="1" si="12"/>
        <v>5.7811018434827943E-5</v>
      </c>
      <c r="K160" s="150"/>
      <c r="L160" s="150"/>
      <c r="M160" s="146"/>
      <c r="P160" s="133"/>
    </row>
    <row r="161" spans="2:16" x14ac:dyDescent="0.2">
      <c r="B161" s="103">
        <v>116</v>
      </c>
      <c r="C161" s="103"/>
      <c r="D161" s="103">
        <v>116</v>
      </c>
      <c r="E161" s="132"/>
      <c r="F161" s="153"/>
      <c r="G161" s="153"/>
      <c r="H161" s="147">
        <f t="shared" si="11"/>
        <v>9.6666666666666661</v>
      </c>
      <c r="I161" s="153">
        <f t="shared" ca="1" si="16"/>
        <v>1.0495748275102135E-2</v>
      </c>
      <c r="J161" s="151">
        <f t="shared" ca="1" si="12"/>
        <v>5.7807641265505971E-5</v>
      </c>
      <c r="K161" s="150"/>
      <c r="L161" s="150"/>
      <c r="M161" s="133"/>
      <c r="P161" s="133"/>
    </row>
    <row r="162" spans="2:16" x14ac:dyDescent="0.2">
      <c r="B162" s="103">
        <v>117</v>
      </c>
      <c r="C162" s="103"/>
      <c r="D162" s="103">
        <v>117</v>
      </c>
      <c r="E162" s="132"/>
      <c r="F162" s="153"/>
      <c r="G162" s="153"/>
      <c r="H162" s="147">
        <f t="shared" si="11"/>
        <v>9.75</v>
      </c>
      <c r="I162" s="153">
        <f t="shared" ca="1" si="16"/>
        <v>1.0553552539395605E-2</v>
      </c>
      <c r="J162" s="151">
        <f t="shared" ca="1" si="12"/>
        <v>5.7804264293470631E-5</v>
      </c>
      <c r="K162" s="150"/>
      <c r="L162" s="150"/>
      <c r="M162" s="133"/>
      <c r="P162" s="133"/>
    </row>
    <row r="163" spans="2:16" x14ac:dyDescent="0.2">
      <c r="B163" s="103">
        <v>118</v>
      </c>
      <c r="C163" s="103"/>
      <c r="D163" s="103">
        <v>118</v>
      </c>
      <c r="E163" s="132"/>
      <c r="F163" s="153"/>
      <c r="G163" s="153"/>
      <c r="H163" s="147">
        <f t="shared" si="11"/>
        <v>9.8333333333333321</v>
      </c>
      <c r="I163" s="153">
        <f t="shared" ca="1" si="16"/>
        <v>1.0611353426914327E-2</v>
      </c>
      <c r="J163" s="151">
        <f t="shared" ca="1" si="12"/>
        <v>5.7800887518721922E-5</v>
      </c>
      <c r="K163" s="150"/>
      <c r="L163" s="150"/>
      <c r="M163" s="146"/>
      <c r="P163" s="133"/>
    </row>
    <row r="164" spans="2:16" x14ac:dyDescent="0.2">
      <c r="B164" s="103">
        <v>119</v>
      </c>
      <c r="C164" s="103"/>
      <c r="D164" s="103">
        <v>119</v>
      </c>
      <c r="E164" s="132"/>
      <c r="F164" s="153"/>
      <c r="G164" s="153"/>
      <c r="H164" s="147">
        <f t="shared" si="11"/>
        <v>9.9166666666666661</v>
      </c>
      <c r="I164" s="153">
        <f t="shared" ca="1" si="16"/>
        <v>1.0669150937855587E-2</v>
      </c>
      <c r="J164" s="151">
        <f t="shared" ca="1" si="12"/>
        <v>5.7797510941259844E-5</v>
      </c>
      <c r="K164" s="150"/>
      <c r="L164" s="150"/>
      <c r="M164" s="133"/>
      <c r="P164" s="133"/>
    </row>
    <row r="165" spans="2:16" x14ac:dyDescent="0.2">
      <c r="B165" s="103">
        <v>120</v>
      </c>
      <c r="C165" s="103"/>
      <c r="D165" s="103">
        <v>120</v>
      </c>
      <c r="E165" s="132"/>
      <c r="F165" s="153"/>
      <c r="G165" s="153"/>
      <c r="H165" s="147">
        <f t="shared" si="11"/>
        <v>10</v>
      </c>
      <c r="I165" s="153">
        <f t="shared" ca="1" si="16"/>
        <v>1.072694507241656E-2</v>
      </c>
      <c r="J165" s="151">
        <f t="shared" ca="1" si="12"/>
        <v>5.7794134560973376E-5</v>
      </c>
      <c r="K165" s="150"/>
      <c r="L165" s="150"/>
      <c r="M165" s="133"/>
      <c r="P165" s="133"/>
    </row>
    <row r="166" spans="2:16" x14ac:dyDescent="0.2">
      <c r="B166" s="103">
        <v>121</v>
      </c>
      <c r="C166" s="103"/>
      <c r="D166" s="103">
        <v>121</v>
      </c>
      <c r="E166" s="132"/>
      <c r="F166" s="153"/>
      <c r="G166" s="153"/>
      <c r="H166" s="147">
        <f t="shared" si="11"/>
        <v>10.083333333333332</v>
      </c>
      <c r="I166" s="153">
        <f ca="1">1-(1-$G$55)*((1-$G$56)/(1-$G$55))^(H166-1)</f>
        <v>1.2023710900429085E-2</v>
      </c>
      <c r="J166" s="151">
        <f t="shared" ca="1" si="12"/>
        <v>1.2967658280125249E-3</v>
      </c>
      <c r="K166" s="150"/>
      <c r="L166" s="150"/>
      <c r="M166" s="146"/>
      <c r="P166" s="133"/>
    </row>
    <row r="167" spans="2:16" x14ac:dyDescent="0.2">
      <c r="B167" s="103">
        <v>122</v>
      </c>
      <c r="C167" s="103"/>
      <c r="D167" s="103">
        <v>122</v>
      </c>
      <c r="E167" s="132"/>
      <c r="F167" s="153"/>
      <c r="G167" s="153"/>
      <c r="H167" s="147">
        <f t="shared" si="11"/>
        <v>10.166666666666666</v>
      </c>
      <c r="I167" s="153">
        <f t="shared" ref="I167:I177" ca="1" si="17">1-(1-$G$55)*((1-$G$56)/(1-$G$55))^(H167-1)</f>
        <v>1.2086431091424599E-2</v>
      </c>
      <c r="J167" s="151">
        <f t="shared" ca="1" si="12"/>
        <v>6.2720190995513292E-5</v>
      </c>
      <c r="K167" s="150"/>
      <c r="L167" s="150"/>
      <c r="M167" s="133"/>
      <c r="P167" s="133"/>
    </row>
    <row r="168" spans="2:16" x14ac:dyDescent="0.2">
      <c r="B168" s="103">
        <v>123</v>
      </c>
      <c r="C168" s="103"/>
      <c r="D168" s="103">
        <v>123</v>
      </c>
      <c r="E168" s="132"/>
      <c r="F168" s="153"/>
      <c r="G168" s="153"/>
      <c r="H168" s="147">
        <f t="shared" si="11"/>
        <v>10.25</v>
      </c>
      <c r="I168" s="153">
        <f t="shared" ca="1" si="17"/>
        <v>1.2149147300723029E-2</v>
      </c>
      <c r="J168" s="151">
        <f t="shared" ca="1" si="12"/>
        <v>6.2716209298430137E-5</v>
      </c>
      <c r="K168" s="150"/>
      <c r="L168" s="150"/>
      <c r="M168" s="133"/>
      <c r="P168" s="133"/>
    </row>
    <row r="169" spans="2:16" x14ac:dyDescent="0.2">
      <c r="B169" s="103">
        <v>124</v>
      </c>
      <c r="C169" s="103"/>
      <c r="D169" s="103">
        <v>124</v>
      </c>
      <c r="E169" s="132"/>
      <c r="F169" s="153"/>
      <c r="G169" s="153"/>
      <c r="H169" s="147">
        <f t="shared" si="11"/>
        <v>10.333333333333332</v>
      </c>
      <c r="I169" s="153">
        <f t="shared" ca="1" si="17"/>
        <v>1.2211859528576952E-2</v>
      </c>
      <c r="J169" s="151">
        <f t="shared" ca="1" si="12"/>
        <v>6.271222785392272E-5</v>
      </c>
      <c r="K169" s="150"/>
      <c r="L169" s="150"/>
      <c r="M169" s="146"/>
      <c r="P169" s="133"/>
    </row>
    <row r="170" spans="2:16" x14ac:dyDescent="0.2">
      <c r="B170" s="103">
        <v>125</v>
      </c>
      <c r="C170" s="103"/>
      <c r="D170" s="103">
        <v>125</v>
      </c>
      <c r="E170" s="132"/>
      <c r="F170" s="153"/>
      <c r="G170" s="153"/>
      <c r="H170" s="147">
        <f t="shared" si="11"/>
        <v>10.416666666666666</v>
      </c>
      <c r="I170" s="153">
        <f t="shared" ca="1" si="17"/>
        <v>1.2274567775239387E-2</v>
      </c>
      <c r="J170" s="151">
        <f t="shared" ca="1" si="12"/>
        <v>6.270824666243513E-5</v>
      </c>
      <c r="K170" s="150"/>
      <c r="L170" s="150"/>
      <c r="M170" s="133"/>
      <c r="P170" s="133"/>
    </row>
    <row r="171" spans="2:16" x14ac:dyDescent="0.2">
      <c r="B171" s="103">
        <v>126</v>
      </c>
      <c r="C171" s="103"/>
      <c r="D171" s="103">
        <v>126</v>
      </c>
      <c r="E171" s="132"/>
      <c r="F171" s="153"/>
      <c r="G171" s="153"/>
      <c r="H171" s="147">
        <f t="shared" si="11"/>
        <v>10.5</v>
      </c>
      <c r="I171" s="153">
        <f t="shared" ca="1" si="17"/>
        <v>1.233727204096291E-2</v>
      </c>
      <c r="J171" s="151">
        <f t="shared" ca="1" si="12"/>
        <v>6.2704265723523278E-5</v>
      </c>
      <c r="K171" s="150"/>
      <c r="L171" s="150"/>
      <c r="M171" s="133"/>
      <c r="P171" s="133"/>
    </row>
    <row r="172" spans="2:16" x14ac:dyDescent="0.2">
      <c r="B172" s="103">
        <v>127</v>
      </c>
      <c r="C172" s="103"/>
      <c r="D172" s="103">
        <v>127</v>
      </c>
      <c r="E172" s="132"/>
      <c r="F172" s="153"/>
      <c r="G172" s="153"/>
      <c r="H172" s="147">
        <f t="shared" si="11"/>
        <v>10.583333333333332</v>
      </c>
      <c r="I172" s="153">
        <f t="shared" ca="1" si="17"/>
        <v>1.2399972326000319E-2</v>
      </c>
      <c r="J172" s="151">
        <f t="shared" ca="1" si="12"/>
        <v>6.2700285037409209E-5</v>
      </c>
      <c r="K172" s="150"/>
      <c r="L172" s="150"/>
      <c r="M172" s="146"/>
      <c r="P172" s="133"/>
    </row>
    <row r="173" spans="2:16" x14ac:dyDescent="0.2">
      <c r="B173" s="103">
        <v>128</v>
      </c>
      <c r="C173" s="103"/>
      <c r="D173" s="103">
        <v>128</v>
      </c>
      <c r="E173" s="132"/>
      <c r="F173" s="153"/>
      <c r="G173" s="153"/>
      <c r="H173" s="147">
        <f t="shared" si="11"/>
        <v>10.666666666666666</v>
      </c>
      <c r="I173" s="153">
        <f t="shared" ca="1" si="17"/>
        <v>1.246266863060419E-2</v>
      </c>
      <c r="J173" s="151">
        <f t="shared" ca="1" si="12"/>
        <v>6.2696304603870878E-5</v>
      </c>
      <c r="K173" s="150"/>
      <c r="L173" s="150"/>
      <c r="M173" s="133"/>
      <c r="P173" s="133"/>
    </row>
    <row r="174" spans="2:16" x14ac:dyDescent="0.2">
      <c r="B174" s="103">
        <v>129</v>
      </c>
      <c r="C174" s="103"/>
      <c r="D174" s="103">
        <v>129</v>
      </c>
      <c r="E174" s="132"/>
      <c r="F174" s="153"/>
      <c r="G174" s="153"/>
      <c r="H174" s="147">
        <f t="shared" si="11"/>
        <v>10.75</v>
      </c>
      <c r="I174" s="153">
        <f t="shared" ca="1" si="17"/>
        <v>1.2525360955027431E-2</v>
      </c>
      <c r="J174" s="151">
        <f t="shared" ca="1" si="12"/>
        <v>6.2692324423241352E-5</v>
      </c>
      <c r="K174" s="150"/>
      <c r="L174" s="150"/>
      <c r="M174" s="133"/>
      <c r="P174" s="133"/>
    </row>
    <row r="175" spans="2:16" x14ac:dyDescent="0.2">
      <c r="B175" s="103">
        <v>130</v>
      </c>
      <c r="C175" s="103"/>
      <c r="D175" s="103">
        <v>130</v>
      </c>
      <c r="E175" s="132"/>
      <c r="F175" s="153"/>
      <c r="G175" s="153"/>
      <c r="H175" s="147">
        <f t="shared" si="11"/>
        <v>10.833333333333332</v>
      </c>
      <c r="I175" s="153">
        <f t="shared" ca="1" si="17"/>
        <v>1.2588049299522508E-2</v>
      </c>
      <c r="J175" s="151">
        <f t="shared" ca="1" si="12"/>
        <v>6.2688344495076542E-5</v>
      </c>
      <c r="K175" s="150"/>
      <c r="L175" s="150"/>
      <c r="M175" s="146"/>
      <c r="P175" s="133"/>
    </row>
    <row r="176" spans="2:16" x14ac:dyDescent="0.2">
      <c r="B176" s="103">
        <v>131</v>
      </c>
      <c r="C176" s="103"/>
      <c r="D176" s="103">
        <v>131</v>
      </c>
      <c r="E176" s="132"/>
      <c r="F176" s="153"/>
      <c r="G176" s="153"/>
      <c r="H176" s="147">
        <f t="shared" ref="H176:H239" si="18">$C$44*B176</f>
        <v>10.916666666666666</v>
      </c>
      <c r="I176" s="153">
        <f t="shared" ca="1" si="17"/>
        <v>1.2650733664342328E-2</v>
      </c>
      <c r="J176" s="151">
        <f t="shared" ref="J176:J239" ca="1" si="19">I176-I175</f>
        <v>6.2684364819820537E-5</v>
      </c>
      <c r="K176" s="150"/>
      <c r="L176" s="150"/>
      <c r="M176" s="133"/>
      <c r="P176" s="133"/>
    </row>
    <row r="177" spans="2:16" x14ac:dyDescent="0.2">
      <c r="B177" s="103">
        <v>132</v>
      </c>
      <c r="C177" s="103"/>
      <c r="D177" s="103">
        <v>132</v>
      </c>
      <c r="E177" s="132"/>
      <c r="F177" s="153"/>
      <c r="G177" s="153"/>
      <c r="H177" s="147">
        <f t="shared" si="18"/>
        <v>11</v>
      </c>
      <c r="I177" s="153">
        <f t="shared" ca="1" si="17"/>
        <v>1.2713414049739136E-2</v>
      </c>
      <c r="J177" s="151">
        <f t="shared" ca="1" si="19"/>
        <v>6.2680385396807203E-5</v>
      </c>
      <c r="K177" s="150"/>
      <c r="L177" s="150"/>
      <c r="M177" s="133"/>
      <c r="P177" s="133"/>
    </row>
    <row r="178" spans="2:16" x14ac:dyDescent="0.2">
      <c r="B178" s="103">
        <v>133</v>
      </c>
      <c r="C178" s="103"/>
      <c r="D178" s="103">
        <v>133</v>
      </c>
      <c r="E178" s="132"/>
      <c r="F178" s="153"/>
      <c r="G178" s="153"/>
      <c r="H178" s="147">
        <f t="shared" si="18"/>
        <v>11.083333333333332</v>
      </c>
      <c r="I178" s="153">
        <f ca="1">1-(1-$G$56)*((1-$G$57)/(1-$G$56))^(H178-1)</f>
        <v>1.4172506116184369E-2</v>
      </c>
      <c r="J178" s="151">
        <f t="shared" ca="1" si="19"/>
        <v>1.4590920664452334E-3</v>
      </c>
      <c r="K178" s="150"/>
      <c r="L178" s="150"/>
      <c r="M178" s="146"/>
      <c r="P178" s="133"/>
    </row>
    <row r="179" spans="2:16" x14ac:dyDescent="0.2">
      <c r="B179" s="103">
        <v>134</v>
      </c>
      <c r="C179" s="103"/>
      <c r="D179" s="103">
        <v>134</v>
      </c>
      <c r="E179" s="132"/>
      <c r="F179" s="153"/>
      <c r="G179" s="153"/>
      <c r="H179" s="147">
        <f t="shared" si="18"/>
        <v>11.166666666666666</v>
      </c>
      <c r="I179" s="153">
        <f t="shared" ref="I179:I189" ca="1" si="20">1-(1-$G$56)*((1-$G$57)/(1-$G$56))^(H179-1)</f>
        <v>1.4240415148392804E-2</v>
      </c>
      <c r="J179" s="151">
        <f t="shared" ca="1" si="19"/>
        <v>6.7909032208435249E-5</v>
      </c>
      <c r="K179" s="150"/>
      <c r="L179" s="150"/>
      <c r="M179" s="133"/>
      <c r="P179" s="133"/>
    </row>
    <row r="180" spans="2:16" x14ac:dyDescent="0.2">
      <c r="B180" s="103">
        <v>135</v>
      </c>
      <c r="C180" s="103"/>
      <c r="D180" s="103">
        <v>135</v>
      </c>
      <c r="E180" s="132"/>
      <c r="F180" s="153"/>
      <c r="G180" s="153"/>
      <c r="H180" s="147">
        <f t="shared" si="18"/>
        <v>11.25</v>
      </c>
      <c r="I180" s="153">
        <f t="shared" ca="1" si="20"/>
        <v>1.4308319502666644E-2</v>
      </c>
      <c r="J180" s="151">
        <f t="shared" ca="1" si="19"/>
        <v>6.7904354273840006E-5</v>
      </c>
      <c r="K180" s="150"/>
      <c r="L180" s="150"/>
      <c r="M180" s="133"/>
      <c r="P180" s="133"/>
    </row>
    <row r="181" spans="2:16" x14ac:dyDescent="0.2">
      <c r="B181" s="103">
        <v>136</v>
      </c>
      <c r="C181" s="103"/>
      <c r="D181" s="103">
        <v>136</v>
      </c>
      <c r="E181" s="132"/>
      <c r="F181" s="153"/>
      <c r="G181" s="153"/>
      <c r="H181" s="147">
        <f t="shared" si="18"/>
        <v>11.333333333333332</v>
      </c>
      <c r="I181" s="153">
        <f t="shared" ca="1" si="20"/>
        <v>1.4376219179327965E-2</v>
      </c>
      <c r="J181" s="151">
        <f t="shared" ca="1" si="19"/>
        <v>6.7899676661320463E-5</v>
      </c>
      <c r="K181" s="150"/>
      <c r="L181" s="150"/>
      <c r="M181" s="146"/>
      <c r="P181" s="133"/>
    </row>
    <row r="182" spans="2:16" x14ac:dyDescent="0.2">
      <c r="B182" s="103">
        <v>137</v>
      </c>
      <c r="C182" s="103"/>
      <c r="D182" s="103">
        <v>137</v>
      </c>
      <c r="E182" s="132"/>
      <c r="F182" s="153"/>
      <c r="G182" s="153"/>
      <c r="H182" s="147">
        <f t="shared" si="18"/>
        <v>11.416666666666666</v>
      </c>
      <c r="I182" s="153">
        <f t="shared" ca="1" si="20"/>
        <v>1.4444114178699063E-2</v>
      </c>
      <c r="J182" s="151">
        <f t="shared" ca="1" si="19"/>
        <v>6.7894999371098663E-5</v>
      </c>
      <c r="K182" s="150"/>
      <c r="L182" s="150"/>
      <c r="M182" s="133"/>
      <c r="P182" s="133"/>
    </row>
    <row r="183" spans="2:16" x14ac:dyDescent="0.2">
      <c r="B183" s="103">
        <v>138</v>
      </c>
      <c r="C183" s="103"/>
      <c r="D183" s="103">
        <v>138</v>
      </c>
      <c r="E183" s="132"/>
      <c r="F183" s="153"/>
      <c r="G183" s="153"/>
      <c r="H183" s="147">
        <f t="shared" si="18"/>
        <v>11.5</v>
      </c>
      <c r="I183" s="153">
        <f t="shared" ca="1" si="20"/>
        <v>1.4512004501102127E-2</v>
      </c>
      <c r="J183" s="151">
        <f t="shared" ca="1" si="19"/>
        <v>6.7890322403063585E-5</v>
      </c>
      <c r="K183" s="150"/>
      <c r="L183" s="150"/>
      <c r="M183" s="133"/>
      <c r="P183" s="133"/>
    </row>
    <row r="184" spans="2:16" x14ac:dyDescent="0.2">
      <c r="B184" s="103">
        <v>139</v>
      </c>
      <c r="C184" s="103"/>
      <c r="D184" s="103">
        <v>139</v>
      </c>
      <c r="E184" s="132"/>
      <c r="F184" s="153"/>
      <c r="G184" s="153"/>
      <c r="H184" s="147">
        <f t="shared" si="18"/>
        <v>11.583333333333332</v>
      </c>
      <c r="I184" s="153">
        <f t="shared" ca="1" si="20"/>
        <v>1.4579890146859231E-2</v>
      </c>
      <c r="J184" s="151">
        <f t="shared" ca="1" si="19"/>
        <v>6.7885645757104207E-5</v>
      </c>
      <c r="K184" s="150"/>
      <c r="L184" s="150"/>
      <c r="M184" s="146"/>
      <c r="P184" s="133"/>
    </row>
    <row r="185" spans="2:16" x14ac:dyDescent="0.2">
      <c r="B185" s="103">
        <v>140</v>
      </c>
      <c r="C185" s="103"/>
      <c r="D185" s="103">
        <v>140</v>
      </c>
      <c r="E185" s="132"/>
      <c r="F185" s="153"/>
      <c r="G185" s="153"/>
      <c r="H185" s="147">
        <f t="shared" si="18"/>
        <v>11.666666666666666</v>
      </c>
      <c r="I185" s="153">
        <f t="shared" ca="1" si="20"/>
        <v>1.4647771116292674E-2</v>
      </c>
      <c r="J185" s="151">
        <f t="shared" ca="1" si="19"/>
        <v>6.7880969433442573E-5</v>
      </c>
      <c r="K185" s="150"/>
      <c r="L185" s="150"/>
      <c r="M185" s="133"/>
      <c r="P185" s="133"/>
    </row>
    <row r="186" spans="2:16" x14ac:dyDescent="0.2">
      <c r="B186" s="103">
        <v>141</v>
      </c>
      <c r="C186" s="103"/>
      <c r="D186" s="103">
        <v>141</v>
      </c>
      <c r="E186" s="132"/>
      <c r="F186" s="153"/>
      <c r="G186" s="153"/>
      <c r="H186" s="147">
        <f t="shared" si="18"/>
        <v>11.75</v>
      </c>
      <c r="I186" s="153">
        <f t="shared" ca="1" si="20"/>
        <v>1.471564740972453E-2</v>
      </c>
      <c r="J186" s="151">
        <f t="shared" ca="1" si="19"/>
        <v>6.7876293431856638E-5</v>
      </c>
      <c r="K186" s="150"/>
      <c r="L186" s="150"/>
      <c r="M186" s="133"/>
      <c r="P186" s="133"/>
    </row>
    <row r="187" spans="2:16" x14ac:dyDescent="0.2">
      <c r="B187" s="103">
        <v>142</v>
      </c>
      <c r="C187" s="103"/>
      <c r="D187" s="103">
        <v>142</v>
      </c>
      <c r="E187" s="132"/>
      <c r="F187" s="153"/>
      <c r="G187" s="153"/>
      <c r="H187" s="147">
        <f t="shared" si="18"/>
        <v>11.833333333333332</v>
      </c>
      <c r="I187" s="153">
        <f t="shared" ca="1" si="20"/>
        <v>1.4783519027476766E-2</v>
      </c>
      <c r="J187" s="151">
        <f t="shared" ca="1" si="19"/>
        <v>6.787161775223538E-5</v>
      </c>
      <c r="K187" s="150"/>
      <c r="L187" s="150"/>
      <c r="M187" s="146"/>
      <c r="P187" s="133"/>
    </row>
    <row r="188" spans="2:16" x14ac:dyDescent="0.2">
      <c r="B188" s="103">
        <v>143</v>
      </c>
      <c r="C188" s="103"/>
      <c r="D188" s="103">
        <v>143</v>
      </c>
      <c r="E188" s="132"/>
      <c r="F188" s="153"/>
      <c r="G188" s="153"/>
      <c r="H188" s="147">
        <f t="shared" si="18"/>
        <v>11.916666666666666</v>
      </c>
      <c r="I188" s="153">
        <f t="shared" ca="1" si="20"/>
        <v>1.4851385969871789E-2</v>
      </c>
      <c r="J188" s="151">
        <f t="shared" ca="1" si="19"/>
        <v>6.7866942395022889E-5</v>
      </c>
      <c r="K188" s="150"/>
      <c r="L188" s="150"/>
      <c r="M188" s="133"/>
      <c r="P188" s="133"/>
    </row>
    <row r="189" spans="2:16" x14ac:dyDescent="0.2">
      <c r="B189" s="103">
        <v>144</v>
      </c>
      <c r="C189" s="103"/>
      <c r="D189" s="103">
        <v>144</v>
      </c>
      <c r="E189" s="132"/>
      <c r="F189" s="153"/>
      <c r="G189" s="153"/>
      <c r="H189" s="147">
        <f t="shared" si="18"/>
        <v>12</v>
      </c>
      <c r="I189" s="153">
        <f t="shared" ca="1" si="20"/>
        <v>1.4919248237231231E-2</v>
      </c>
      <c r="J189" s="151">
        <f t="shared" ca="1" si="19"/>
        <v>6.7862267359442008E-5</v>
      </c>
      <c r="K189" s="150"/>
      <c r="L189" s="150"/>
      <c r="M189" s="133"/>
      <c r="P189" s="133"/>
    </row>
    <row r="190" spans="2:16" x14ac:dyDescent="0.2">
      <c r="B190" s="103">
        <v>145</v>
      </c>
      <c r="C190" s="103"/>
      <c r="D190" s="103">
        <v>145</v>
      </c>
      <c r="E190" s="132"/>
      <c r="F190" s="153"/>
      <c r="G190" s="153"/>
      <c r="H190" s="147">
        <f t="shared" si="18"/>
        <v>12.083333333333332</v>
      </c>
      <c r="I190" s="153">
        <f ca="1">1-(1-$G$57)*((1-$G$58)/(1-$G$57))^(H190-1)</f>
        <v>1.6546085742298655E-2</v>
      </c>
      <c r="J190" s="151">
        <f t="shared" ca="1" si="19"/>
        <v>1.6268375050674244E-3</v>
      </c>
      <c r="K190" s="150"/>
      <c r="L190" s="150"/>
      <c r="M190" s="146"/>
      <c r="P190" s="133"/>
    </row>
    <row r="191" spans="2:16" x14ac:dyDescent="0.2">
      <c r="B191" s="103">
        <v>146</v>
      </c>
      <c r="C191" s="103"/>
      <c r="D191" s="103">
        <v>146</v>
      </c>
      <c r="E191" s="132"/>
      <c r="F191" s="153"/>
      <c r="G191" s="153"/>
      <c r="H191" s="147">
        <f t="shared" si="18"/>
        <v>12.166666666666666</v>
      </c>
      <c r="I191" s="153">
        <f t="shared" ref="I191:I201" ca="1" si="21">1-(1-$G$57)*((1-$G$58)/(1-$G$57))^(H191-1)</f>
        <v>1.6619430651752198E-2</v>
      </c>
      <c r="J191" s="151">
        <f t="shared" ca="1" si="19"/>
        <v>7.3344909453543217E-5</v>
      </c>
      <c r="K191" s="150"/>
      <c r="L191" s="150"/>
      <c r="M191" s="133"/>
      <c r="P191" s="133"/>
    </row>
    <row r="192" spans="2:16" x14ac:dyDescent="0.2">
      <c r="B192" s="103">
        <v>147</v>
      </c>
      <c r="C192" s="103"/>
      <c r="D192" s="103">
        <v>147</v>
      </c>
      <c r="E192" s="132"/>
      <c r="F192" s="153"/>
      <c r="G192" s="153"/>
      <c r="H192" s="147">
        <f t="shared" si="18"/>
        <v>12.25</v>
      </c>
      <c r="I192" s="153">
        <f t="shared" ca="1" si="21"/>
        <v>1.6692770091223164E-2</v>
      </c>
      <c r="J192" s="151">
        <f t="shared" ca="1" si="19"/>
        <v>7.3339439470965218E-5</v>
      </c>
      <c r="K192" s="150"/>
      <c r="L192" s="150"/>
      <c r="M192" s="133"/>
      <c r="P192" s="133"/>
    </row>
    <row r="193" spans="2:16" x14ac:dyDescent="0.2">
      <c r="B193" s="103">
        <v>148</v>
      </c>
      <c r="C193" s="103"/>
      <c r="D193" s="103">
        <v>148</v>
      </c>
      <c r="E193" s="132"/>
      <c r="F193" s="153"/>
      <c r="G193" s="153"/>
      <c r="H193" s="147">
        <f t="shared" si="18"/>
        <v>12.333333333333332</v>
      </c>
      <c r="I193" s="153">
        <f t="shared" ca="1" si="21"/>
        <v>1.6766104061119558E-2</v>
      </c>
      <c r="J193" s="151">
        <f t="shared" ca="1" si="19"/>
        <v>7.333396989639418E-5</v>
      </c>
      <c r="K193" s="150"/>
      <c r="L193" s="150"/>
      <c r="M193" s="146"/>
      <c r="P193" s="133"/>
    </row>
    <row r="194" spans="2:16" x14ac:dyDescent="0.2">
      <c r="B194" s="103">
        <v>149</v>
      </c>
      <c r="C194" s="103"/>
      <c r="D194" s="103">
        <v>149</v>
      </c>
      <c r="E194" s="132"/>
      <c r="F194" s="153"/>
      <c r="G194" s="153"/>
      <c r="H194" s="147">
        <f t="shared" si="18"/>
        <v>12.416666666666666</v>
      </c>
      <c r="I194" s="153">
        <f t="shared" ca="1" si="21"/>
        <v>1.6839432561849277E-2</v>
      </c>
      <c r="J194" s="151">
        <f t="shared" ca="1" si="19"/>
        <v>7.3328500729719082E-5</v>
      </c>
      <c r="K194" s="150"/>
      <c r="L194" s="150"/>
      <c r="M194" s="133"/>
      <c r="P194" s="133"/>
    </row>
    <row r="195" spans="2:16" x14ac:dyDescent="0.2">
      <c r="B195" s="103">
        <v>150</v>
      </c>
      <c r="C195" s="103"/>
      <c r="D195" s="103">
        <v>150</v>
      </c>
      <c r="E195" s="132"/>
      <c r="F195" s="153"/>
      <c r="G195" s="153"/>
      <c r="H195" s="147">
        <f t="shared" si="18"/>
        <v>12.5</v>
      </c>
      <c r="I195" s="153">
        <f t="shared" ca="1" si="21"/>
        <v>1.6912755593820106E-2</v>
      </c>
      <c r="J195" s="151">
        <f t="shared" ca="1" si="19"/>
        <v>7.33230319708289E-5</v>
      </c>
      <c r="K195" s="150"/>
      <c r="L195" s="150"/>
      <c r="M195" s="133"/>
      <c r="P195" s="133"/>
    </row>
    <row r="196" spans="2:16" x14ac:dyDescent="0.2">
      <c r="B196" s="103">
        <v>151</v>
      </c>
      <c r="C196" s="103"/>
      <c r="D196" s="103">
        <v>151</v>
      </c>
      <c r="E196" s="132"/>
      <c r="F196" s="153"/>
      <c r="G196" s="153"/>
      <c r="H196" s="147">
        <f t="shared" si="18"/>
        <v>12.583333333333332</v>
      </c>
      <c r="I196" s="153">
        <f t="shared" ca="1" si="21"/>
        <v>1.6986073157440051E-2</v>
      </c>
      <c r="J196" s="151">
        <f t="shared" ca="1" si="19"/>
        <v>7.331756361994568E-5</v>
      </c>
      <c r="K196" s="150"/>
      <c r="L196" s="150"/>
      <c r="M196" s="146"/>
      <c r="P196" s="133"/>
    </row>
    <row r="197" spans="2:16" x14ac:dyDescent="0.2">
      <c r="B197" s="103">
        <v>152</v>
      </c>
      <c r="C197" s="103"/>
      <c r="D197" s="103">
        <v>152</v>
      </c>
      <c r="E197" s="132"/>
      <c r="F197" s="153"/>
      <c r="G197" s="153"/>
      <c r="H197" s="147">
        <f t="shared" si="18"/>
        <v>12.666666666666666</v>
      </c>
      <c r="I197" s="153">
        <f t="shared" ca="1" si="21"/>
        <v>1.7059385253116899E-2</v>
      </c>
      <c r="J197" s="151">
        <f t="shared" ca="1" si="19"/>
        <v>7.3312095676847377E-5</v>
      </c>
      <c r="K197" s="150"/>
      <c r="L197" s="150"/>
      <c r="M197" s="133"/>
      <c r="P197" s="133"/>
    </row>
    <row r="198" spans="2:16" x14ac:dyDescent="0.2">
      <c r="B198" s="103">
        <v>153</v>
      </c>
      <c r="C198" s="103"/>
      <c r="D198" s="103">
        <v>153</v>
      </c>
      <c r="E198" s="132"/>
      <c r="F198" s="153"/>
      <c r="G198" s="153"/>
      <c r="H198" s="147">
        <f t="shared" si="18"/>
        <v>12.75</v>
      </c>
      <c r="I198" s="153">
        <f t="shared" ca="1" si="21"/>
        <v>1.7132691881258433E-2</v>
      </c>
      <c r="J198" s="151">
        <f t="shared" ca="1" si="19"/>
        <v>7.3306628141533992E-5</v>
      </c>
      <c r="K198" s="150"/>
      <c r="L198" s="150"/>
      <c r="M198" s="133"/>
      <c r="P198" s="133"/>
    </row>
    <row r="199" spans="2:16" x14ac:dyDescent="0.2">
      <c r="B199" s="103">
        <v>154</v>
      </c>
      <c r="C199" s="103"/>
      <c r="D199" s="103">
        <v>154</v>
      </c>
      <c r="E199" s="132"/>
      <c r="F199" s="153"/>
      <c r="G199" s="153"/>
      <c r="H199" s="147">
        <f t="shared" si="18"/>
        <v>12.833333333333332</v>
      </c>
      <c r="I199" s="153">
        <f t="shared" ca="1" si="21"/>
        <v>1.7205993042272327E-2</v>
      </c>
      <c r="J199" s="151">
        <f t="shared" ca="1" si="19"/>
        <v>7.33011610138945E-5</v>
      </c>
      <c r="K199" s="150"/>
      <c r="L199" s="150"/>
      <c r="M199" s="146"/>
      <c r="P199" s="133"/>
    </row>
    <row r="200" spans="2:16" x14ac:dyDescent="0.2">
      <c r="B200" s="103">
        <v>155</v>
      </c>
      <c r="C200" s="103"/>
      <c r="D200" s="103">
        <v>155</v>
      </c>
      <c r="E200" s="132"/>
      <c r="F200" s="153"/>
      <c r="G200" s="153"/>
      <c r="H200" s="147">
        <f t="shared" si="18"/>
        <v>12.916666666666666</v>
      </c>
      <c r="I200" s="153">
        <f t="shared" ca="1" si="21"/>
        <v>1.7279288736566478E-2</v>
      </c>
      <c r="J200" s="151">
        <f t="shared" ca="1" si="19"/>
        <v>7.3295694294150948E-5</v>
      </c>
      <c r="K200" s="150"/>
      <c r="L200" s="150"/>
      <c r="M200" s="133"/>
      <c r="P200" s="133"/>
    </row>
    <row r="201" spans="2:16" x14ac:dyDescent="0.2">
      <c r="B201" s="103">
        <v>156</v>
      </c>
      <c r="C201" s="103"/>
      <c r="D201" s="103">
        <v>156</v>
      </c>
      <c r="E201" s="132"/>
      <c r="F201" s="153"/>
      <c r="G201" s="153"/>
      <c r="H201" s="147">
        <f t="shared" si="18"/>
        <v>13</v>
      </c>
      <c r="I201" s="153">
        <f t="shared" ca="1" si="21"/>
        <v>1.7352578964547893E-2</v>
      </c>
      <c r="J201" s="151">
        <f t="shared" ca="1" si="19"/>
        <v>7.3290227981415157E-5</v>
      </c>
      <c r="K201" s="150"/>
      <c r="L201" s="150"/>
      <c r="M201" s="133"/>
      <c r="P201" s="133"/>
    </row>
    <row r="202" spans="2:16" x14ac:dyDescent="0.2">
      <c r="B202" s="103">
        <v>157</v>
      </c>
      <c r="C202" s="103"/>
      <c r="D202" s="103">
        <v>157</v>
      </c>
      <c r="E202" s="132"/>
      <c r="F202" s="153"/>
      <c r="G202" s="153"/>
      <c r="H202" s="147">
        <f t="shared" si="18"/>
        <v>13.083333333333332</v>
      </c>
      <c r="I202" s="153">
        <f ca="1">1-(1-$G$58)*((1-$G$59)/(1-$G$58))^(H202-1)</f>
        <v>1.9150467037025165E-2</v>
      </c>
      <c r="J202" s="151">
        <f t="shared" ca="1" si="19"/>
        <v>1.7978880724772717E-3</v>
      </c>
      <c r="K202" s="150"/>
      <c r="L202" s="150"/>
      <c r="M202" s="146"/>
      <c r="P202" s="133"/>
    </row>
    <row r="203" spans="2:16" x14ac:dyDescent="0.2">
      <c r="B203" s="103">
        <v>158</v>
      </c>
      <c r="C203" s="103"/>
      <c r="D203" s="103">
        <v>158</v>
      </c>
      <c r="E203" s="132"/>
      <c r="F203" s="153"/>
      <c r="G203" s="153"/>
      <c r="H203" s="147">
        <f t="shared" si="18"/>
        <v>13.166666666666666</v>
      </c>
      <c r="I203" s="153">
        <f t="shared" ref="I203:I213" ca="1" si="22">1-(1-$G$58)*((1-$G$59)/(1-$G$58))^(H203-1)</f>
        <v>1.9229446559468011E-2</v>
      </c>
      <c r="J203" s="151">
        <f t="shared" ca="1" si="19"/>
        <v>7.8979522442845784E-5</v>
      </c>
      <c r="K203" s="150"/>
      <c r="L203" s="150"/>
      <c r="M203" s="133"/>
      <c r="P203" s="133"/>
    </row>
    <row r="204" spans="2:16" x14ac:dyDescent="0.2">
      <c r="B204" s="103">
        <v>159</v>
      </c>
      <c r="C204" s="103"/>
      <c r="D204" s="103">
        <v>159</v>
      </c>
      <c r="E204" s="132"/>
      <c r="F204" s="153"/>
      <c r="G204" s="153"/>
      <c r="H204" s="147">
        <f t="shared" si="18"/>
        <v>13.25</v>
      </c>
      <c r="I204" s="153">
        <f t="shared" ca="1" si="22"/>
        <v>1.9308419722357528E-2</v>
      </c>
      <c r="J204" s="151">
        <f t="shared" ca="1" si="19"/>
        <v>7.897316288951739E-5</v>
      </c>
      <c r="K204" s="150"/>
      <c r="L204" s="150"/>
      <c r="M204" s="133"/>
      <c r="P204" s="133"/>
    </row>
    <row r="205" spans="2:16" x14ac:dyDescent="0.2">
      <c r="B205" s="103">
        <v>160</v>
      </c>
      <c r="C205" s="103"/>
      <c r="D205" s="103">
        <v>160</v>
      </c>
      <c r="E205" s="132"/>
      <c r="F205" s="153"/>
      <c r="G205" s="153"/>
      <c r="H205" s="147">
        <f t="shared" si="18"/>
        <v>13.333333333333332</v>
      </c>
      <c r="I205" s="153">
        <f t="shared" ca="1" si="22"/>
        <v>1.9387386526205752E-2</v>
      </c>
      <c r="J205" s="151">
        <f t="shared" ca="1" si="19"/>
        <v>7.8966803848223854E-5</v>
      </c>
      <c r="K205" s="150"/>
      <c r="L205" s="150"/>
      <c r="M205" s="146"/>
      <c r="P205" s="133"/>
    </row>
    <row r="206" spans="2:16" x14ac:dyDescent="0.2">
      <c r="B206" s="103">
        <v>161</v>
      </c>
      <c r="C206" s="103"/>
      <c r="D206" s="103">
        <v>161</v>
      </c>
      <c r="E206" s="132"/>
      <c r="F206" s="153"/>
      <c r="G206" s="153"/>
      <c r="H206" s="147">
        <f t="shared" si="18"/>
        <v>13.416666666666666</v>
      </c>
      <c r="I206" s="153">
        <f t="shared" ca="1" si="22"/>
        <v>1.9466346971524717E-2</v>
      </c>
      <c r="J206" s="151">
        <f t="shared" ca="1" si="19"/>
        <v>7.8960445318965178E-5</v>
      </c>
      <c r="K206" s="150"/>
      <c r="L206" s="150"/>
      <c r="M206" s="133"/>
      <c r="P206" s="133"/>
    </row>
    <row r="207" spans="2:16" x14ac:dyDescent="0.2">
      <c r="B207" s="103">
        <v>162</v>
      </c>
      <c r="C207" s="103"/>
      <c r="D207" s="103">
        <v>162</v>
      </c>
      <c r="E207" s="132"/>
      <c r="F207" s="153"/>
      <c r="G207" s="153"/>
      <c r="H207" s="147">
        <f t="shared" si="18"/>
        <v>13.5</v>
      </c>
      <c r="I207" s="153">
        <f t="shared" ca="1" si="22"/>
        <v>1.9545301058826237E-2</v>
      </c>
      <c r="J207" s="151">
        <f t="shared" ca="1" si="19"/>
        <v>7.8954087301519316E-5</v>
      </c>
      <c r="K207" s="150"/>
      <c r="L207" s="150"/>
      <c r="M207" s="133"/>
      <c r="P207" s="133"/>
    </row>
    <row r="208" spans="2:16" x14ac:dyDescent="0.2">
      <c r="B208" s="103">
        <v>163</v>
      </c>
      <c r="C208" s="103"/>
      <c r="D208" s="103">
        <v>163</v>
      </c>
      <c r="E208" s="132"/>
      <c r="F208" s="153"/>
      <c r="G208" s="153"/>
      <c r="H208" s="147">
        <f t="shared" si="18"/>
        <v>13.583333333333332</v>
      </c>
      <c r="I208" s="153">
        <f t="shared" ca="1" si="22"/>
        <v>1.9624248788622678E-2</v>
      </c>
      <c r="J208" s="151">
        <f t="shared" ca="1" si="19"/>
        <v>7.8947729796441379E-5</v>
      </c>
      <c r="K208" s="150"/>
      <c r="L208" s="150"/>
      <c r="M208" s="146"/>
      <c r="P208" s="133"/>
    </row>
    <row r="209" spans="2:16" x14ac:dyDescent="0.2">
      <c r="B209" s="103">
        <v>164</v>
      </c>
      <c r="C209" s="103"/>
      <c r="D209" s="103">
        <v>164</v>
      </c>
      <c r="E209" s="132"/>
      <c r="F209" s="153"/>
      <c r="G209" s="153"/>
      <c r="H209" s="147">
        <f t="shared" si="18"/>
        <v>13.666666666666666</v>
      </c>
      <c r="I209" s="153">
        <f t="shared" ca="1" si="22"/>
        <v>1.9703190161425632E-2</v>
      </c>
      <c r="J209" s="151">
        <f t="shared" ca="1" si="19"/>
        <v>7.8941372802954213E-5</v>
      </c>
      <c r="K209" s="150"/>
      <c r="L209" s="150"/>
      <c r="M209" s="133"/>
      <c r="P209" s="133"/>
    </row>
    <row r="210" spans="2:16" x14ac:dyDescent="0.2">
      <c r="B210" s="103">
        <v>165</v>
      </c>
      <c r="C210" s="103"/>
      <c r="D210" s="103">
        <v>165</v>
      </c>
      <c r="E210" s="132"/>
      <c r="F210" s="153"/>
      <c r="G210" s="153"/>
      <c r="H210" s="147">
        <f t="shared" si="18"/>
        <v>13.75</v>
      </c>
      <c r="I210" s="153">
        <f t="shared" ca="1" si="22"/>
        <v>1.9782125177747023E-2</v>
      </c>
      <c r="J210" s="151">
        <f t="shared" ca="1" si="19"/>
        <v>7.8935016321390883E-5</v>
      </c>
      <c r="K210" s="150"/>
      <c r="L210" s="150"/>
      <c r="M210" s="133"/>
      <c r="P210" s="133"/>
    </row>
    <row r="211" spans="2:16" x14ac:dyDescent="0.2">
      <c r="B211" s="103">
        <v>166</v>
      </c>
      <c r="C211" s="103"/>
      <c r="D211" s="103">
        <v>166</v>
      </c>
      <c r="E211" s="132"/>
      <c r="F211" s="153"/>
      <c r="G211" s="153"/>
      <c r="H211" s="147">
        <f t="shared" si="18"/>
        <v>13.833333333333332</v>
      </c>
      <c r="I211" s="153">
        <f t="shared" ca="1" si="22"/>
        <v>1.9861053838098885E-2</v>
      </c>
      <c r="J211" s="151">
        <f t="shared" ca="1" si="19"/>
        <v>7.8928660351862412E-5</v>
      </c>
      <c r="K211" s="150"/>
      <c r="L211" s="150"/>
      <c r="M211" s="146"/>
      <c r="P211" s="133"/>
    </row>
    <row r="212" spans="2:16" x14ac:dyDescent="0.2">
      <c r="B212" s="103">
        <v>167</v>
      </c>
      <c r="C212" s="103"/>
      <c r="D212" s="103">
        <v>167</v>
      </c>
      <c r="E212" s="132"/>
      <c r="F212" s="153"/>
      <c r="G212" s="153"/>
      <c r="H212" s="147">
        <f t="shared" si="18"/>
        <v>13.916666666666666</v>
      </c>
      <c r="I212" s="153">
        <f t="shared" ca="1" si="22"/>
        <v>1.9939976142992699E-2</v>
      </c>
      <c r="J212" s="151">
        <f t="shared" ca="1" si="19"/>
        <v>7.8922304893813688E-5</v>
      </c>
      <c r="K212" s="150"/>
      <c r="L212" s="150"/>
      <c r="M212" s="133"/>
      <c r="P212" s="133"/>
    </row>
    <row r="213" spans="2:16" x14ac:dyDescent="0.2">
      <c r="B213" s="103">
        <v>168</v>
      </c>
      <c r="C213" s="103"/>
      <c r="D213" s="103">
        <v>168</v>
      </c>
      <c r="E213" s="132"/>
      <c r="F213" s="153"/>
      <c r="G213" s="153"/>
      <c r="H213" s="147">
        <f t="shared" si="18"/>
        <v>14</v>
      </c>
      <c r="I213" s="153">
        <f t="shared" ca="1" si="22"/>
        <v>2.0018892092940721E-2</v>
      </c>
      <c r="J213" s="151">
        <f t="shared" ca="1" si="19"/>
        <v>7.8915949948021868E-5</v>
      </c>
      <c r="K213" s="150"/>
      <c r="L213" s="150"/>
      <c r="M213" s="133"/>
      <c r="P213" s="133"/>
    </row>
    <row r="214" spans="2:16" x14ac:dyDescent="0.2">
      <c r="B214" s="103">
        <v>169</v>
      </c>
      <c r="C214" s="103"/>
      <c r="D214" s="103">
        <v>169</v>
      </c>
      <c r="E214" s="132"/>
      <c r="F214" s="153"/>
      <c r="G214" s="153"/>
      <c r="H214" s="147">
        <f t="shared" si="18"/>
        <v>14.083333333333332</v>
      </c>
      <c r="I214" s="153">
        <f ca="1">1-(1-$G$59)*((1-$G$60)/(1-$G$59))^(H214-1)</f>
        <v>2.198919912122943E-2</v>
      </c>
      <c r="J214" s="151">
        <f t="shared" ca="1" si="19"/>
        <v>1.9703070282887092E-3</v>
      </c>
      <c r="K214" s="150"/>
      <c r="L214" s="150"/>
      <c r="M214" s="146"/>
      <c r="P214" s="133"/>
    </row>
    <row r="215" spans="2:16" x14ac:dyDescent="0.2">
      <c r="B215" s="103">
        <v>170</v>
      </c>
      <c r="C215" s="103"/>
      <c r="D215" s="103">
        <v>170</v>
      </c>
      <c r="E215" s="132"/>
      <c r="F215" s="153"/>
      <c r="G215" s="153"/>
      <c r="H215" s="147">
        <f t="shared" si="18"/>
        <v>14.166666666666666</v>
      </c>
      <c r="I215" s="153">
        <f t="shared" ref="I215:I225" ca="1" si="23">1-(1-$G$59)*((1-$G$60)/(1-$G$59))^(H215-1)</f>
        <v>2.2073965622220082E-2</v>
      </c>
      <c r="J215" s="151">
        <f t="shared" ca="1" si="19"/>
        <v>8.476650099065175E-5</v>
      </c>
      <c r="K215" s="150"/>
      <c r="L215" s="150"/>
      <c r="M215" s="133"/>
      <c r="P215" s="133"/>
    </row>
    <row r="216" spans="2:16" x14ac:dyDescent="0.2">
      <c r="B216" s="103">
        <v>171</v>
      </c>
      <c r="C216" s="103"/>
      <c r="D216" s="103">
        <v>171</v>
      </c>
      <c r="E216" s="132"/>
      <c r="F216" s="153"/>
      <c r="G216" s="153"/>
      <c r="H216" s="147">
        <f t="shared" si="18"/>
        <v>14.25</v>
      </c>
      <c r="I216" s="153">
        <f t="shared" ca="1" si="23"/>
        <v>2.21587247762981E-2</v>
      </c>
      <c r="J216" s="151">
        <f t="shared" ca="1" si="19"/>
        <v>8.4759154078017929E-5</v>
      </c>
      <c r="K216" s="150"/>
      <c r="L216" s="150"/>
      <c r="M216" s="133"/>
      <c r="P216" s="133"/>
    </row>
    <row r="217" spans="2:16" x14ac:dyDescent="0.2">
      <c r="B217" s="103">
        <v>172</v>
      </c>
      <c r="C217" s="103"/>
      <c r="D217" s="103">
        <v>172</v>
      </c>
      <c r="E217" s="132"/>
      <c r="F217" s="153"/>
      <c r="G217" s="153"/>
      <c r="H217" s="147">
        <f t="shared" si="18"/>
        <v>14.333333333333332</v>
      </c>
      <c r="I217" s="153">
        <f t="shared" ca="1" si="23"/>
        <v>2.2243476584100641E-2</v>
      </c>
      <c r="J217" s="151">
        <f t="shared" ca="1" si="19"/>
        <v>8.4751807802541101E-5</v>
      </c>
      <c r="K217" s="150"/>
      <c r="L217" s="150"/>
      <c r="M217" s="146"/>
      <c r="P217" s="133"/>
    </row>
    <row r="218" spans="2:16" x14ac:dyDescent="0.2">
      <c r="B218" s="103">
        <v>173</v>
      </c>
      <c r="C218" s="103"/>
      <c r="D218" s="103">
        <v>173</v>
      </c>
      <c r="E218" s="132"/>
      <c r="F218" s="153"/>
      <c r="G218" s="153"/>
      <c r="H218" s="147">
        <f t="shared" si="18"/>
        <v>14.416666666666666</v>
      </c>
      <c r="I218" s="153">
        <f t="shared" ca="1" si="23"/>
        <v>2.2328221046264307E-2</v>
      </c>
      <c r="J218" s="151">
        <f t="shared" ca="1" si="19"/>
        <v>8.4744462163666157E-5</v>
      </c>
      <c r="K218" s="150"/>
      <c r="L218" s="150"/>
      <c r="M218" s="133"/>
      <c r="P218" s="133"/>
    </row>
    <row r="219" spans="2:16" x14ac:dyDescent="0.2">
      <c r="B219" s="103">
        <v>174</v>
      </c>
      <c r="C219" s="103"/>
      <c r="D219" s="103">
        <v>174</v>
      </c>
      <c r="E219" s="132"/>
      <c r="F219" s="153"/>
      <c r="G219" s="153"/>
      <c r="H219" s="147">
        <f t="shared" si="18"/>
        <v>14.5</v>
      </c>
      <c r="I219" s="153">
        <f t="shared" ca="1" si="23"/>
        <v>2.24129581634257E-2</v>
      </c>
      <c r="J219" s="151">
        <f t="shared" ca="1" si="19"/>
        <v>8.4737117161393094E-5</v>
      </c>
      <c r="K219" s="150"/>
      <c r="L219" s="150"/>
      <c r="M219" s="133"/>
      <c r="P219" s="133"/>
    </row>
    <row r="220" spans="2:16" x14ac:dyDescent="0.2">
      <c r="B220" s="103">
        <v>175</v>
      </c>
      <c r="C220" s="103"/>
      <c r="D220" s="103">
        <v>175</v>
      </c>
      <c r="E220" s="132"/>
      <c r="F220" s="153"/>
      <c r="G220" s="153"/>
      <c r="H220" s="147">
        <f t="shared" si="18"/>
        <v>14.583333333333332</v>
      </c>
      <c r="I220" s="153">
        <f t="shared" ca="1" si="23"/>
        <v>2.2497687936221311E-2</v>
      </c>
      <c r="J220" s="151">
        <f t="shared" ca="1" si="19"/>
        <v>8.4729772795610891E-5</v>
      </c>
      <c r="K220" s="150"/>
      <c r="L220" s="150"/>
      <c r="M220" s="146"/>
      <c r="P220" s="133"/>
    </row>
    <row r="221" spans="2:16" x14ac:dyDescent="0.2">
      <c r="B221" s="103">
        <v>176</v>
      </c>
      <c r="C221" s="103"/>
      <c r="D221" s="103">
        <v>176</v>
      </c>
      <c r="E221" s="132"/>
      <c r="F221" s="153"/>
      <c r="G221" s="153"/>
      <c r="H221" s="147">
        <f t="shared" si="18"/>
        <v>14.666666666666666</v>
      </c>
      <c r="I221" s="153">
        <f t="shared" ca="1" si="23"/>
        <v>2.2582410365287964E-2</v>
      </c>
      <c r="J221" s="151">
        <f t="shared" ca="1" si="19"/>
        <v>8.4722429066652616E-5</v>
      </c>
      <c r="K221" s="150"/>
      <c r="L221" s="150"/>
      <c r="M221" s="133"/>
      <c r="P221" s="133"/>
    </row>
    <row r="222" spans="2:16" x14ac:dyDescent="0.2">
      <c r="B222" s="103">
        <v>177</v>
      </c>
      <c r="C222" s="103"/>
      <c r="D222" s="103">
        <v>177</v>
      </c>
      <c r="E222" s="132"/>
      <c r="F222" s="153"/>
      <c r="G222" s="153"/>
      <c r="H222" s="147">
        <f t="shared" si="18"/>
        <v>14.75</v>
      </c>
      <c r="I222" s="153">
        <f t="shared" ca="1" si="23"/>
        <v>2.2667125451262038E-2</v>
      </c>
      <c r="J222" s="151">
        <f t="shared" ca="1" si="19"/>
        <v>8.4715085974074178E-5</v>
      </c>
      <c r="K222" s="150"/>
      <c r="L222" s="150"/>
      <c r="M222" s="133"/>
      <c r="P222" s="133"/>
    </row>
    <row r="223" spans="2:16" x14ac:dyDescent="0.2">
      <c r="B223" s="103">
        <v>178</v>
      </c>
      <c r="C223" s="103"/>
      <c r="D223" s="103">
        <v>178</v>
      </c>
      <c r="E223" s="132"/>
      <c r="F223" s="153"/>
      <c r="G223" s="153"/>
      <c r="H223" s="147">
        <f t="shared" si="18"/>
        <v>14.833333333333332</v>
      </c>
      <c r="I223" s="153">
        <f t="shared" ca="1" si="23"/>
        <v>2.2751833194779914E-2</v>
      </c>
      <c r="J223" s="151">
        <f t="shared" ca="1" si="19"/>
        <v>8.4707743517875578E-5</v>
      </c>
      <c r="K223" s="150"/>
      <c r="L223" s="150"/>
      <c r="M223" s="146"/>
      <c r="P223" s="133"/>
    </row>
    <row r="224" spans="2:16" x14ac:dyDescent="0.2">
      <c r="B224" s="103">
        <v>179</v>
      </c>
      <c r="C224" s="103"/>
      <c r="D224" s="103">
        <v>179</v>
      </c>
      <c r="E224" s="132"/>
      <c r="F224" s="153"/>
      <c r="G224" s="153"/>
      <c r="H224" s="147">
        <f t="shared" si="18"/>
        <v>14.916666666666666</v>
      </c>
      <c r="I224" s="153">
        <f t="shared" ca="1" si="23"/>
        <v>2.283653359647797E-2</v>
      </c>
      <c r="J224" s="151">
        <f t="shared" ca="1" si="19"/>
        <v>8.4700401698056815E-5</v>
      </c>
      <c r="K224" s="150"/>
      <c r="L224" s="150"/>
      <c r="M224" s="133"/>
      <c r="P224" s="133"/>
    </row>
    <row r="225" spans="2:16" x14ac:dyDescent="0.2">
      <c r="B225" s="103">
        <v>180</v>
      </c>
      <c r="C225" s="103"/>
      <c r="D225" s="103">
        <v>180</v>
      </c>
      <c r="E225" s="132"/>
      <c r="F225" s="153"/>
      <c r="G225" s="153"/>
      <c r="H225" s="147">
        <f t="shared" si="18"/>
        <v>15</v>
      </c>
      <c r="I225" s="153">
        <f t="shared" ca="1" si="23"/>
        <v>2.2921226656992588E-2</v>
      </c>
      <c r="J225" s="151">
        <f t="shared" ca="1" si="19"/>
        <v>8.4693060514617891E-5</v>
      </c>
      <c r="K225" s="150"/>
      <c r="L225" s="150"/>
      <c r="M225" s="133"/>
      <c r="P225" s="133"/>
    </row>
    <row r="226" spans="2:16" x14ac:dyDescent="0.2">
      <c r="B226" s="103">
        <v>181</v>
      </c>
      <c r="C226" s="103"/>
      <c r="D226" s="103">
        <v>181</v>
      </c>
      <c r="E226" s="132"/>
      <c r="F226" s="153"/>
      <c r="G226" s="153"/>
      <c r="H226" s="147">
        <f t="shared" si="18"/>
        <v>15.083333333333332</v>
      </c>
      <c r="I226" s="153">
        <f ca="1">1-(1-$G$60)*((1-$G$61)/(1-$G$60))^(H226-1)</f>
        <v>2.5063578117982543E-2</v>
      </c>
      <c r="J226" s="151">
        <f t="shared" ca="1" si="19"/>
        <v>2.1423514609899552E-3</v>
      </c>
      <c r="K226" s="150"/>
      <c r="L226" s="150"/>
      <c r="M226" s="146"/>
      <c r="P226" s="133"/>
    </row>
    <row r="227" spans="2:16" x14ac:dyDescent="0.2">
      <c r="B227" s="103">
        <v>182</v>
      </c>
      <c r="C227" s="103"/>
      <c r="D227" s="103">
        <v>182</v>
      </c>
      <c r="E227" s="132"/>
      <c r="F227" s="153"/>
      <c r="G227" s="153"/>
      <c r="H227" s="147">
        <f t="shared" si="18"/>
        <v>15.166666666666666</v>
      </c>
      <c r="I227" s="153">
        <f t="shared" ref="I227:I237" ca="1" si="24">1-(1-$G$60)*((1-$G$61)/(1-$G$60))^(H227-1)</f>
        <v>2.5154240045384357E-2</v>
      </c>
      <c r="J227" s="151">
        <f t="shared" ca="1" si="19"/>
        <v>9.0661927401813891E-5</v>
      </c>
      <c r="K227" s="150"/>
      <c r="L227" s="150"/>
      <c r="M227" s="133"/>
      <c r="P227" s="133"/>
    </row>
    <row r="228" spans="2:16" x14ac:dyDescent="0.2">
      <c r="B228" s="103">
        <v>183</v>
      </c>
      <c r="C228" s="103"/>
      <c r="D228" s="103">
        <v>183</v>
      </c>
      <c r="E228" s="132"/>
      <c r="F228" s="153"/>
      <c r="G228" s="153"/>
      <c r="H228" s="147">
        <f t="shared" si="18"/>
        <v>15.25</v>
      </c>
      <c r="I228" s="153">
        <f t="shared" ca="1" si="24"/>
        <v>2.5244893541892743E-2</v>
      </c>
      <c r="J228" s="151">
        <f t="shared" ca="1" si="19"/>
        <v>9.0653496508386056E-5</v>
      </c>
      <c r="K228" s="150"/>
      <c r="L228" s="150"/>
      <c r="M228" s="133"/>
      <c r="P228" s="133"/>
    </row>
    <row r="229" spans="2:16" x14ac:dyDescent="0.2">
      <c r="B229" s="103">
        <v>184</v>
      </c>
      <c r="C229" s="103"/>
      <c r="D229" s="103">
        <v>184</v>
      </c>
      <c r="E229" s="132"/>
      <c r="F229" s="153"/>
      <c r="G229" s="153"/>
      <c r="H229" s="147">
        <f t="shared" si="18"/>
        <v>15.333333333333332</v>
      </c>
      <c r="I229" s="153">
        <f t="shared" ca="1" si="24"/>
        <v>2.5335538608291519E-2</v>
      </c>
      <c r="J229" s="151">
        <f t="shared" ca="1" si="19"/>
        <v>9.0645066398775676E-5</v>
      </c>
      <c r="K229" s="150"/>
      <c r="L229" s="150"/>
      <c r="M229" s="146"/>
      <c r="P229" s="133"/>
    </row>
    <row r="230" spans="2:16" x14ac:dyDescent="0.2">
      <c r="B230" s="103">
        <v>185</v>
      </c>
      <c r="C230" s="103"/>
      <c r="D230" s="103">
        <v>185</v>
      </c>
      <c r="E230" s="132"/>
      <c r="F230" s="153"/>
      <c r="G230" s="153"/>
      <c r="H230" s="147">
        <f t="shared" si="18"/>
        <v>15.416666666666666</v>
      </c>
      <c r="I230" s="153">
        <f t="shared" ca="1" si="24"/>
        <v>2.5426175245364946E-2</v>
      </c>
      <c r="J230" s="151">
        <f t="shared" ca="1" si="19"/>
        <v>9.063663707342684E-5</v>
      </c>
      <c r="K230" s="150"/>
      <c r="L230" s="150"/>
      <c r="M230" s="133"/>
      <c r="P230" s="133"/>
    </row>
    <row r="231" spans="2:16" x14ac:dyDescent="0.2">
      <c r="B231" s="103">
        <v>186</v>
      </c>
      <c r="C231" s="103"/>
      <c r="D231" s="103">
        <v>186</v>
      </c>
      <c r="E231" s="132"/>
      <c r="F231" s="153"/>
      <c r="G231" s="153"/>
      <c r="H231" s="147">
        <f t="shared" si="18"/>
        <v>15.5</v>
      </c>
      <c r="I231" s="153">
        <f t="shared" ca="1" si="24"/>
        <v>2.5516803453896841E-2</v>
      </c>
      <c r="J231" s="151">
        <f t="shared" ca="1" si="19"/>
        <v>9.062820853189546E-5</v>
      </c>
      <c r="K231" s="150"/>
      <c r="L231" s="150"/>
      <c r="M231" s="133"/>
      <c r="P231" s="133"/>
    </row>
    <row r="232" spans="2:16" x14ac:dyDescent="0.2">
      <c r="B232" s="103">
        <v>187</v>
      </c>
      <c r="C232" s="103"/>
      <c r="D232" s="103">
        <v>187</v>
      </c>
      <c r="E232" s="132"/>
      <c r="F232" s="153"/>
      <c r="G232" s="153"/>
      <c r="H232" s="147">
        <f t="shared" si="18"/>
        <v>15.583333333333332</v>
      </c>
      <c r="I232" s="153">
        <f t="shared" ca="1" si="24"/>
        <v>2.5607423234670801E-2</v>
      </c>
      <c r="J232" s="151">
        <f t="shared" ca="1" si="19"/>
        <v>9.0619780773959491E-5</v>
      </c>
      <c r="K232" s="150"/>
      <c r="L232" s="150"/>
      <c r="M232" s="146"/>
      <c r="P232" s="133"/>
    </row>
    <row r="233" spans="2:16" x14ac:dyDescent="0.2">
      <c r="B233" s="103">
        <v>188</v>
      </c>
      <c r="C233" s="103"/>
      <c r="D233" s="103">
        <v>188</v>
      </c>
      <c r="E233" s="132"/>
      <c r="F233" s="153"/>
      <c r="G233" s="153"/>
      <c r="H233" s="147">
        <f t="shared" si="18"/>
        <v>15.666666666666666</v>
      </c>
      <c r="I233" s="153">
        <f t="shared" ca="1" si="24"/>
        <v>2.5698034588470642E-2</v>
      </c>
      <c r="J233" s="151">
        <f t="shared" ca="1" si="19"/>
        <v>9.0611353799840977E-5</v>
      </c>
      <c r="K233" s="150"/>
      <c r="L233" s="150"/>
      <c r="M233" s="133"/>
      <c r="P233" s="133"/>
    </row>
    <row r="234" spans="2:16" x14ac:dyDescent="0.2">
      <c r="B234" s="103">
        <v>189</v>
      </c>
      <c r="C234" s="103"/>
      <c r="D234" s="103">
        <v>189</v>
      </c>
      <c r="E234" s="132"/>
      <c r="F234" s="153"/>
      <c r="G234" s="153"/>
      <c r="H234" s="147">
        <f t="shared" si="18"/>
        <v>15.75</v>
      </c>
      <c r="I234" s="153">
        <f t="shared" ca="1" si="24"/>
        <v>2.578863751607996E-2</v>
      </c>
      <c r="J234" s="151">
        <f t="shared" ca="1" si="19"/>
        <v>9.0602927609317874E-5</v>
      </c>
      <c r="K234" s="150"/>
      <c r="L234" s="150"/>
      <c r="M234" s="133"/>
      <c r="P234" s="133"/>
    </row>
    <row r="235" spans="2:16" x14ac:dyDescent="0.2">
      <c r="B235" s="103">
        <v>190</v>
      </c>
      <c r="C235" s="103"/>
      <c r="D235" s="103">
        <v>190</v>
      </c>
      <c r="E235" s="132"/>
      <c r="F235" s="153"/>
      <c r="G235" s="153"/>
      <c r="H235" s="147">
        <f t="shared" si="18"/>
        <v>15.833333333333332</v>
      </c>
      <c r="I235" s="153">
        <f t="shared" ca="1" si="24"/>
        <v>2.5879232018282572E-2</v>
      </c>
      <c r="J235" s="151">
        <f t="shared" ca="1" si="19"/>
        <v>9.0594502202612226E-5</v>
      </c>
      <c r="K235" s="150"/>
      <c r="L235" s="150"/>
      <c r="M235" s="146"/>
      <c r="P235" s="133"/>
    </row>
    <row r="236" spans="2:16" x14ac:dyDescent="0.2">
      <c r="B236" s="103">
        <v>191</v>
      </c>
      <c r="C236" s="103"/>
      <c r="D236" s="103">
        <v>191</v>
      </c>
      <c r="E236" s="132"/>
      <c r="F236" s="153"/>
      <c r="G236" s="153"/>
      <c r="H236" s="147">
        <f t="shared" si="18"/>
        <v>15.916666666666666</v>
      </c>
      <c r="I236" s="153">
        <f t="shared" ca="1" si="24"/>
        <v>2.5969818095861741E-2</v>
      </c>
      <c r="J236" s="151">
        <f t="shared" ca="1" si="19"/>
        <v>9.0586077579168922E-5</v>
      </c>
      <c r="K236" s="150"/>
      <c r="L236" s="150"/>
      <c r="M236" s="133"/>
      <c r="P236" s="133"/>
    </row>
    <row r="237" spans="2:16" x14ac:dyDescent="0.2">
      <c r="B237" s="103">
        <v>192</v>
      </c>
      <c r="C237" s="103"/>
      <c r="D237" s="103">
        <v>192</v>
      </c>
      <c r="E237" s="132"/>
      <c r="F237" s="153"/>
      <c r="G237" s="153"/>
      <c r="H237" s="147">
        <f t="shared" si="18"/>
        <v>16</v>
      </c>
      <c r="I237" s="153">
        <f t="shared" ca="1" si="24"/>
        <v>2.6060395749600507E-2</v>
      </c>
      <c r="J237" s="151">
        <f t="shared" ca="1" si="19"/>
        <v>9.0577653738765918E-5</v>
      </c>
      <c r="K237" s="150"/>
      <c r="L237" s="150"/>
      <c r="M237" s="133"/>
      <c r="P237" s="133"/>
    </row>
    <row r="238" spans="2:16" x14ac:dyDescent="0.2">
      <c r="B238" s="103">
        <v>193</v>
      </c>
      <c r="C238" s="103"/>
      <c r="D238" s="103">
        <v>193</v>
      </c>
      <c r="E238" s="132"/>
      <c r="F238" s="153"/>
      <c r="G238" s="153"/>
      <c r="H238" s="147">
        <f t="shared" si="18"/>
        <v>16.083333333333332</v>
      </c>
      <c r="I238" s="153">
        <f ca="1">1-(1-$G$61)*((1-$G$62)/(1-$G$61))^(H238-1)</f>
        <v>2.8372874979748941E-2</v>
      </c>
      <c r="J238" s="151">
        <f t="shared" ca="1" si="19"/>
        <v>2.3124792301484343E-3</v>
      </c>
      <c r="K238" s="150"/>
      <c r="L238" s="150"/>
      <c r="M238" s="146"/>
      <c r="P238" s="133"/>
    </row>
    <row r="239" spans="2:16" x14ac:dyDescent="0.2">
      <c r="B239" s="103">
        <v>194</v>
      </c>
      <c r="C239" s="103"/>
      <c r="D239" s="103">
        <v>194</v>
      </c>
      <c r="E239" s="132"/>
      <c r="F239" s="153"/>
      <c r="G239" s="153"/>
      <c r="H239" s="147">
        <f t="shared" si="18"/>
        <v>16.166666666666664</v>
      </c>
      <c r="I239" s="153">
        <f t="shared" ref="I239:I249" ca="1" si="25">1-(1-$G$61)*((1-$G$62)/(1-$G$61))^(H239-1)</f>
        <v>2.8469499683220767E-2</v>
      </c>
      <c r="J239" s="151">
        <f t="shared" ca="1" si="19"/>
        <v>9.6624703471825946E-5</v>
      </c>
      <c r="K239" s="150"/>
      <c r="L239" s="150"/>
      <c r="M239" s="133"/>
      <c r="P239" s="133"/>
    </row>
    <row r="240" spans="2:16" x14ac:dyDescent="0.2">
      <c r="B240" s="103">
        <v>195</v>
      </c>
      <c r="C240" s="103"/>
      <c r="D240" s="103">
        <v>195</v>
      </c>
      <c r="E240" s="132"/>
      <c r="F240" s="153"/>
      <c r="G240" s="153"/>
      <c r="H240" s="147">
        <f t="shared" ref="H240:H303" si="26">$C$44*B240</f>
        <v>16.25</v>
      </c>
      <c r="I240" s="153">
        <f t="shared" ca="1" si="25"/>
        <v>2.8566114777725415E-2</v>
      </c>
      <c r="J240" s="151">
        <f t="shared" ref="J240:J303" ca="1" si="27">I240-I239</f>
        <v>9.6615094504648447E-5</v>
      </c>
      <c r="K240" s="150"/>
      <c r="L240" s="150"/>
      <c r="M240" s="133"/>
      <c r="P240" s="133"/>
    </row>
    <row r="241" spans="2:16" x14ac:dyDescent="0.2">
      <c r="B241" s="103">
        <v>196</v>
      </c>
      <c r="C241" s="103"/>
      <c r="D241" s="103">
        <v>196</v>
      </c>
      <c r="E241" s="132"/>
      <c r="F241" s="153"/>
      <c r="G241" s="153"/>
      <c r="H241" s="147">
        <f t="shared" si="26"/>
        <v>16.333333333333332</v>
      </c>
      <c r="I241" s="153">
        <f t="shared" ca="1" si="25"/>
        <v>2.8662720264218233E-2</v>
      </c>
      <c r="J241" s="151">
        <f t="shared" ca="1" si="27"/>
        <v>9.660548649281786E-5</v>
      </c>
      <c r="K241" s="150"/>
      <c r="L241" s="150"/>
      <c r="M241" s="146"/>
      <c r="P241" s="133"/>
    </row>
    <row r="242" spans="2:16" x14ac:dyDescent="0.2">
      <c r="B242" s="103">
        <v>197</v>
      </c>
      <c r="C242" s="103"/>
      <c r="D242" s="103">
        <v>197</v>
      </c>
      <c r="E242" s="132"/>
      <c r="F242" s="153"/>
      <c r="G242" s="153"/>
      <c r="H242" s="147">
        <f t="shared" si="26"/>
        <v>16.416666666666664</v>
      </c>
      <c r="I242" s="153">
        <f t="shared" ca="1" si="25"/>
        <v>2.8759316143654789E-2</v>
      </c>
      <c r="J242" s="151">
        <f t="shared" ca="1" si="27"/>
        <v>9.6595879436556231E-5</v>
      </c>
      <c r="K242" s="150"/>
      <c r="L242" s="150"/>
      <c r="M242" s="133"/>
      <c r="P242" s="133"/>
    </row>
    <row r="243" spans="2:16" x14ac:dyDescent="0.2">
      <c r="B243" s="103">
        <v>198</v>
      </c>
      <c r="C243" s="103"/>
      <c r="D243" s="103">
        <v>198</v>
      </c>
      <c r="E243" s="132"/>
      <c r="F243" s="153"/>
      <c r="G243" s="153"/>
      <c r="H243" s="147">
        <f t="shared" si="26"/>
        <v>16.5</v>
      </c>
      <c r="I243" s="153">
        <f t="shared" ca="1" si="25"/>
        <v>2.8855902416990431E-2</v>
      </c>
      <c r="J243" s="151">
        <f t="shared" ca="1" si="27"/>
        <v>9.6586273335641515E-5</v>
      </c>
      <c r="K243" s="150"/>
      <c r="L243" s="150"/>
      <c r="M243" s="133"/>
      <c r="P243" s="133"/>
    </row>
    <row r="244" spans="2:16" x14ac:dyDescent="0.2">
      <c r="B244" s="103">
        <v>199</v>
      </c>
      <c r="C244" s="103"/>
      <c r="D244" s="103">
        <v>199</v>
      </c>
      <c r="E244" s="132"/>
      <c r="F244" s="153"/>
      <c r="G244" s="153"/>
      <c r="H244" s="147">
        <f t="shared" si="26"/>
        <v>16.583333333333332</v>
      </c>
      <c r="I244" s="153">
        <f t="shared" ca="1" si="25"/>
        <v>2.8952479085180394E-2</v>
      </c>
      <c r="J244" s="151">
        <f t="shared" ca="1" si="27"/>
        <v>9.6576668189962689E-5</v>
      </c>
      <c r="K244" s="150"/>
      <c r="L244" s="150"/>
      <c r="M244" s="146"/>
      <c r="P244" s="133"/>
    </row>
    <row r="245" spans="2:16" x14ac:dyDescent="0.2">
      <c r="B245" s="103">
        <v>200</v>
      </c>
      <c r="C245" s="103"/>
      <c r="D245" s="103">
        <v>200</v>
      </c>
      <c r="E245" s="132"/>
      <c r="F245" s="153"/>
      <c r="G245" s="153"/>
      <c r="H245" s="147">
        <f t="shared" si="26"/>
        <v>16.666666666666664</v>
      </c>
      <c r="I245" s="153">
        <f t="shared" ca="1" si="25"/>
        <v>2.9049046149180024E-2</v>
      </c>
      <c r="J245" s="151">
        <f t="shared" ca="1" si="27"/>
        <v>9.6567063999630776E-5</v>
      </c>
      <c r="K245" s="150"/>
      <c r="L245" s="150"/>
      <c r="M245" s="133"/>
      <c r="P245" s="133"/>
    </row>
    <row r="246" spans="2:16" x14ac:dyDescent="0.2">
      <c r="B246" s="103">
        <v>201</v>
      </c>
      <c r="C246" s="103"/>
      <c r="D246" s="103">
        <v>201</v>
      </c>
      <c r="E246" s="132"/>
      <c r="F246" s="153"/>
      <c r="G246" s="153"/>
      <c r="H246" s="147">
        <f t="shared" si="26"/>
        <v>16.75</v>
      </c>
      <c r="I246" s="153">
        <f t="shared" ca="1" si="25"/>
        <v>2.9145603609944337E-2</v>
      </c>
      <c r="J246" s="151">
        <f t="shared" ca="1" si="27"/>
        <v>9.6557460764312708E-5</v>
      </c>
      <c r="K246" s="150"/>
      <c r="L246" s="150"/>
      <c r="M246" s="133"/>
      <c r="P246" s="133"/>
    </row>
    <row r="247" spans="2:16" x14ac:dyDescent="0.2">
      <c r="B247" s="103">
        <v>202</v>
      </c>
      <c r="C247" s="103"/>
      <c r="D247" s="103">
        <v>202</v>
      </c>
      <c r="E247" s="132"/>
      <c r="F247" s="153"/>
      <c r="G247" s="153"/>
      <c r="H247" s="147">
        <f t="shared" si="26"/>
        <v>16.833333333333332</v>
      </c>
      <c r="I247" s="153">
        <f t="shared" ca="1" si="25"/>
        <v>2.9242151468428235E-2</v>
      </c>
      <c r="J247" s="151">
        <f t="shared" ca="1" si="27"/>
        <v>9.6547858483897464E-5</v>
      </c>
      <c r="K247" s="150"/>
      <c r="L247" s="150"/>
      <c r="M247" s="146"/>
      <c r="P247" s="133"/>
    </row>
    <row r="248" spans="2:16" x14ac:dyDescent="0.2">
      <c r="B248" s="103">
        <v>203</v>
      </c>
      <c r="C248" s="103"/>
      <c r="D248" s="103">
        <v>203</v>
      </c>
      <c r="E248" s="132"/>
      <c r="F248" s="153"/>
      <c r="G248" s="153"/>
      <c r="H248" s="147">
        <f t="shared" si="26"/>
        <v>16.916666666666664</v>
      </c>
      <c r="I248" s="153">
        <f t="shared" ca="1" si="25"/>
        <v>2.9338689725586842E-2</v>
      </c>
      <c r="J248" s="151">
        <f t="shared" ca="1" si="27"/>
        <v>9.6538257158607088E-5</v>
      </c>
      <c r="K248" s="150"/>
      <c r="L248" s="150"/>
      <c r="M248" s="133"/>
      <c r="P248" s="133"/>
    </row>
    <row r="249" spans="2:16" x14ac:dyDescent="0.2">
      <c r="B249" s="103">
        <v>204</v>
      </c>
      <c r="C249" s="103"/>
      <c r="D249" s="103">
        <v>204</v>
      </c>
      <c r="E249" s="132"/>
      <c r="F249" s="153"/>
      <c r="G249" s="153"/>
      <c r="H249" s="147">
        <f t="shared" si="26"/>
        <v>17</v>
      </c>
      <c r="I249" s="153">
        <f t="shared" ca="1" si="25"/>
        <v>2.943521838237495E-2</v>
      </c>
      <c r="J249" s="151">
        <f t="shared" ca="1" si="27"/>
        <v>9.6528656788108513E-5</v>
      </c>
      <c r="K249" s="150"/>
      <c r="L249" s="150"/>
      <c r="M249" s="133"/>
      <c r="P249" s="133"/>
    </row>
    <row r="250" spans="2:16" x14ac:dyDescent="0.2">
      <c r="B250" s="103">
        <v>205</v>
      </c>
      <c r="C250" s="103"/>
      <c r="D250" s="103">
        <v>205</v>
      </c>
      <c r="E250" s="132"/>
      <c r="F250" s="153"/>
      <c r="G250" s="153"/>
      <c r="H250" s="147">
        <f t="shared" si="26"/>
        <v>17.083333333333332</v>
      </c>
      <c r="I250" s="153">
        <f ca="1">1-(1-$G$62)*((1-$G$63)/(1-$G$62))^(H250-1)</f>
        <v>3.1914567071232525E-2</v>
      </c>
      <c r="J250" s="151">
        <f t="shared" ca="1" si="27"/>
        <v>2.4793486888575744E-3</v>
      </c>
      <c r="K250" s="150"/>
      <c r="L250" s="150"/>
      <c r="M250" s="146"/>
      <c r="P250" s="133"/>
    </row>
    <row r="251" spans="2:16" x14ac:dyDescent="0.2">
      <c r="B251" s="103">
        <v>206</v>
      </c>
      <c r="C251" s="103"/>
      <c r="D251" s="103">
        <v>206</v>
      </c>
      <c r="E251" s="132"/>
      <c r="F251" s="153"/>
      <c r="G251" s="153"/>
      <c r="H251" s="147">
        <f t="shared" si="26"/>
        <v>17.166666666666664</v>
      </c>
      <c r="I251" s="153">
        <f t="shared" ref="I251:I261" ca="1" si="28">1-(1-$G$62)*((1-$G$63)/(1-$G$62))^(H251-1)</f>
        <v>3.201718386049579E-2</v>
      </c>
      <c r="J251" s="151">
        <f t="shared" ca="1" si="27"/>
        <v>1.0261678926326567E-4</v>
      </c>
      <c r="K251" s="150"/>
      <c r="L251" s="150"/>
      <c r="M251" s="133"/>
      <c r="P251" s="133"/>
    </row>
    <row r="252" spans="2:16" x14ac:dyDescent="0.2">
      <c r="B252" s="103">
        <v>207</v>
      </c>
      <c r="C252" s="103"/>
      <c r="D252" s="103">
        <v>207</v>
      </c>
      <c r="E252" s="132"/>
      <c r="F252" s="153"/>
      <c r="G252" s="153"/>
      <c r="H252" s="147">
        <f t="shared" si="26"/>
        <v>17.25</v>
      </c>
      <c r="I252" s="153">
        <f t="shared" ca="1" si="28"/>
        <v>3.2119789772407592E-2</v>
      </c>
      <c r="J252" s="151">
        <f t="shared" ca="1" si="27"/>
        <v>1.0260591191180168E-4</v>
      </c>
      <c r="K252" s="150"/>
      <c r="L252" s="150"/>
      <c r="M252" s="133"/>
      <c r="P252" s="133"/>
    </row>
    <row r="253" spans="2:16" x14ac:dyDescent="0.2">
      <c r="B253" s="103">
        <v>208</v>
      </c>
      <c r="C253" s="103"/>
      <c r="D253" s="103">
        <v>208</v>
      </c>
      <c r="E253" s="132"/>
      <c r="F253" s="153"/>
      <c r="G253" s="153"/>
      <c r="H253" s="147">
        <f t="shared" si="26"/>
        <v>17.333333333333332</v>
      </c>
      <c r="I253" s="153">
        <f t="shared" ca="1" si="28"/>
        <v>3.2222384808121007E-2</v>
      </c>
      <c r="J253" s="151">
        <f t="shared" ca="1" si="27"/>
        <v>1.0259503571341533E-4</v>
      </c>
      <c r="K253" s="150"/>
      <c r="L253" s="150"/>
      <c r="M253" s="146"/>
      <c r="P253" s="133"/>
    </row>
    <row r="254" spans="2:16" x14ac:dyDescent="0.2">
      <c r="B254" s="103">
        <v>209</v>
      </c>
      <c r="C254" s="103"/>
      <c r="D254" s="103">
        <v>209</v>
      </c>
      <c r="E254" s="132"/>
      <c r="F254" s="153"/>
      <c r="G254" s="153"/>
      <c r="H254" s="147">
        <f t="shared" si="26"/>
        <v>17.416666666666664</v>
      </c>
      <c r="I254" s="153">
        <f t="shared" ca="1" si="28"/>
        <v>3.2324968968788892E-2</v>
      </c>
      <c r="J254" s="151">
        <f t="shared" ca="1" si="27"/>
        <v>1.0258416066788456E-4</v>
      </c>
      <c r="K254" s="150"/>
      <c r="L254" s="150"/>
      <c r="M254" s="133"/>
      <c r="P254" s="133"/>
    </row>
    <row r="255" spans="2:16" x14ac:dyDescent="0.2">
      <c r="B255" s="103">
        <v>210</v>
      </c>
      <c r="C255" s="103"/>
      <c r="D255" s="103">
        <v>210</v>
      </c>
      <c r="E255" s="132"/>
      <c r="F255" s="153"/>
      <c r="G255" s="153"/>
      <c r="H255" s="147">
        <f t="shared" si="26"/>
        <v>17.5</v>
      </c>
      <c r="I255" s="153">
        <f t="shared" ca="1" si="28"/>
        <v>3.242754225556399E-2</v>
      </c>
      <c r="J255" s="151">
        <f t="shared" ca="1" si="27"/>
        <v>1.0257328677509836E-4</v>
      </c>
      <c r="K255" s="150"/>
      <c r="L255" s="150"/>
      <c r="M255" s="133"/>
      <c r="P255" s="133"/>
    </row>
    <row r="256" spans="2:16" x14ac:dyDescent="0.2">
      <c r="B256" s="103">
        <v>211</v>
      </c>
      <c r="C256" s="103"/>
      <c r="D256" s="103">
        <v>211</v>
      </c>
      <c r="E256" s="132"/>
      <c r="F256" s="153"/>
      <c r="G256" s="153"/>
      <c r="H256" s="147">
        <f t="shared" si="26"/>
        <v>17.583333333333332</v>
      </c>
      <c r="I256" s="153">
        <f t="shared" ca="1" si="28"/>
        <v>3.2530104669598936E-2</v>
      </c>
      <c r="J256" s="151">
        <f t="shared" ca="1" si="27"/>
        <v>1.025624140349457E-4</v>
      </c>
      <c r="K256" s="150"/>
      <c r="L256" s="150"/>
      <c r="M256" s="146"/>
      <c r="P256" s="133"/>
    </row>
    <row r="257" spans="2:16" x14ac:dyDescent="0.2">
      <c r="B257" s="103">
        <v>212</v>
      </c>
      <c r="C257" s="103"/>
      <c r="D257" s="103">
        <v>212</v>
      </c>
      <c r="E257" s="132"/>
      <c r="F257" s="153"/>
      <c r="G257" s="153"/>
      <c r="H257" s="147">
        <f t="shared" si="26"/>
        <v>17.666666666666664</v>
      </c>
      <c r="I257" s="153">
        <f t="shared" ca="1" si="28"/>
        <v>3.2632656212046363E-2</v>
      </c>
      <c r="J257" s="151">
        <f t="shared" ca="1" si="27"/>
        <v>1.0255154244742659E-4</v>
      </c>
      <c r="K257" s="150"/>
      <c r="L257" s="150"/>
      <c r="M257" s="133"/>
      <c r="P257" s="133"/>
    </row>
    <row r="258" spans="2:16" x14ac:dyDescent="0.2">
      <c r="B258" s="103">
        <v>213</v>
      </c>
      <c r="C258" s="103"/>
      <c r="D258" s="103">
        <v>213</v>
      </c>
      <c r="E258" s="132"/>
      <c r="F258" s="153"/>
      <c r="G258" s="153"/>
      <c r="H258" s="147">
        <f t="shared" si="26"/>
        <v>17.75</v>
      </c>
      <c r="I258" s="153">
        <f t="shared" ca="1" si="28"/>
        <v>3.273519688405846E-2</v>
      </c>
      <c r="J258" s="151">
        <f t="shared" ca="1" si="27"/>
        <v>1.0254067201209693E-4</v>
      </c>
      <c r="K258" s="150"/>
      <c r="L258" s="150"/>
      <c r="M258" s="133"/>
      <c r="P258" s="133"/>
    </row>
    <row r="259" spans="2:16" x14ac:dyDescent="0.2">
      <c r="B259" s="103">
        <v>214</v>
      </c>
      <c r="C259" s="103"/>
      <c r="D259" s="103">
        <v>214</v>
      </c>
      <c r="E259" s="132"/>
      <c r="F259" s="153"/>
      <c r="G259" s="153"/>
      <c r="H259" s="147">
        <f t="shared" si="26"/>
        <v>17.833333333333332</v>
      </c>
      <c r="I259" s="153">
        <f t="shared" ca="1" si="28"/>
        <v>3.2837726686787527E-2</v>
      </c>
      <c r="J259" s="151">
        <f t="shared" ca="1" si="27"/>
        <v>1.0252980272906775E-4</v>
      </c>
      <c r="K259" s="150"/>
      <c r="L259" s="150"/>
      <c r="M259" s="146"/>
      <c r="P259" s="133"/>
    </row>
    <row r="260" spans="2:16" x14ac:dyDescent="0.2">
      <c r="B260" s="103">
        <v>215</v>
      </c>
      <c r="C260" s="103"/>
      <c r="D260" s="103">
        <v>215</v>
      </c>
      <c r="E260" s="132"/>
      <c r="F260" s="153"/>
      <c r="G260" s="153"/>
      <c r="H260" s="147">
        <f t="shared" si="26"/>
        <v>17.916666666666664</v>
      </c>
      <c r="I260" s="153">
        <f t="shared" ca="1" si="28"/>
        <v>3.2940245621385755E-2</v>
      </c>
      <c r="J260" s="151">
        <f t="shared" ca="1" si="27"/>
        <v>1.0251893459822803E-4</v>
      </c>
      <c r="K260" s="150"/>
      <c r="L260" s="150"/>
      <c r="M260" s="133"/>
      <c r="P260" s="133"/>
    </row>
    <row r="261" spans="2:16" x14ac:dyDescent="0.2">
      <c r="B261" s="103">
        <v>216</v>
      </c>
      <c r="C261" s="103"/>
      <c r="D261" s="103">
        <v>216</v>
      </c>
      <c r="E261" s="132"/>
      <c r="F261" s="153"/>
      <c r="G261" s="153"/>
      <c r="H261" s="147">
        <f t="shared" si="26"/>
        <v>18</v>
      </c>
      <c r="I261" s="153">
        <f t="shared" ca="1" si="28"/>
        <v>3.3042753689005E-2</v>
      </c>
      <c r="J261" s="151">
        <f t="shared" ca="1" si="27"/>
        <v>1.0250806761924469E-4</v>
      </c>
      <c r="K261" s="150"/>
      <c r="L261" s="150"/>
      <c r="M261" s="133"/>
      <c r="P261" s="133"/>
    </row>
    <row r="262" spans="2:16" x14ac:dyDescent="0.2">
      <c r="B262" s="103">
        <v>217</v>
      </c>
      <c r="C262" s="103"/>
      <c r="D262" s="103">
        <v>217</v>
      </c>
      <c r="E262" s="132"/>
      <c r="F262" s="153"/>
      <c r="G262" s="153"/>
      <c r="H262" s="147">
        <f t="shared" si="26"/>
        <v>18.083333333333332</v>
      </c>
      <c r="I262" s="153">
        <f ca="1">1-(1-$G$63)*((1-$G$64)/(1-$G$63))^(H262-1)</f>
        <v>3.5684566779894733E-2</v>
      </c>
      <c r="J262" s="151">
        <f t="shared" ca="1" si="27"/>
        <v>2.641813090889733E-3</v>
      </c>
      <c r="K262" s="150"/>
      <c r="L262" s="150"/>
      <c r="M262" s="146"/>
      <c r="P262" s="133"/>
    </row>
    <row r="263" spans="2:16" x14ac:dyDescent="0.2">
      <c r="B263" s="103">
        <v>218</v>
      </c>
      <c r="C263" s="103"/>
      <c r="D263" s="103">
        <v>218</v>
      </c>
      <c r="E263" s="132"/>
      <c r="F263" s="153"/>
      <c r="G263" s="153"/>
      <c r="H263" s="147">
        <f t="shared" si="26"/>
        <v>18.166666666666664</v>
      </c>
      <c r="I263" s="153">
        <f t="shared" ref="I263:I273" ca="1" si="29">1-(1-$G$63)*((1-$G$64)/(1-$G$63))^(H263-1)</f>
        <v>3.5793170117043749E-2</v>
      </c>
      <c r="J263" s="151">
        <f t="shared" ca="1" si="27"/>
        <v>1.0860333714901582E-4</v>
      </c>
      <c r="K263" s="150"/>
      <c r="L263" s="150"/>
      <c r="M263" s="133"/>
      <c r="P263" s="133"/>
    </row>
    <row r="264" spans="2:16" x14ac:dyDescent="0.2">
      <c r="B264" s="103">
        <v>219</v>
      </c>
      <c r="C264" s="103"/>
      <c r="D264" s="103">
        <v>219</v>
      </c>
      <c r="E264" s="132"/>
      <c r="F264" s="153"/>
      <c r="G264" s="153"/>
      <c r="H264" s="147">
        <f t="shared" si="26"/>
        <v>18.25</v>
      </c>
      <c r="I264" s="153">
        <f t="shared" ca="1" si="29"/>
        <v>3.5901761223044892E-2</v>
      </c>
      <c r="J264" s="151">
        <f t="shared" ca="1" si="27"/>
        <v>1.0859110600114352E-4</v>
      </c>
      <c r="K264" s="150"/>
      <c r="L264" s="150"/>
      <c r="M264" s="133"/>
      <c r="P264" s="133"/>
    </row>
    <row r="265" spans="2:16" x14ac:dyDescent="0.2">
      <c r="B265" s="103">
        <v>220</v>
      </c>
      <c r="C265" s="103"/>
      <c r="D265" s="103">
        <v>220</v>
      </c>
      <c r="E265" s="132"/>
      <c r="F265" s="153"/>
      <c r="G265" s="153"/>
      <c r="H265" s="147">
        <f t="shared" si="26"/>
        <v>18.333333333333332</v>
      </c>
      <c r="I265" s="153">
        <f t="shared" ca="1" si="29"/>
        <v>3.6010340099275395E-2</v>
      </c>
      <c r="J265" s="151">
        <f t="shared" ca="1" si="27"/>
        <v>1.0857887623050289E-4</v>
      </c>
      <c r="K265" s="150"/>
      <c r="L265" s="150"/>
      <c r="M265" s="146"/>
      <c r="P265" s="133"/>
    </row>
    <row r="266" spans="2:16" x14ac:dyDescent="0.2">
      <c r="B266" s="103">
        <v>221</v>
      </c>
      <c r="C266" s="103"/>
      <c r="D266" s="103">
        <v>221</v>
      </c>
      <c r="E266" s="132"/>
      <c r="F266" s="153"/>
      <c r="G266" s="153"/>
      <c r="H266" s="147">
        <f t="shared" si="26"/>
        <v>18.416666666666664</v>
      </c>
      <c r="I266" s="153">
        <f t="shared" ca="1" si="29"/>
        <v>3.6118906747112711E-2</v>
      </c>
      <c r="J266" s="151">
        <f t="shared" ca="1" si="27"/>
        <v>1.0856664783731595E-4</v>
      </c>
      <c r="K266" s="150"/>
      <c r="L266" s="150"/>
      <c r="M266" s="133"/>
      <c r="P266" s="133"/>
    </row>
    <row r="267" spans="2:16" x14ac:dyDescent="0.2">
      <c r="B267" s="103">
        <v>222</v>
      </c>
      <c r="C267" s="103"/>
      <c r="D267" s="103">
        <v>222</v>
      </c>
      <c r="E267" s="132"/>
      <c r="F267" s="153"/>
      <c r="G267" s="153"/>
      <c r="H267" s="147">
        <f t="shared" si="26"/>
        <v>18.5</v>
      </c>
      <c r="I267" s="153">
        <f t="shared" ca="1" si="29"/>
        <v>3.622746116793385E-2</v>
      </c>
      <c r="J267" s="151">
        <f t="shared" ca="1" si="27"/>
        <v>1.0855442082113864E-4</v>
      </c>
      <c r="K267" s="150"/>
      <c r="L267" s="150"/>
      <c r="M267" s="133"/>
      <c r="P267" s="133"/>
    </row>
    <row r="268" spans="2:16" x14ac:dyDescent="0.2">
      <c r="B268" s="103">
        <v>223</v>
      </c>
      <c r="C268" s="103"/>
      <c r="D268" s="103">
        <v>223</v>
      </c>
      <c r="E268" s="132"/>
      <c r="F268" s="153"/>
      <c r="G268" s="153"/>
      <c r="H268" s="147">
        <f t="shared" si="26"/>
        <v>18.583333333333332</v>
      </c>
      <c r="I268" s="153">
        <f t="shared" ca="1" si="29"/>
        <v>3.6336003363116265E-2</v>
      </c>
      <c r="J268" s="151">
        <f t="shared" ca="1" si="27"/>
        <v>1.0854219518241504E-4</v>
      </c>
      <c r="K268" s="150"/>
      <c r="L268" s="150"/>
      <c r="M268" s="146"/>
      <c r="P268" s="133"/>
    </row>
    <row r="269" spans="2:16" x14ac:dyDescent="0.2">
      <c r="B269" s="103">
        <v>224</v>
      </c>
      <c r="C269" s="103"/>
      <c r="D269" s="103">
        <v>224</v>
      </c>
      <c r="E269" s="132"/>
      <c r="F269" s="153"/>
      <c r="G269" s="153"/>
      <c r="H269" s="147">
        <f t="shared" si="26"/>
        <v>18.666666666666664</v>
      </c>
      <c r="I269" s="153">
        <f t="shared" ca="1" si="29"/>
        <v>3.64445333340363E-2</v>
      </c>
      <c r="J269" s="151">
        <f t="shared" ca="1" si="27"/>
        <v>1.0852997092003491E-4</v>
      </c>
      <c r="K269" s="150"/>
      <c r="L269" s="150"/>
      <c r="M269" s="133"/>
      <c r="P269" s="133"/>
    </row>
    <row r="270" spans="2:16" x14ac:dyDescent="0.2">
      <c r="B270" s="103">
        <v>225</v>
      </c>
      <c r="C270" s="103"/>
      <c r="D270" s="103">
        <v>225</v>
      </c>
      <c r="E270" s="132"/>
      <c r="F270" s="153"/>
      <c r="G270" s="153"/>
      <c r="H270" s="147">
        <f t="shared" si="26"/>
        <v>18.75</v>
      </c>
      <c r="I270" s="153">
        <f t="shared" ca="1" si="29"/>
        <v>3.6553051082071075E-2</v>
      </c>
      <c r="J270" s="151">
        <f t="shared" ca="1" si="27"/>
        <v>1.0851774803477543E-4</v>
      </c>
      <c r="K270" s="150"/>
      <c r="L270" s="150"/>
      <c r="M270" s="133"/>
      <c r="P270" s="133"/>
    </row>
    <row r="271" spans="2:16" x14ac:dyDescent="0.2">
      <c r="B271" s="103">
        <v>226</v>
      </c>
      <c r="C271" s="103"/>
      <c r="D271" s="103">
        <v>226</v>
      </c>
      <c r="E271" s="132"/>
      <c r="F271" s="153"/>
      <c r="G271" s="153"/>
      <c r="H271" s="147">
        <f t="shared" si="26"/>
        <v>18.833333333333332</v>
      </c>
      <c r="I271" s="153">
        <f t="shared" ca="1" si="29"/>
        <v>3.6661556608597046E-2</v>
      </c>
      <c r="J271" s="151">
        <f t="shared" ca="1" si="27"/>
        <v>1.0850552652597045E-4</v>
      </c>
      <c r="K271" s="150"/>
      <c r="L271" s="150"/>
      <c r="M271" s="146"/>
      <c r="P271" s="133"/>
    </row>
    <row r="272" spans="2:16" x14ac:dyDescent="0.2">
      <c r="B272" s="103">
        <v>227</v>
      </c>
      <c r="C272" s="103"/>
      <c r="D272" s="103">
        <v>227</v>
      </c>
      <c r="E272" s="132"/>
      <c r="F272" s="153"/>
      <c r="G272" s="153"/>
      <c r="H272" s="147">
        <f t="shared" si="26"/>
        <v>18.916666666666664</v>
      </c>
      <c r="I272" s="153">
        <f t="shared" ca="1" si="29"/>
        <v>3.6770049914990555E-2</v>
      </c>
      <c r="J272" s="151">
        <f t="shared" ca="1" si="27"/>
        <v>1.0849330639350896E-4</v>
      </c>
      <c r="K272" s="150"/>
      <c r="L272" s="150"/>
      <c r="M272" s="133"/>
      <c r="P272" s="133"/>
    </row>
    <row r="273" spans="2:16" x14ac:dyDescent="0.2">
      <c r="B273" s="103">
        <v>228</v>
      </c>
      <c r="C273" s="103"/>
      <c r="D273" s="103">
        <v>228</v>
      </c>
      <c r="E273" s="132"/>
      <c r="F273" s="153"/>
      <c r="G273" s="153"/>
      <c r="H273" s="147">
        <f t="shared" si="26"/>
        <v>19</v>
      </c>
      <c r="I273" s="153">
        <f t="shared" ca="1" si="29"/>
        <v>3.6878531002627946E-2</v>
      </c>
      <c r="J273" s="151">
        <f t="shared" ca="1" si="27"/>
        <v>1.0848108763739095E-4</v>
      </c>
      <c r="K273" s="150"/>
      <c r="L273" s="150"/>
      <c r="M273" s="133"/>
      <c r="P273" s="133"/>
    </row>
    <row r="274" spans="2:16" x14ac:dyDescent="0.2">
      <c r="B274" s="103">
        <v>229</v>
      </c>
      <c r="C274" s="103"/>
      <c r="D274" s="103">
        <v>229</v>
      </c>
      <c r="E274" s="132"/>
      <c r="F274" s="153"/>
      <c r="G274" s="153"/>
      <c r="H274" s="147">
        <f t="shared" si="26"/>
        <v>19.083333333333332</v>
      </c>
      <c r="I274" s="153">
        <f ca="1">1-(1-$G$64)*((1-$G$65)/(1-$G$64))^(H274-1)</f>
        <v>3.9677442220096282E-2</v>
      </c>
      <c r="J274" s="151">
        <f t="shared" ca="1" si="27"/>
        <v>2.7989112174683362E-3</v>
      </c>
      <c r="K274" s="150"/>
      <c r="L274" s="150"/>
      <c r="M274" s="146"/>
      <c r="P274" s="133"/>
    </row>
    <row r="275" spans="2:16" x14ac:dyDescent="0.2">
      <c r="B275" s="103">
        <v>230</v>
      </c>
      <c r="C275" s="103"/>
      <c r="D275" s="103">
        <v>230</v>
      </c>
      <c r="E275" s="132"/>
      <c r="F275" s="153"/>
      <c r="G275" s="153"/>
      <c r="H275" s="147">
        <f t="shared" si="26"/>
        <v>19.166666666666664</v>
      </c>
      <c r="I275" s="153">
        <f t="shared" ref="I275:I285" ca="1" si="30">1-(1-$G$64)*((1-$G$65)/(1-$G$64))^(H275-1)</f>
        <v>3.9791994961411503E-2</v>
      </c>
      <c r="J275" s="151">
        <f t="shared" ca="1" si="27"/>
        <v>1.1455274131522142E-4</v>
      </c>
      <c r="K275" s="150"/>
      <c r="L275" s="150"/>
      <c r="M275" s="133"/>
      <c r="P275" s="133"/>
    </row>
    <row r="276" spans="2:16" x14ac:dyDescent="0.2">
      <c r="B276" s="103">
        <v>231</v>
      </c>
      <c r="C276" s="103"/>
      <c r="D276" s="103">
        <v>231</v>
      </c>
      <c r="E276" s="132"/>
      <c r="F276" s="153"/>
      <c r="G276" s="153"/>
      <c r="H276" s="147">
        <f t="shared" si="26"/>
        <v>19.25</v>
      </c>
      <c r="I276" s="153">
        <f t="shared" ca="1" si="30"/>
        <v>3.990653403822364E-2</v>
      </c>
      <c r="J276" s="151">
        <f t="shared" ca="1" si="27"/>
        <v>1.1453907681213682E-4</v>
      </c>
      <c r="K276" s="150"/>
      <c r="L276" s="150"/>
      <c r="M276" s="133"/>
      <c r="P276" s="133"/>
    </row>
    <row r="277" spans="2:16" x14ac:dyDescent="0.2">
      <c r="B277" s="103">
        <v>232</v>
      </c>
      <c r="C277" s="103"/>
      <c r="D277" s="103">
        <v>232</v>
      </c>
      <c r="E277" s="132"/>
      <c r="F277" s="153"/>
      <c r="G277" s="153"/>
      <c r="H277" s="147">
        <f t="shared" si="26"/>
        <v>19.333333333333332</v>
      </c>
      <c r="I277" s="153">
        <f t="shared" ca="1" si="30"/>
        <v>4.0021059452162611E-2</v>
      </c>
      <c r="J277" s="151">
        <f t="shared" ca="1" si="27"/>
        <v>1.1452541393897064E-4</v>
      </c>
      <c r="K277" s="150"/>
      <c r="L277" s="150"/>
      <c r="M277" s="146"/>
      <c r="P277" s="133"/>
    </row>
    <row r="278" spans="2:16" x14ac:dyDescent="0.2">
      <c r="B278" s="103">
        <v>233</v>
      </c>
      <c r="C278" s="103"/>
      <c r="D278" s="103">
        <v>233</v>
      </c>
      <c r="E278" s="132"/>
      <c r="F278" s="153"/>
      <c r="G278" s="153"/>
      <c r="H278" s="147">
        <f t="shared" si="26"/>
        <v>19.416666666666664</v>
      </c>
      <c r="I278" s="153">
        <f t="shared" ca="1" si="30"/>
        <v>4.0135571204858222E-2</v>
      </c>
      <c r="J278" s="151">
        <f t="shared" ca="1" si="27"/>
        <v>1.1451175269561187E-4</v>
      </c>
      <c r="K278" s="150"/>
      <c r="L278" s="150"/>
      <c r="M278" s="133"/>
      <c r="P278" s="133"/>
    </row>
    <row r="279" spans="2:16" x14ac:dyDescent="0.2">
      <c r="B279" s="103">
        <v>234</v>
      </c>
      <c r="C279" s="103"/>
      <c r="D279" s="103">
        <v>234</v>
      </c>
      <c r="E279" s="132"/>
      <c r="F279" s="153"/>
      <c r="G279" s="153"/>
      <c r="H279" s="147">
        <f t="shared" si="26"/>
        <v>19.5</v>
      </c>
      <c r="I279" s="153">
        <f t="shared" ca="1" si="30"/>
        <v>4.0250069297940172E-2</v>
      </c>
      <c r="J279" s="151">
        <f t="shared" ca="1" si="27"/>
        <v>1.1449809308194947E-4</v>
      </c>
      <c r="K279" s="150"/>
      <c r="L279" s="150"/>
      <c r="M279" s="133"/>
      <c r="P279" s="133"/>
    </row>
    <row r="280" spans="2:16" x14ac:dyDescent="0.2">
      <c r="B280" s="103">
        <v>235</v>
      </c>
      <c r="C280" s="103"/>
      <c r="D280" s="103">
        <v>235</v>
      </c>
      <c r="E280" s="132"/>
      <c r="F280" s="153"/>
      <c r="G280" s="153"/>
      <c r="H280" s="147">
        <f t="shared" si="26"/>
        <v>19.583333333333332</v>
      </c>
      <c r="I280" s="153">
        <f t="shared" ca="1" si="30"/>
        <v>4.0364553733037822E-2</v>
      </c>
      <c r="J280" s="151">
        <f t="shared" ca="1" si="27"/>
        <v>1.1448443509765038E-4</v>
      </c>
      <c r="K280" s="150"/>
      <c r="L280" s="150"/>
      <c r="M280" s="146"/>
      <c r="P280" s="133"/>
    </row>
    <row r="281" spans="2:16" x14ac:dyDescent="0.2">
      <c r="B281" s="103">
        <v>236</v>
      </c>
      <c r="C281" s="103"/>
      <c r="D281" s="103">
        <v>236</v>
      </c>
      <c r="E281" s="132"/>
      <c r="F281" s="153"/>
      <c r="G281" s="153"/>
      <c r="H281" s="147">
        <f t="shared" si="26"/>
        <v>19.666666666666664</v>
      </c>
      <c r="I281" s="153">
        <f t="shared" ca="1" si="30"/>
        <v>4.0479024511780315E-2</v>
      </c>
      <c r="J281" s="151">
        <f t="shared" ca="1" si="27"/>
        <v>1.1447077874249256E-4</v>
      </c>
      <c r="K281" s="150"/>
      <c r="L281" s="150"/>
      <c r="M281" s="133"/>
      <c r="P281" s="133"/>
    </row>
    <row r="282" spans="2:16" x14ac:dyDescent="0.2">
      <c r="B282" s="103">
        <v>237</v>
      </c>
      <c r="C282" s="103"/>
      <c r="D282" s="103">
        <v>237</v>
      </c>
      <c r="E282" s="132"/>
      <c r="F282" s="153"/>
      <c r="G282" s="153"/>
      <c r="H282" s="147">
        <f t="shared" si="26"/>
        <v>19.75</v>
      </c>
      <c r="I282" s="153">
        <f t="shared" ca="1" si="30"/>
        <v>4.059348163579668E-2</v>
      </c>
      <c r="J282" s="151">
        <f t="shared" ca="1" si="27"/>
        <v>1.1445712401636499E-4</v>
      </c>
      <c r="K282" s="150"/>
      <c r="L282" s="150"/>
      <c r="M282" s="133"/>
      <c r="P282" s="133"/>
    </row>
    <row r="283" spans="2:16" x14ac:dyDescent="0.2">
      <c r="B283" s="103">
        <v>238</v>
      </c>
      <c r="C283" s="103"/>
      <c r="D283" s="103">
        <v>238</v>
      </c>
      <c r="E283" s="132"/>
      <c r="F283" s="153"/>
      <c r="G283" s="153"/>
      <c r="H283" s="147">
        <f t="shared" si="26"/>
        <v>19.833333333333332</v>
      </c>
      <c r="I283" s="153">
        <f t="shared" ca="1" si="30"/>
        <v>4.0707925106715837E-2</v>
      </c>
      <c r="J283" s="151">
        <f t="shared" ca="1" si="27"/>
        <v>1.1444347091915663E-4</v>
      </c>
      <c r="K283" s="150"/>
      <c r="L283" s="150"/>
      <c r="M283" s="146"/>
      <c r="P283" s="133"/>
    </row>
    <row r="284" spans="2:16" x14ac:dyDescent="0.2">
      <c r="B284" s="103">
        <v>239</v>
      </c>
      <c r="C284" s="103"/>
      <c r="D284" s="103">
        <v>239</v>
      </c>
      <c r="E284" s="132"/>
      <c r="F284" s="153"/>
      <c r="G284" s="153"/>
      <c r="H284" s="147">
        <f t="shared" si="26"/>
        <v>19.916666666666664</v>
      </c>
      <c r="I284" s="153">
        <f t="shared" ca="1" si="30"/>
        <v>4.082235492616626E-2</v>
      </c>
      <c r="J284" s="151">
        <f t="shared" ca="1" si="27"/>
        <v>1.1442981945042341E-4</v>
      </c>
      <c r="K284" s="150"/>
      <c r="L284" s="150"/>
      <c r="M284" s="133"/>
      <c r="P284" s="133"/>
    </row>
    <row r="285" spans="2:16" x14ac:dyDescent="0.2">
      <c r="B285" s="103">
        <v>240</v>
      </c>
      <c r="C285" s="103"/>
      <c r="D285" s="103">
        <v>240</v>
      </c>
      <c r="E285" s="132"/>
      <c r="F285" s="153"/>
      <c r="G285" s="153"/>
      <c r="H285" s="147">
        <f t="shared" si="26"/>
        <v>20</v>
      </c>
      <c r="I285" s="153">
        <f t="shared" ca="1" si="30"/>
        <v>4.0936771095776314E-2</v>
      </c>
      <c r="J285" s="151">
        <f t="shared" ca="1" si="27"/>
        <v>1.144161696100543E-4</v>
      </c>
      <c r="K285" s="150"/>
      <c r="L285" s="150"/>
      <c r="M285" s="133"/>
      <c r="P285" s="133"/>
    </row>
    <row r="286" spans="2:16" x14ac:dyDescent="0.2">
      <c r="B286" s="103">
        <v>241</v>
      </c>
      <c r="C286" s="103"/>
      <c r="D286" s="103">
        <v>241</v>
      </c>
      <c r="E286" s="132"/>
      <c r="F286" s="153"/>
      <c r="G286" s="153"/>
      <c r="H286" s="147">
        <f t="shared" si="26"/>
        <v>20.083333333333332</v>
      </c>
      <c r="I286" s="153">
        <f ca="1">1-(1-$G$65)*((1-$G$66)/(1-$G$65))^(H286-1)</f>
        <v>4.3886626542300577E-2</v>
      </c>
      <c r="J286" s="151">
        <f t="shared" ca="1" si="27"/>
        <v>2.9498554465242632E-3</v>
      </c>
      <c r="K286" s="150"/>
      <c r="L286" s="150"/>
      <c r="M286" s="146"/>
      <c r="P286" s="133"/>
    </row>
    <row r="287" spans="2:16" x14ac:dyDescent="0.2">
      <c r="B287" s="103">
        <v>242</v>
      </c>
      <c r="C287" s="103"/>
      <c r="D287" s="103">
        <v>242</v>
      </c>
      <c r="E287" s="132"/>
      <c r="F287" s="153"/>
      <c r="G287" s="153"/>
      <c r="H287" s="147">
        <f t="shared" si="26"/>
        <v>20.166666666666664</v>
      </c>
      <c r="I287" s="153">
        <f t="shared" ref="I287:I297" ca="1" si="31">1-(1-$G$65)*((1-$G$66)/(1-$G$65))^(H287-1)</f>
        <v>4.4007063162266435E-2</v>
      </c>
      <c r="J287" s="151">
        <f t="shared" ca="1" si="27"/>
        <v>1.2043661996585797E-4</v>
      </c>
      <c r="K287" s="150"/>
      <c r="L287" s="150"/>
      <c r="M287" s="133"/>
      <c r="P287" s="133"/>
    </row>
    <row r="288" spans="2:16" x14ac:dyDescent="0.2">
      <c r="B288" s="103">
        <v>243</v>
      </c>
      <c r="C288" s="103"/>
      <c r="D288" s="103">
        <v>243</v>
      </c>
      <c r="E288" s="132"/>
      <c r="F288" s="153"/>
      <c r="G288" s="153"/>
      <c r="H288" s="147">
        <f t="shared" si="26"/>
        <v>20.25</v>
      </c>
      <c r="I288" s="153">
        <f t="shared" ca="1" si="31"/>
        <v>4.4127484611458767E-2</v>
      </c>
      <c r="J288" s="151">
        <f t="shared" ca="1" si="27"/>
        <v>1.2042144919233166E-4</v>
      </c>
      <c r="K288" s="150"/>
      <c r="L288" s="150"/>
      <c r="M288" s="133"/>
      <c r="P288" s="133"/>
    </row>
    <row r="289" spans="2:16" x14ac:dyDescent="0.2">
      <c r="B289" s="103">
        <v>244</v>
      </c>
      <c r="C289" s="103"/>
      <c r="D289" s="103">
        <v>244</v>
      </c>
      <c r="E289" s="132"/>
      <c r="F289" s="153"/>
      <c r="G289" s="153"/>
      <c r="H289" s="147">
        <f t="shared" si="26"/>
        <v>20.333333333333332</v>
      </c>
      <c r="I289" s="153">
        <f t="shared" ca="1" si="31"/>
        <v>4.4247890891788599E-2</v>
      </c>
      <c r="J289" s="151">
        <f t="shared" ca="1" si="27"/>
        <v>1.2040628032983225E-4</v>
      </c>
      <c r="K289" s="150"/>
      <c r="L289" s="150"/>
      <c r="M289" s="146"/>
      <c r="P289" s="133"/>
    </row>
    <row r="290" spans="2:16" x14ac:dyDescent="0.2">
      <c r="B290" s="103">
        <v>245</v>
      </c>
      <c r="C290" s="103"/>
      <c r="D290" s="103">
        <v>245</v>
      </c>
      <c r="E290" s="132"/>
      <c r="F290" s="153"/>
      <c r="G290" s="153"/>
      <c r="H290" s="147">
        <f t="shared" si="26"/>
        <v>20.416666666666664</v>
      </c>
      <c r="I290" s="153">
        <f t="shared" ca="1" si="31"/>
        <v>4.4368282005166626E-2</v>
      </c>
      <c r="J290" s="151">
        <f t="shared" ca="1" si="27"/>
        <v>1.2039111337802666E-4</v>
      </c>
      <c r="K290" s="150"/>
      <c r="L290" s="150"/>
      <c r="M290" s="133"/>
      <c r="P290" s="133"/>
    </row>
    <row r="291" spans="2:16" x14ac:dyDescent="0.2">
      <c r="B291" s="103">
        <v>246</v>
      </c>
      <c r="C291" s="103"/>
      <c r="D291" s="103">
        <v>246</v>
      </c>
      <c r="E291" s="132"/>
      <c r="F291" s="153"/>
      <c r="G291" s="153"/>
      <c r="H291" s="147">
        <f t="shared" si="26"/>
        <v>20.5</v>
      </c>
      <c r="I291" s="153">
        <f t="shared" ca="1" si="31"/>
        <v>4.4488657953503319E-2</v>
      </c>
      <c r="J291" s="151">
        <f t="shared" ca="1" si="27"/>
        <v>1.2037594833669285E-4</v>
      </c>
      <c r="K291" s="150"/>
      <c r="L291" s="150"/>
      <c r="M291" s="133"/>
      <c r="P291" s="133"/>
    </row>
    <row r="292" spans="2:16" x14ac:dyDescent="0.2">
      <c r="B292" s="103">
        <v>247</v>
      </c>
      <c r="C292" s="103"/>
      <c r="D292" s="103">
        <v>247</v>
      </c>
      <c r="E292" s="132"/>
      <c r="F292" s="153"/>
      <c r="G292" s="153"/>
      <c r="H292" s="147">
        <f t="shared" si="26"/>
        <v>20.583333333333332</v>
      </c>
      <c r="I292" s="153">
        <f t="shared" ca="1" si="31"/>
        <v>4.460901873870915E-2</v>
      </c>
      <c r="J292" s="151">
        <f t="shared" ca="1" si="27"/>
        <v>1.2036078520583082E-4</v>
      </c>
      <c r="K292" s="150"/>
      <c r="L292" s="150"/>
      <c r="M292" s="146"/>
      <c r="P292" s="133"/>
    </row>
    <row r="293" spans="2:16" x14ac:dyDescent="0.2">
      <c r="B293" s="103">
        <v>248</v>
      </c>
      <c r="C293" s="103"/>
      <c r="D293" s="103">
        <v>248</v>
      </c>
      <c r="E293" s="132"/>
      <c r="F293" s="153"/>
      <c r="G293" s="153"/>
      <c r="H293" s="147">
        <f t="shared" si="26"/>
        <v>20.666666666666664</v>
      </c>
      <c r="I293" s="153">
        <f t="shared" ca="1" si="31"/>
        <v>4.4729364362693813E-2</v>
      </c>
      <c r="J293" s="151">
        <f t="shared" ca="1" si="27"/>
        <v>1.2034562398466342E-4</v>
      </c>
      <c r="K293" s="150"/>
      <c r="L293" s="150"/>
      <c r="M293" s="133"/>
      <c r="P293" s="133"/>
    </row>
    <row r="294" spans="2:16" x14ac:dyDescent="0.2">
      <c r="B294" s="103">
        <v>249</v>
      </c>
      <c r="C294" s="103"/>
      <c r="D294" s="103">
        <v>249</v>
      </c>
      <c r="E294" s="132"/>
      <c r="F294" s="153"/>
      <c r="G294" s="153"/>
      <c r="H294" s="147">
        <f t="shared" si="26"/>
        <v>20.75</v>
      </c>
      <c r="I294" s="153">
        <f t="shared" ca="1" si="31"/>
        <v>4.4849694827367448E-2</v>
      </c>
      <c r="J294" s="151">
        <f t="shared" ca="1" si="27"/>
        <v>1.2033046467363473E-4</v>
      </c>
      <c r="K294" s="150"/>
      <c r="L294" s="150"/>
      <c r="M294" s="133"/>
      <c r="P294" s="133"/>
    </row>
    <row r="295" spans="2:16" x14ac:dyDescent="0.2">
      <c r="B295" s="103">
        <v>250</v>
      </c>
      <c r="C295" s="103"/>
      <c r="D295" s="103">
        <v>250</v>
      </c>
      <c r="E295" s="132"/>
      <c r="F295" s="153"/>
      <c r="G295" s="153"/>
      <c r="H295" s="147">
        <f t="shared" si="26"/>
        <v>20.833333333333332</v>
      </c>
      <c r="I295" s="153">
        <f t="shared" ca="1" si="31"/>
        <v>4.4970010134639193E-2</v>
      </c>
      <c r="J295" s="151">
        <f t="shared" ca="1" si="27"/>
        <v>1.2031530727174555E-4</v>
      </c>
      <c r="K295" s="150"/>
      <c r="L295" s="150"/>
      <c r="M295" s="146"/>
      <c r="P295" s="133"/>
    </row>
    <row r="296" spans="2:16" x14ac:dyDescent="0.2">
      <c r="B296" s="103">
        <v>251</v>
      </c>
      <c r="C296" s="103"/>
      <c r="D296" s="103">
        <v>251</v>
      </c>
      <c r="E296" s="132"/>
      <c r="F296" s="153"/>
      <c r="G296" s="153"/>
      <c r="H296" s="147">
        <f t="shared" si="26"/>
        <v>20.916666666666664</v>
      </c>
      <c r="I296" s="153">
        <f t="shared" ca="1" si="31"/>
        <v>4.5090310286418744E-2</v>
      </c>
      <c r="J296" s="151">
        <f t="shared" ca="1" si="27"/>
        <v>1.20300151779551E-4</v>
      </c>
      <c r="K296" s="150"/>
      <c r="L296" s="150"/>
      <c r="M296" s="133"/>
      <c r="P296" s="133"/>
    </row>
    <row r="297" spans="2:16" x14ac:dyDescent="0.2">
      <c r="B297" s="103">
        <v>252</v>
      </c>
      <c r="C297" s="103"/>
      <c r="D297" s="103">
        <v>252</v>
      </c>
      <c r="E297" s="132"/>
      <c r="F297" s="153"/>
      <c r="G297" s="153"/>
      <c r="H297" s="147">
        <f t="shared" si="26"/>
        <v>21</v>
      </c>
      <c r="I297" s="153">
        <f t="shared" ca="1" si="31"/>
        <v>4.5210595284614796E-2</v>
      </c>
      <c r="J297" s="151">
        <f t="shared" ca="1" si="27"/>
        <v>1.2028499819605187E-4</v>
      </c>
      <c r="K297" s="150"/>
      <c r="L297" s="150"/>
      <c r="M297" s="133"/>
      <c r="P297" s="133"/>
    </row>
    <row r="298" spans="2:16" x14ac:dyDescent="0.2">
      <c r="B298" s="103">
        <v>253</v>
      </c>
      <c r="C298" s="103"/>
      <c r="D298" s="103">
        <v>253</v>
      </c>
      <c r="E298" s="132"/>
      <c r="F298" s="153"/>
      <c r="G298" s="153"/>
      <c r="H298" s="147">
        <f t="shared" si="26"/>
        <v>21.083333333333332</v>
      </c>
      <c r="I298" s="153">
        <f ca="1">1-(1-$G$66)*((1-$G$67)/(1-$G$66))^(H298-1)</f>
        <v>4.8304613511780059E-2</v>
      </c>
      <c r="J298" s="151">
        <f t="shared" ca="1" si="27"/>
        <v>3.0940182271652628E-3</v>
      </c>
      <c r="K298" s="150"/>
      <c r="L298" s="150"/>
      <c r="M298" s="146"/>
      <c r="P298" s="133"/>
    </row>
    <row r="299" spans="2:16" x14ac:dyDescent="0.2">
      <c r="B299" s="103">
        <v>254</v>
      </c>
      <c r="C299" s="103"/>
      <c r="D299" s="103">
        <v>254</v>
      </c>
      <c r="E299" s="132"/>
      <c r="F299" s="153"/>
      <c r="G299" s="153"/>
      <c r="H299" s="147">
        <f t="shared" si="26"/>
        <v>21.166666666666664</v>
      </c>
      <c r="I299" s="153">
        <f t="shared" ref="I299:I309" ca="1" si="32">1-(1-$G$66)*((1-$G$67)/(1-$G$66))^(H299-1)</f>
        <v>4.8430843256678346E-2</v>
      </c>
      <c r="J299" s="151">
        <f t="shared" ca="1" si="27"/>
        <v>1.2622974489828742E-4</v>
      </c>
      <c r="K299" s="150"/>
      <c r="L299" s="150"/>
      <c r="M299" s="133"/>
      <c r="P299" s="133"/>
    </row>
    <row r="300" spans="2:16" x14ac:dyDescent="0.2">
      <c r="B300" s="103">
        <v>255</v>
      </c>
      <c r="C300" s="103"/>
      <c r="D300" s="103">
        <v>255</v>
      </c>
      <c r="E300" s="132"/>
      <c r="F300" s="153"/>
      <c r="G300" s="153"/>
      <c r="H300" s="147">
        <f t="shared" si="26"/>
        <v>21.25</v>
      </c>
      <c r="I300" s="153">
        <f t="shared" ca="1" si="32"/>
        <v>4.8557056258878517E-2</v>
      </c>
      <c r="J300" s="151">
        <f t="shared" ca="1" si="27"/>
        <v>1.2621300220017062E-4</v>
      </c>
      <c r="K300" s="150"/>
      <c r="L300" s="150"/>
      <c r="M300" s="133"/>
      <c r="P300" s="133"/>
    </row>
    <row r="301" spans="2:16" x14ac:dyDescent="0.2">
      <c r="B301" s="103">
        <v>256</v>
      </c>
      <c r="C301" s="103"/>
      <c r="D301" s="103">
        <v>256</v>
      </c>
      <c r="E301" s="132"/>
      <c r="F301" s="153"/>
      <c r="G301" s="153"/>
      <c r="H301" s="147">
        <f t="shared" si="26"/>
        <v>21.333333333333332</v>
      </c>
      <c r="I301" s="153">
        <f t="shared" ca="1" si="32"/>
        <v>4.868325252060135E-2</v>
      </c>
      <c r="J301" s="151">
        <f t="shared" ca="1" si="27"/>
        <v>1.2619626172283294E-4</v>
      </c>
      <c r="K301" s="150"/>
      <c r="L301" s="150"/>
      <c r="M301" s="146"/>
      <c r="P301" s="133"/>
    </row>
    <row r="302" spans="2:16" x14ac:dyDescent="0.2">
      <c r="B302" s="103">
        <v>257</v>
      </c>
      <c r="C302" s="103"/>
      <c r="D302" s="103">
        <v>257</v>
      </c>
      <c r="E302" s="132"/>
      <c r="F302" s="153"/>
      <c r="G302" s="153"/>
      <c r="H302" s="147">
        <f t="shared" si="26"/>
        <v>21.416666666666664</v>
      </c>
      <c r="I302" s="153">
        <f t="shared" ca="1" si="32"/>
        <v>4.8809432044067291E-2</v>
      </c>
      <c r="J302" s="151">
        <f t="shared" ca="1" si="27"/>
        <v>1.261795234659413E-4</v>
      </c>
      <c r="K302" s="150"/>
      <c r="L302" s="150"/>
      <c r="M302" s="133"/>
      <c r="P302" s="133"/>
    </row>
    <row r="303" spans="2:16" x14ac:dyDescent="0.2">
      <c r="B303" s="103">
        <v>258</v>
      </c>
      <c r="C303" s="103"/>
      <c r="D303" s="103">
        <v>258</v>
      </c>
      <c r="E303" s="132"/>
      <c r="F303" s="153"/>
      <c r="G303" s="153"/>
      <c r="H303" s="147">
        <f t="shared" si="26"/>
        <v>21.5</v>
      </c>
      <c r="I303" s="153">
        <f t="shared" ca="1" si="32"/>
        <v>4.8935594831496343E-2</v>
      </c>
      <c r="J303" s="151">
        <f t="shared" ca="1" si="27"/>
        <v>1.2616278742905163E-4</v>
      </c>
      <c r="K303" s="150"/>
      <c r="L303" s="150"/>
      <c r="M303" s="133"/>
      <c r="P303" s="133"/>
    </row>
    <row r="304" spans="2:16" x14ac:dyDescent="0.2">
      <c r="B304" s="103">
        <v>259</v>
      </c>
      <c r="C304" s="103"/>
      <c r="D304" s="103">
        <v>259</v>
      </c>
      <c r="E304" s="132"/>
      <c r="F304" s="153"/>
      <c r="G304" s="153"/>
      <c r="H304" s="147">
        <f t="shared" ref="H304:H367" si="33">$C$44*B304</f>
        <v>21.583333333333332</v>
      </c>
      <c r="I304" s="153">
        <f t="shared" ca="1" si="32"/>
        <v>4.9061740885108285E-2</v>
      </c>
      <c r="J304" s="151">
        <f t="shared" ref="J304:J367" ca="1" si="34">I304-I303</f>
        <v>1.2614605361194187E-4</v>
      </c>
      <c r="K304" s="150"/>
      <c r="L304" s="150"/>
      <c r="M304" s="146"/>
      <c r="P304" s="133"/>
    </row>
    <row r="305" spans="2:16" x14ac:dyDescent="0.2">
      <c r="B305" s="103">
        <v>260</v>
      </c>
      <c r="C305" s="103"/>
      <c r="D305" s="103">
        <v>260</v>
      </c>
      <c r="E305" s="132"/>
      <c r="F305" s="153"/>
      <c r="G305" s="153"/>
      <c r="H305" s="147">
        <f t="shared" si="33"/>
        <v>21.666666666666664</v>
      </c>
      <c r="I305" s="153">
        <f t="shared" ca="1" si="32"/>
        <v>4.9187870207122786E-2</v>
      </c>
      <c r="J305" s="151">
        <f t="shared" ca="1" si="34"/>
        <v>1.26129322014501E-4</v>
      </c>
      <c r="K305" s="150"/>
      <c r="L305" s="150"/>
      <c r="M305" s="133"/>
      <c r="P305" s="133"/>
    </row>
    <row r="306" spans="2:16" x14ac:dyDescent="0.2">
      <c r="B306" s="103">
        <v>261</v>
      </c>
      <c r="C306" s="103"/>
      <c r="D306" s="103">
        <v>261</v>
      </c>
      <c r="E306" s="132"/>
      <c r="F306" s="153"/>
      <c r="G306" s="153"/>
      <c r="H306" s="147">
        <f t="shared" si="33"/>
        <v>21.75</v>
      </c>
      <c r="I306" s="153">
        <f t="shared" ca="1" si="32"/>
        <v>4.931398279975896E-2</v>
      </c>
      <c r="J306" s="151">
        <f t="shared" ca="1" si="34"/>
        <v>1.2611259263617391E-4</v>
      </c>
      <c r="K306" s="150"/>
      <c r="L306" s="150"/>
      <c r="M306" s="133"/>
      <c r="P306" s="133"/>
    </row>
    <row r="307" spans="2:16" x14ac:dyDescent="0.2">
      <c r="B307" s="103">
        <v>262</v>
      </c>
      <c r="C307" s="103"/>
      <c r="D307" s="103">
        <v>262</v>
      </c>
      <c r="E307" s="132"/>
      <c r="F307" s="153"/>
      <c r="G307" s="153"/>
      <c r="H307" s="147">
        <f t="shared" si="33"/>
        <v>21.833333333333332</v>
      </c>
      <c r="I307" s="153">
        <f t="shared" ca="1" si="32"/>
        <v>4.9440078665235809E-2</v>
      </c>
      <c r="J307" s="151">
        <f t="shared" ca="1" si="34"/>
        <v>1.2609586547684959E-4</v>
      </c>
      <c r="K307" s="150"/>
      <c r="L307" s="150"/>
      <c r="M307" s="146"/>
      <c r="P307" s="133"/>
    </row>
    <row r="308" spans="2:16" x14ac:dyDescent="0.2">
      <c r="B308" s="103">
        <v>263</v>
      </c>
      <c r="C308" s="103"/>
      <c r="D308" s="103">
        <v>263</v>
      </c>
      <c r="E308" s="132"/>
      <c r="F308" s="153"/>
      <c r="G308" s="153"/>
      <c r="H308" s="147">
        <f t="shared" si="33"/>
        <v>21.916666666666664</v>
      </c>
      <c r="I308" s="153">
        <f t="shared" ca="1" si="32"/>
        <v>4.9566157805771893E-2</v>
      </c>
      <c r="J308" s="151">
        <f t="shared" ca="1" si="34"/>
        <v>1.2607914053608393E-4</v>
      </c>
      <c r="K308" s="150"/>
      <c r="L308" s="150"/>
      <c r="M308" s="133"/>
      <c r="P308" s="133"/>
    </row>
    <row r="309" spans="2:16" x14ac:dyDescent="0.2">
      <c r="B309" s="103">
        <v>264</v>
      </c>
      <c r="C309" s="103"/>
      <c r="D309" s="103">
        <v>264</v>
      </c>
      <c r="E309" s="132"/>
      <c r="F309" s="153"/>
      <c r="G309" s="153"/>
      <c r="H309" s="147">
        <f t="shared" si="33"/>
        <v>22</v>
      </c>
      <c r="I309" s="153">
        <f t="shared" ca="1" si="32"/>
        <v>4.9692220223585548E-2</v>
      </c>
      <c r="J309" s="151">
        <f t="shared" ca="1" si="34"/>
        <v>1.260624178136549E-4</v>
      </c>
      <c r="K309" s="150"/>
      <c r="L309" s="150"/>
      <c r="M309" s="133"/>
      <c r="P309" s="133"/>
    </row>
    <row r="310" spans="2:16" x14ac:dyDescent="0.2">
      <c r="B310" s="103">
        <v>265</v>
      </c>
      <c r="C310" s="103"/>
      <c r="D310" s="103">
        <v>265</v>
      </c>
      <c r="E310" s="132"/>
      <c r="F310" s="153"/>
      <c r="G310" s="153"/>
      <c r="H310" s="147">
        <f t="shared" si="33"/>
        <v>22.083333333333332</v>
      </c>
      <c r="I310" s="153">
        <f ca="1">1-(1-$G$67)*((1-$G$68)/(1-$G$67))^(H310-1)</f>
        <v>5.292313793087744E-2</v>
      </c>
      <c r="J310" s="151">
        <f t="shared" ca="1" si="34"/>
        <v>3.2309177072918915E-3</v>
      </c>
      <c r="K310" s="150"/>
      <c r="L310" s="150"/>
      <c r="M310" s="146"/>
      <c r="P310" s="133"/>
    </row>
    <row r="311" spans="2:16" x14ac:dyDescent="0.2">
      <c r="B311" s="103">
        <v>266</v>
      </c>
      <c r="C311" s="103"/>
      <c r="D311" s="103">
        <v>266</v>
      </c>
      <c r="E311" s="132"/>
      <c r="F311" s="153"/>
      <c r="G311" s="153"/>
      <c r="H311" s="147">
        <f t="shared" si="33"/>
        <v>22.166666666666664</v>
      </c>
      <c r="I311" s="153">
        <f t="shared" ref="I311:I321" ca="1" si="35">1-(1-$G$67)*((1-$G$68)/(1-$G$67))^(H311-1)</f>
        <v>5.3055047861706783E-2</v>
      </c>
      <c r="J311" s="151">
        <f t="shared" ca="1" si="34"/>
        <v>1.3190993082934366E-4</v>
      </c>
      <c r="K311" s="150"/>
      <c r="L311" s="150"/>
      <c r="M311" s="133"/>
      <c r="P311" s="133"/>
    </row>
    <row r="312" spans="2:16" x14ac:dyDescent="0.2">
      <c r="B312" s="103">
        <v>267</v>
      </c>
      <c r="C312" s="103"/>
      <c r="D312" s="103">
        <v>267</v>
      </c>
      <c r="E312" s="132"/>
      <c r="F312" s="153"/>
      <c r="G312" s="153"/>
      <c r="H312" s="147">
        <f t="shared" si="33"/>
        <v>22.25</v>
      </c>
      <c r="I312" s="153">
        <f t="shared" ca="1" si="35"/>
        <v>5.3186939419972767E-2</v>
      </c>
      <c r="J312" s="151">
        <f t="shared" ca="1" si="34"/>
        <v>1.3189155826598409E-4</v>
      </c>
      <c r="K312" s="150"/>
      <c r="L312" s="150"/>
      <c r="M312" s="133"/>
      <c r="P312" s="133"/>
    </row>
    <row r="313" spans="2:16" x14ac:dyDescent="0.2">
      <c r="B313" s="103">
        <v>268</v>
      </c>
      <c r="C313" s="103"/>
      <c r="D313" s="103">
        <v>268</v>
      </c>
      <c r="E313" s="132"/>
      <c r="F313" s="153"/>
      <c r="G313" s="153"/>
      <c r="H313" s="147">
        <f t="shared" si="33"/>
        <v>22.333333333333332</v>
      </c>
      <c r="I313" s="153">
        <f t="shared" ca="1" si="35"/>
        <v>5.3318812608234012E-2</v>
      </c>
      <c r="J313" s="151">
        <f t="shared" ca="1" si="34"/>
        <v>1.318731882612445E-4</v>
      </c>
      <c r="K313" s="150"/>
      <c r="L313" s="150"/>
      <c r="M313" s="146"/>
      <c r="P313" s="133"/>
    </row>
    <row r="314" spans="2:16" x14ac:dyDescent="0.2">
      <c r="B314" s="103">
        <v>269</v>
      </c>
      <c r="C314" s="103"/>
      <c r="D314" s="103">
        <v>269</v>
      </c>
      <c r="E314" s="132"/>
      <c r="F314" s="153"/>
      <c r="G314" s="153"/>
      <c r="H314" s="147">
        <f t="shared" si="33"/>
        <v>22.416666666666664</v>
      </c>
      <c r="I314" s="153">
        <f t="shared" ca="1" si="35"/>
        <v>5.3450667429049248E-2</v>
      </c>
      <c r="J314" s="151">
        <f t="shared" ca="1" si="34"/>
        <v>1.3185482081523592E-4</v>
      </c>
      <c r="K314" s="150"/>
      <c r="L314" s="150"/>
      <c r="M314" s="133"/>
      <c r="P314" s="133"/>
    </row>
    <row r="315" spans="2:16" x14ac:dyDescent="0.2">
      <c r="B315" s="103">
        <v>270</v>
      </c>
      <c r="C315" s="103"/>
      <c r="D315" s="103">
        <v>270</v>
      </c>
      <c r="E315" s="132"/>
      <c r="F315" s="153"/>
      <c r="G315" s="153"/>
      <c r="H315" s="147">
        <f t="shared" si="33"/>
        <v>22.5</v>
      </c>
      <c r="I315" s="153">
        <f t="shared" ca="1" si="35"/>
        <v>5.3582503884976762E-2</v>
      </c>
      <c r="J315" s="151">
        <f t="shared" ca="1" si="34"/>
        <v>1.3183645592751425E-4</v>
      </c>
      <c r="K315" s="150"/>
      <c r="L315" s="150"/>
      <c r="M315" s="133"/>
      <c r="P315" s="133"/>
    </row>
    <row r="316" spans="2:16" x14ac:dyDescent="0.2">
      <c r="B316" s="103">
        <v>271</v>
      </c>
      <c r="C316" s="103"/>
      <c r="D316" s="103">
        <v>271</v>
      </c>
      <c r="E316" s="132"/>
      <c r="F316" s="153"/>
      <c r="G316" s="153"/>
      <c r="H316" s="147">
        <f t="shared" si="33"/>
        <v>22.583333333333332</v>
      </c>
      <c r="I316" s="153">
        <f t="shared" ca="1" si="35"/>
        <v>5.3714321978574397E-2</v>
      </c>
      <c r="J316" s="151">
        <f t="shared" ca="1" si="34"/>
        <v>1.3181809359763541E-4</v>
      </c>
      <c r="K316" s="150"/>
      <c r="L316" s="150"/>
      <c r="M316" s="146"/>
      <c r="P316" s="133"/>
    </row>
    <row r="317" spans="2:16" x14ac:dyDescent="0.2">
      <c r="B317" s="103">
        <v>272</v>
      </c>
      <c r="C317" s="103"/>
      <c r="D317" s="103">
        <v>272</v>
      </c>
      <c r="E317" s="132"/>
      <c r="F317" s="153"/>
      <c r="G317" s="153"/>
      <c r="H317" s="147">
        <f t="shared" si="33"/>
        <v>22.666666666666664</v>
      </c>
      <c r="I317" s="153">
        <f t="shared" ca="1" si="35"/>
        <v>5.3846121712399553E-2</v>
      </c>
      <c r="J317" s="151">
        <f t="shared" ca="1" si="34"/>
        <v>1.3179973382515531E-4</v>
      </c>
      <c r="K317" s="150"/>
      <c r="L317" s="150"/>
      <c r="M317" s="133"/>
      <c r="P317" s="133"/>
    </row>
    <row r="318" spans="2:16" x14ac:dyDescent="0.2">
      <c r="B318" s="103">
        <v>273</v>
      </c>
      <c r="C318" s="103"/>
      <c r="D318" s="103">
        <v>273</v>
      </c>
      <c r="E318" s="132"/>
      <c r="F318" s="153"/>
      <c r="G318" s="153"/>
      <c r="H318" s="147">
        <f t="shared" si="33"/>
        <v>22.75</v>
      </c>
      <c r="I318" s="153">
        <f t="shared" ca="1" si="35"/>
        <v>5.3977903089009627E-2</v>
      </c>
      <c r="J318" s="151">
        <f t="shared" ca="1" si="34"/>
        <v>1.3178137661007394E-4</v>
      </c>
      <c r="K318" s="150"/>
      <c r="L318" s="150"/>
      <c r="M318" s="133"/>
      <c r="P318" s="133"/>
    </row>
    <row r="319" spans="2:16" x14ac:dyDescent="0.2">
      <c r="B319" s="103">
        <v>274</v>
      </c>
      <c r="C319" s="103"/>
      <c r="D319" s="103">
        <v>274</v>
      </c>
      <c r="E319" s="132"/>
      <c r="F319" s="153"/>
      <c r="G319" s="153"/>
      <c r="H319" s="147">
        <f t="shared" si="33"/>
        <v>22.833333333333332</v>
      </c>
      <c r="I319" s="153">
        <f t="shared" ca="1" si="35"/>
        <v>5.410966611096113E-2</v>
      </c>
      <c r="J319" s="151">
        <f t="shared" ca="1" si="34"/>
        <v>1.3176302195150313E-4</v>
      </c>
      <c r="K319" s="150"/>
      <c r="L319" s="150"/>
      <c r="M319" s="146"/>
      <c r="P319" s="133"/>
    </row>
    <row r="320" spans="2:16" x14ac:dyDescent="0.2">
      <c r="B320" s="103">
        <v>275</v>
      </c>
      <c r="C320" s="103"/>
      <c r="D320" s="103">
        <v>275</v>
      </c>
      <c r="E320" s="132"/>
      <c r="F320" s="153"/>
      <c r="G320" s="153"/>
      <c r="H320" s="147">
        <f t="shared" si="33"/>
        <v>22.916666666666664</v>
      </c>
      <c r="I320" s="153">
        <f t="shared" ca="1" si="35"/>
        <v>5.4241410780810795E-2</v>
      </c>
      <c r="J320" s="151">
        <f t="shared" ca="1" si="34"/>
        <v>1.3174466984966493E-4</v>
      </c>
      <c r="K320" s="150"/>
      <c r="L320" s="150"/>
      <c r="M320" s="133"/>
      <c r="P320" s="133"/>
    </row>
    <row r="321" spans="2:16" x14ac:dyDescent="0.2">
      <c r="B321" s="103">
        <v>276</v>
      </c>
      <c r="C321" s="103"/>
      <c r="D321" s="103">
        <v>276</v>
      </c>
      <c r="E321" s="132"/>
      <c r="F321" s="153"/>
      <c r="G321" s="153"/>
      <c r="H321" s="147">
        <f t="shared" si="33"/>
        <v>23</v>
      </c>
      <c r="I321" s="153">
        <f t="shared" ca="1" si="35"/>
        <v>5.4373137101115132E-2</v>
      </c>
      <c r="J321" s="151">
        <f t="shared" ca="1" si="34"/>
        <v>1.3172632030433729E-4</v>
      </c>
      <c r="K321" s="150"/>
      <c r="L321" s="150"/>
      <c r="M321" s="133"/>
      <c r="P321" s="133"/>
    </row>
    <row r="322" spans="2:16" x14ac:dyDescent="0.2">
      <c r="B322" s="103">
        <v>277</v>
      </c>
      <c r="C322" s="103"/>
      <c r="D322" s="103">
        <v>277</v>
      </c>
      <c r="E322" s="132"/>
      <c r="F322" s="153"/>
      <c r="G322" s="153"/>
      <c r="H322" s="147">
        <f t="shared" si="33"/>
        <v>23.083333333333332</v>
      </c>
      <c r="I322" s="153">
        <f ca="1">1-(1-$G$68)*((1-$G$69)/(1-$G$68))^(H322-1)</f>
        <v>5.7733340187487991E-2</v>
      </c>
      <c r="J322" s="151">
        <f t="shared" ca="1" si="34"/>
        <v>3.3602030863728594E-3</v>
      </c>
      <c r="K322" s="150"/>
      <c r="L322" s="150"/>
      <c r="M322" s="146"/>
      <c r="P322" s="133"/>
    </row>
    <row r="323" spans="2:16" x14ac:dyDescent="0.2">
      <c r="B323" s="103">
        <v>278</v>
      </c>
      <c r="C323" s="103"/>
      <c r="D323" s="103">
        <v>278</v>
      </c>
      <c r="E323" s="132"/>
      <c r="F323" s="153"/>
      <c r="G323" s="153"/>
      <c r="H323" s="147">
        <f t="shared" si="33"/>
        <v>23.166666666666664</v>
      </c>
      <c r="I323" s="153">
        <f t="shared" ref="I323:I333" ca="1" si="36">1-(1-$G$68)*((1-$G$69)/(1-$G$68))^(H323-1)</f>
        <v>5.7870798082366504E-2</v>
      </c>
      <c r="J323" s="151">
        <f t="shared" ca="1" si="34"/>
        <v>1.3745789487851212E-4</v>
      </c>
      <c r="K323" s="150"/>
      <c r="L323" s="150"/>
      <c r="M323" s="133"/>
      <c r="P323" s="133"/>
    </row>
    <row r="324" spans="2:16" x14ac:dyDescent="0.2">
      <c r="B324" s="103">
        <v>279</v>
      </c>
      <c r="C324" s="103"/>
      <c r="D324" s="103">
        <v>279</v>
      </c>
      <c r="E324" s="132"/>
      <c r="F324" s="153"/>
      <c r="G324" s="153"/>
      <c r="H324" s="147">
        <f t="shared" si="33"/>
        <v>23.25</v>
      </c>
      <c r="I324" s="153">
        <f t="shared" ca="1" si="36"/>
        <v>5.8008235924882134E-2</v>
      </c>
      <c r="J324" s="151">
        <f t="shared" ca="1" si="34"/>
        <v>1.3743784251563085E-4</v>
      </c>
      <c r="K324" s="150"/>
      <c r="L324" s="150"/>
      <c r="M324" s="133"/>
      <c r="P324" s="133"/>
    </row>
    <row r="325" spans="2:16" x14ac:dyDescent="0.2">
      <c r="B325" s="103">
        <v>280</v>
      </c>
      <c r="C325" s="103"/>
      <c r="D325" s="103">
        <v>280</v>
      </c>
      <c r="E325" s="132"/>
      <c r="F325" s="153"/>
      <c r="G325" s="153"/>
      <c r="H325" s="147">
        <f t="shared" si="33"/>
        <v>23.333333333333332</v>
      </c>
      <c r="I325" s="153">
        <f t="shared" ca="1" si="36"/>
        <v>5.8145653717960433E-2</v>
      </c>
      <c r="J325" s="151">
        <f t="shared" ca="1" si="34"/>
        <v>1.3741779307829827E-4</v>
      </c>
      <c r="K325" s="150"/>
      <c r="L325" s="150"/>
      <c r="M325" s="146"/>
      <c r="P325" s="133"/>
    </row>
    <row r="326" spans="2:16" x14ac:dyDescent="0.2">
      <c r="B326" s="103">
        <v>281</v>
      </c>
      <c r="C326" s="103"/>
      <c r="D326" s="103">
        <v>281</v>
      </c>
      <c r="E326" s="132"/>
      <c r="F326" s="153"/>
      <c r="G326" s="153"/>
      <c r="H326" s="147">
        <f t="shared" si="33"/>
        <v>23.416666666666664</v>
      </c>
      <c r="I326" s="153">
        <f t="shared" ca="1" si="36"/>
        <v>5.8283051464525837E-2</v>
      </c>
      <c r="J326" s="151">
        <f t="shared" ca="1" si="34"/>
        <v>1.3739774656540416E-4</v>
      </c>
      <c r="K326" s="150"/>
      <c r="L326" s="150"/>
      <c r="M326" s="133"/>
      <c r="P326" s="133"/>
    </row>
    <row r="327" spans="2:16" x14ac:dyDescent="0.2">
      <c r="B327" s="103">
        <v>282</v>
      </c>
      <c r="C327" s="103"/>
      <c r="D327" s="103">
        <v>282</v>
      </c>
      <c r="E327" s="132"/>
      <c r="F327" s="153"/>
      <c r="G327" s="153"/>
      <c r="H327" s="147">
        <f t="shared" si="33"/>
        <v>23.5</v>
      </c>
      <c r="I327" s="153">
        <f t="shared" ca="1" si="36"/>
        <v>5.8420429167503007E-2</v>
      </c>
      <c r="J327" s="151">
        <f t="shared" ca="1" si="34"/>
        <v>1.3737770297717056E-4</v>
      </c>
      <c r="K327" s="150"/>
      <c r="L327" s="150"/>
      <c r="M327" s="133"/>
      <c r="P327" s="133"/>
    </row>
    <row r="328" spans="2:16" x14ac:dyDescent="0.2">
      <c r="B328" s="103">
        <v>283</v>
      </c>
      <c r="C328" s="103"/>
      <c r="D328" s="103">
        <v>283</v>
      </c>
      <c r="E328" s="132"/>
      <c r="F328" s="153"/>
      <c r="G328" s="153"/>
      <c r="H328" s="147">
        <f t="shared" si="33"/>
        <v>23.583333333333332</v>
      </c>
      <c r="I328" s="153">
        <f t="shared" ca="1" si="36"/>
        <v>5.8557786829815939E-2</v>
      </c>
      <c r="J328" s="151">
        <f t="shared" ca="1" si="34"/>
        <v>1.3735766231293134E-4</v>
      </c>
      <c r="K328" s="150"/>
      <c r="L328" s="150"/>
      <c r="M328" s="146"/>
      <c r="P328" s="133"/>
    </row>
    <row r="329" spans="2:16" x14ac:dyDescent="0.2">
      <c r="B329" s="103">
        <v>284</v>
      </c>
      <c r="C329" s="103"/>
      <c r="D329" s="103">
        <v>284</v>
      </c>
      <c r="E329" s="132"/>
      <c r="F329" s="153"/>
      <c r="G329" s="153"/>
      <c r="H329" s="147">
        <f t="shared" si="33"/>
        <v>23.666666666666664</v>
      </c>
      <c r="I329" s="153">
        <f t="shared" ca="1" si="36"/>
        <v>5.8695124454387959E-2</v>
      </c>
      <c r="J329" s="151">
        <f t="shared" ca="1" si="34"/>
        <v>1.3733762457202037E-4</v>
      </c>
      <c r="K329" s="150"/>
      <c r="L329" s="150"/>
      <c r="M329" s="133"/>
      <c r="P329" s="133"/>
    </row>
    <row r="330" spans="2:16" x14ac:dyDescent="0.2">
      <c r="B330" s="103">
        <v>285</v>
      </c>
      <c r="C330" s="103"/>
      <c r="D330" s="103">
        <v>285</v>
      </c>
      <c r="E330" s="132"/>
      <c r="F330" s="153"/>
      <c r="G330" s="153"/>
      <c r="H330" s="147">
        <f t="shared" si="33"/>
        <v>23.75</v>
      </c>
      <c r="I330" s="153">
        <f t="shared" ca="1" si="36"/>
        <v>5.8832442044142286E-2</v>
      </c>
      <c r="J330" s="151">
        <f t="shared" ca="1" si="34"/>
        <v>1.3731758975432662E-4</v>
      </c>
      <c r="K330" s="150"/>
      <c r="L330" s="150"/>
      <c r="M330" s="133"/>
      <c r="P330" s="133"/>
    </row>
    <row r="331" spans="2:16" x14ac:dyDescent="0.2">
      <c r="B331" s="103">
        <v>286</v>
      </c>
      <c r="C331" s="103"/>
      <c r="D331" s="103">
        <v>286</v>
      </c>
      <c r="E331" s="132"/>
      <c r="F331" s="153"/>
      <c r="G331" s="153"/>
      <c r="H331" s="147">
        <f t="shared" si="33"/>
        <v>23.833333333333332</v>
      </c>
      <c r="I331" s="153">
        <f t="shared" ca="1" si="36"/>
        <v>5.8969739602001581E-2</v>
      </c>
      <c r="J331" s="151">
        <f t="shared" ca="1" si="34"/>
        <v>1.3729755785929498E-4</v>
      </c>
      <c r="K331" s="150"/>
      <c r="L331" s="150"/>
      <c r="M331" s="146"/>
      <c r="P331" s="133"/>
    </row>
    <row r="332" spans="2:16" x14ac:dyDescent="0.2">
      <c r="B332" s="103">
        <v>287</v>
      </c>
      <c r="C332" s="103"/>
      <c r="D332" s="103">
        <v>287</v>
      </c>
      <c r="E332" s="132"/>
      <c r="F332" s="153"/>
      <c r="G332" s="153"/>
      <c r="H332" s="147">
        <f t="shared" si="33"/>
        <v>23.916666666666664</v>
      </c>
      <c r="I332" s="153">
        <f t="shared" ca="1" si="36"/>
        <v>5.9107017130888062E-2</v>
      </c>
      <c r="J332" s="151">
        <f t="shared" ca="1" si="34"/>
        <v>1.3727752888648137E-4</v>
      </c>
      <c r="K332" s="150"/>
      <c r="L332" s="150"/>
      <c r="M332" s="133"/>
      <c r="P332" s="133"/>
    </row>
    <row r="333" spans="2:16" x14ac:dyDescent="0.2">
      <c r="B333" s="103">
        <v>288</v>
      </c>
      <c r="C333" s="103"/>
      <c r="D333" s="131">
        <v>288</v>
      </c>
      <c r="E333" s="132"/>
      <c r="F333" s="153"/>
      <c r="G333" s="153"/>
      <c r="H333" s="147">
        <f t="shared" si="33"/>
        <v>24</v>
      </c>
      <c r="I333" s="153">
        <f t="shared" ca="1" si="36"/>
        <v>5.9244274633723726E-2</v>
      </c>
      <c r="J333" s="151">
        <f t="shared" ca="1" si="34"/>
        <v>1.3725750283566374E-4</v>
      </c>
      <c r="K333" s="150"/>
      <c r="L333" s="150"/>
      <c r="M333" s="133"/>
      <c r="P333" s="133"/>
    </row>
    <row r="334" spans="2:16" x14ac:dyDescent="0.2">
      <c r="B334" s="103">
        <v>289</v>
      </c>
      <c r="C334" s="148"/>
      <c r="D334" s="131">
        <v>289</v>
      </c>
      <c r="E334" s="148"/>
      <c r="F334" s="148"/>
      <c r="G334" s="148"/>
      <c r="H334" s="147">
        <f t="shared" si="33"/>
        <v>24.083333333333332</v>
      </c>
      <c r="I334" s="153">
        <f ca="1">1-(1-$G$69)*((1-$G$70)/(1-$G$69))^(H334-1)</f>
        <v>6.2725914755845991E-2</v>
      </c>
      <c r="J334" s="151">
        <f t="shared" ca="1" si="34"/>
        <v>3.4816401221222648E-3</v>
      </c>
      <c r="P334" s="133"/>
    </row>
    <row r="335" spans="2:16" x14ac:dyDescent="0.2">
      <c r="B335" s="103">
        <v>290</v>
      </c>
      <c r="C335" s="148"/>
      <c r="D335" s="131">
        <v>290</v>
      </c>
      <c r="E335" s="148"/>
      <c r="F335" s="148"/>
      <c r="G335" s="148"/>
      <c r="H335" s="147">
        <f t="shared" si="33"/>
        <v>24.166666666666664</v>
      </c>
      <c r="I335" s="153">
        <f t="shared" ref="I335:I345" ca="1" si="37">1-(1-$G$69)*((1-$G$70)/(1-$G$69))^(H335-1)</f>
        <v>6.286877185072004E-2</v>
      </c>
      <c r="J335" s="151">
        <f t="shared" ca="1" si="34"/>
        <v>1.428570948740493E-4</v>
      </c>
    </row>
    <row r="336" spans="2:16" x14ac:dyDescent="0.2">
      <c r="B336" s="103">
        <v>291</v>
      </c>
      <c r="C336" s="148"/>
      <c r="D336" s="131">
        <v>291</v>
      </c>
      <c r="E336" s="148"/>
      <c r="F336" s="148"/>
      <c r="G336" s="148"/>
      <c r="H336" s="147">
        <f t="shared" si="33"/>
        <v>24.25</v>
      </c>
      <c r="I336" s="153">
        <f t="shared" ca="1" si="37"/>
        <v>6.3011607171654327E-2</v>
      </c>
      <c r="J336" s="151">
        <f t="shared" ca="1" si="34"/>
        <v>1.4283532093428697E-4</v>
      </c>
    </row>
    <row r="337" spans="2:10" x14ac:dyDescent="0.2">
      <c r="B337" s="103">
        <v>292</v>
      </c>
      <c r="C337" s="148"/>
      <c r="D337" s="131">
        <v>292</v>
      </c>
      <c r="E337" s="148"/>
      <c r="F337" s="148"/>
      <c r="G337" s="148"/>
      <c r="H337" s="147">
        <f t="shared" si="33"/>
        <v>24.333333333333332</v>
      </c>
      <c r="I337" s="153">
        <f t="shared" ca="1" si="37"/>
        <v>6.315442072196753E-2</v>
      </c>
      <c r="J337" s="151">
        <f t="shared" ca="1" si="34"/>
        <v>1.4281355031320331E-4</v>
      </c>
    </row>
    <row r="338" spans="2:10" x14ac:dyDescent="0.2">
      <c r="B338" s="103">
        <v>293</v>
      </c>
      <c r="C338" s="148"/>
      <c r="D338" s="131">
        <v>293</v>
      </c>
      <c r="E338" s="148"/>
      <c r="F338" s="148"/>
      <c r="G338" s="148"/>
      <c r="H338" s="147">
        <f t="shared" si="33"/>
        <v>24.416666666666664</v>
      </c>
      <c r="I338" s="153">
        <f t="shared" ca="1" si="37"/>
        <v>6.3297212504977662E-2</v>
      </c>
      <c r="J338" s="151">
        <f t="shared" ca="1" si="34"/>
        <v>1.4279178301013218E-4</v>
      </c>
    </row>
    <row r="339" spans="2:10" x14ac:dyDescent="0.2">
      <c r="B339" s="103">
        <v>294</v>
      </c>
      <c r="C339" s="148"/>
      <c r="D339" s="131">
        <v>294</v>
      </c>
      <c r="E339" s="148"/>
      <c r="F339" s="148"/>
      <c r="G339" s="148"/>
      <c r="H339" s="147">
        <f t="shared" si="33"/>
        <v>24.5</v>
      </c>
      <c r="I339" s="153">
        <f t="shared" ca="1" si="37"/>
        <v>6.3439982524002736E-2</v>
      </c>
      <c r="J339" s="151">
        <f t="shared" ca="1" si="34"/>
        <v>1.4277001902507358E-4</v>
      </c>
    </row>
    <row r="340" spans="2:10" x14ac:dyDescent="0.2">
      <c r="B340" s="103">
        <v>295</v>
      </c>
      <c r="C340" s="148"/>
      <c r="D340" s="131">
        <v>295</v>
      </c>
      <c r="E340" s="148"/>
      <c r="F340" s="148"/>
      <c r="G340" s="148"/>
      <c r="H340" s="147">
        <f t="shared" si="33"/>
        <v>24.583333333333332</v>
      </c>
      <c r="I340" s="153">
        <f t="shared" ca="1" si="37"/>
        <v>6.3582730782359875E-2</v>
      </c>
      <c r="J340" s="151">
        <f t="shared" ca="1" si="34"/>
        <v>1.4274825835713933E-4</v>
      </c>
    </row>
    <row r="341" spans="2:10" x14ac:dyDescent="0.2">
      <c r="B341" s="103">
        <v>296</v>
      </c>
      <c r="C341" s="148"/>
      <c r="D341" s="131">
        <v>296</v>
      </c>
      <c r="E341" s="148"/>
      <c r="F341" s="148"/>
      <c r="G341" s="148"/>
      <c r="H341" s="147">
        <f t="shared" si="33"/>
        <v>24.666666666666664</v>
      </c>
      <c r="I341" s="153">
        <f t="shared" ca="1" si="37"/>
        <v>6.3725457283365761E-2</v>
      </c>
      <c r="J341" s="151">
        <f t="shared" ca="1" si="34"/>
        <v>1.4272650100588535E-4</v>
      </c>
    </row>
    <row r="342" spans="2:10" x14ac:dyDescent="0.2">
      <c r="B342" s="103">
        <v>297</v>
      </c>
      <c r="C342" s="148"/>
      <c r="D342" s="131">
        <v>297</v>
      </c>
      <c r="E342" s="148"/>
      <c r="F342" s="148"/>
      <c r="G342" s="148"/>
      <c r="H342" s="147">
        <f t="shared" si="33"/>
        <v>24.75</v>
      </c>
      <c r="I342" s="153">
        <f t="shared" ca="1" si="37"/>
        <v>6.3868162030336628E-2</v>
      </c>
      <c r="J342" s="151">
        <f t="shared" ca="1" si="34"/>
        <v>1.4270474697086755E-4</v>
      </c>
    </row>
    <row r="343" spans="2:10" x14ac:dyDescent="0.2">
      <c r="B343" s="103">
        <v>298</v>
      </c>
      <c r="C343" s="148"/>
      <c r="D343" s="131">
        <v>298</v>
      </c>
      <c r="E343" s="148"/>
      <c r="F343" s="148"/>
      <c r="G343" s="148"/>
      <c r="H343" s="147">
        <f t="shared" si="33"/>
        <v>24.833333333333332</v>
      </c>
      <c r="I343" s="153">
        <f t="shared" ca="1" si="37"/>
        <v>6.4010845026588048E-2</v>
      </c>
      <c r="J343" s="151">
        <f t="shared" ca="1" si="34"/>
        <v>1.4268299625141978E-4</v>
      </c>
    </row>
    <row r="344" spans="2:10" x14ac:dyDescent="0.2">
      <c r="B344" s="103">
        <v>299</v>
      </c>
      <c r="C344" s="148"/>
      <c r="D344" s="131">
        <v>299</v>
      </c>
      <c r="E344" s="148"/>
      <c r="F344" s="148"/>
      <c r="G344" s="148"/>
      <c r="H344" s="147">
        <f t="shared" si="33"/>
        <v>24.916666666666664</v>
      </c>
      <c r="I344" s="153">
        <f t="shared" ca="1" si="37"/>
        <v>6.4153506275435479E-2</v>
      </c>
      <c r="J344" s="151">
        <f t="shared" ca="1" si="34"/>
        <v>1.4266124884743103E-4</v>
      </c>
    </row>
    <row r="345" spans="2:10" x14ac:dyDescent="0.2">
      <c r="B345" s="103">
        <v>300</v>
      </c>
      <c r="C345" s="148"/>
      <c r="D345" s="131">
        <v>300</v>
      </c>
      <c r="E345" s="148"/>
      <c r="F345" s="148"/>
      <c r="G345" s="148"/>
      <c r="H345" s="147">
        <f t="shared" si="33"/>
        <v>25</v>
      </c>
      <c r="I345" s="153">
        <f t="shared" ca="1" si="37"/>
        <v>6.4296145780193381E-2</v>
      </c>
      <c r="J345" s="151">
        <f t="shared" ca="1" si="34"/>
        <v>1.426395047579021E-4</v>
      </c>
    </row>
    <row r="346" spans="2:10" x14ac:dyDescent="0.2">
      <c r="B346" s="103">
        <v>301</v>
      </c>
      <c r="C346" s="148"/>
      <c r="D346" s="131">
        <v>301</v>
      </c>
      <c r="E346" s="148"/>
      <c r="F346" s="148"/>
      <c r="G346" s="148"/>
      <c r="H346" s="147">
        <f t="shared" si="33"/>
        <v>25.083333333333332</v>
      </c>
      <c r="I346" s="153">
        <f ca="1">1-(1-$G$70)*((1-$G$71)/(1-$G$70))^(H346-1)</f>
        <v>6.7891242885029568E-2</v>
      </c>
      <c r="J346" s="151">
        <f t="shared" ca="1" si="34"/>
        <v>3.5950971048361868E-3</v>
      </c>
    </row>
    <row r="347" spans="2:10" x14ac:dyDescent="0.2">
      <c r="B347" s="103">
        <v>302</v>
      </c>
      <c r="C347" s="148"/>
      <c r="D347" s="131">
        <v>302</v>
      </c>
      <c r="E347" s="148"/>
      <c r="F347" s="148"/>
      <c r="G347" s="148"/>
      <c r="H347" s="147">
        <f t="shared" si="33"/>
        <v>25.166666666666664</v>
      </c>
      <c r="I347" s="153">
        <f t="shared" ref="I347:I357" ca="1" si="38">1-(1-$G$70)*((1-$G$71)/(1-$G$70))^(H347-1)</f>
        <v>6.8039336438690201E-2</v>
      </c>
      <c r="J347" s="151">
        <f t="shared" ca="1" si="34"/>
        <v>1.4809355366063315E-4</v>
      </c>
    </row>
    <row r="348" spans="2:10" x14ac:dyDescent="0.2">
      <c r="B348" s="103">
        <v>303</v>
      </c>
      <c r="C348" s="148"/>
      <c r="D348" s="131">
        <v>303</v>
      </c>
      <c r="E348" s="148"/>
      <c r="F348" s="148"/>
      <c r="G348" s="148"/>
      <c r="H348" s="147">
        <f t="shared" si="33"/>
        <v>25.25</v>
      </c>
      <c r="I348" s="153">
        <f t="shared" ca="1" si="38"/>
        <v>6.8187406463228739E-2</v>
      </c>
      <c r="J348" s="151">
        <f t="shared" ca="1" si="34"/>
        <v>1.4807002453853801E-4</v>
      </c>
    </row>
    <row r="349" spans="2:10" x14ac:dyDescent="0.2">
      <c r="B349" s="103">
        <v>304</v>
      </c>
      <c r="C349" s="148"/>
      <c r="D349" s="131">
        <v>304</v>
      </c>
      <c r="E349" s="148"/>
      <c r="F349" s="148"/>
      <c r="G349" s="148"/>
      <c r="H349" s="147">
        <f t="shared" si="33"/>
        <v>25.333333333333332</v>
      </c>
      <c r="I349" s="153">
        <f t="shared" ca="1" si="38"/>
        <v>6.8335452962383747E-2</v>
      </c>
      <c r="J349" s="151">
        <f t="shared" ca="1" si="34"/>
        <v>1.4804649915500789E-4</v>
      </c>
    </row>
    <row r="350" spans="2:10" x14ac:dyDescent="0.2">
      <c r="B350" s="103">
        <v>305</v>
      </c>
      <c r="C350" s="148"/>
      <c r="D350" s="131">
        <v>305</v>
      </c>
      <c r="E350" s="148"/>
      <c r="F350" s="148"/>
      <c r="G350" s="148"/>
      <c r="H350" s="147">
        <f t="shared" si="33"/>
        <v>25.416666666666664</v>
      </c>
      <c r="I350" s="153">
        <f t="shared" ca="1" si="38"/>
        <v>6.8483475939892569E-2</v>
      </c>
      <c r="J350" s="151">
        <f t="shared" ca="1" si="34"/>
        <v>1.4802297750882154E-4</v>
      </c>
    </row>
    <row r="351" spans="2:10" x14ac:dyDescent="0.2">
      <c r="B351" s="103">
        <v>306</v>
      </c>
      <c r="C351" s="148"/>
      <c r="D351" s="131">
        <v>306</v>
      </c>
      <c r="E351" s="148"/>
      <c r="F351" s="148"/>
      <c r="G351" s="148"/>
      <c r="H351" s="147">
        <f t="shared" si="33"/>
        <v>25.5</v>
      </c>
      <c r="I351" s="153">
        <f t="shared" ca="1" si="38"/>
        <v>6.863147539949277E-2</v>
      </c>
      <c r="J351" s="151">
        <f t="shared" ca="1" si="34"/>
        <v>1.47999459600201E-4</v>
      </c>
    </row>
    <row r="352" spans="2:10" x14ac:dyDescent="0.2">
      <c r="B352" s="103">
        <v>307</v>
      </c>
      <c r="C352" s="148"/>
      <c r="D352" s="131">
        <v>307</v>
      </c>
      <c r="E352" s="148"/>
      <c r="F352" s="148"/>
      <c r="G352" s="148"/>
      <c r="H352" s="147">
        <f t="shared" si="33"/>
        <v>25.583333333333332</v>
      </c>
      <c r="I352" s="153">
        <f t="shared" ca="1" si="38"/>
        <v>6.8779451344920584E-2</v>
      </c>
      <c r="J352" s="151">
        <f t="shared" ca="1" si="34"/>
        <v>1.47975945427814E-4</v>
      </c>
    </row>
    <row r="353" spans="2:10" x14ac:dyDescent="0.2">
      <c r="B353" s="103">
        <v>308</v>
      </c>
      <c r="C353" s="148"/>
      <c r="D353" s="131">
        <v>308</v>
      </c>
      <c r="E353" s="148"/>
      <c r="F353" s="148"/>
      <c r="G353" s="148"/>
      <c r="H353" s="147">
        <f t="shared" si="33"/>
        <v>25.666666666666664</v>
      </c>
      <c r="I353" s="153">
        <f t="shared" ca="1" si="38"/>
        <v>6.8927403779912133E-2</v>
      </c>
      <c r="J353" s="151">
        <f t="shared" ca="1" si="34"/>
        <v>1.4795243499154953E-4</v>
      </c>
    </row>
    <row r="354" spans="2:10" x14ac:dyDescent="0.2">
      <c r="B354" s="103">
        <v>309</v>
      </c>
      <c r="C354" s="148"/>
      <c r="D354" s="131">
        <v>309</v>
      </c>
      <c r="E354" s="148"/>
      <c r="F354" s="148"/>
      <c r="G354" s="148"/>
      <c r="H354" s="147">
        <f t="shared" si="33"/>
        <v>25.75</v>
      </c>
      <c r="I354" s="153">
        <f t="shared" ca="1" si="38"/>
        <v>6.9075332708202541E-2</v>
      </c>
      <c r="J354" s="151">
        <f t="shared" ca="1" si="34"/>
        <v>1.4792892829040838E-4</v>
      </c>
    </row>
    <row r="355" spans="2:10" x14ac:dyDescent="0.2">
      <c r="B355" s="103">
        <v>310</v>
      </c>
      <c r="C355" s="148"/>
      <c r="D355" s="131">
        <v>310</v>
      </c>
      <c r="E355" s="148"/>
      <c r="F355" s="148"/>
      <c r="G355" s="148"/>
      <c r="H355" s="147">
        <f t="shared" si="33"/>
        <v>25.833333333333332</v>
      </c>
      <c r="I355" s="153">
        <f t="shared" ca="1" si="38"/>
        <v>6.922323813352671E-2</v>
      </c>
      <c r="J355" s="151">
        <f t="shared" ca="1" si="34"/>
        <v>1.479054253241685E-4</v>
      </c>
    </row>
    <row r="356" spans="2:10" x14ac:dyDescent="0.2">
      <c r="B356" s="103">
        <v>311</v>
      </c>
      <c r="C356" s="148"/>
      <c r="D356" s="131">
        <v>311</v>
      </c>
      <c r="E356" s="148"/>
      <c r="F356" s="148"/>
      <c r="G356" s="148"/>
      <c r="H356" s="147">
        <f t="shared" si="33"/>
        <v>25.916666666666664</v>
      </c>
      <c r="I356" s="153">
        <f t="shared" ca="1" si="38"/>
        <v>6.9371120059618874E-2</v>
      </c>
      <c r="J356" s="151">
        <f t="shared" ca="1" si="34"/>
        <v>1.4788192609216377E-4</v>
      </c>
    </row>
    <row r="357" spans="2:10" x14ac:dyDescent="0.2">
      <c r="B357" s="103">
        <v>312</v>
      </c>
      <c r="C357" s="148"/>
      <c r="D357" s="131">
        <v>312</v>
      </c>
      <c r="E357" s="148"/>
      <c r="F357" s="148"/>
      <c r="G357" s="148"/>
      <c r="H357" s="147">
        <f t="shared" si="33"/>
        <v>26</v>
      </c>
      <c r="I357" s="153">
        <f t="shared" ca="1" si="38"/>
        <v>6.9518978490212824E-2</v>
      </c>
      <c r="J357" s="151">
        <f t="shared" ca="1" si="34"/>
        <v>1.478584305939501E-4</v>
      </c>
    </row>
    <row r="358" spans="2:10" x14ac:dyDescent="0.2">
      <c r="B358" s="103">
        <v>313</v>
      </c>
      <c r="C358" s="148"/>
      <c r="D358" s="131">
        <v>313</v>
      </c>
      <c r="E358" s="148"/>
      <c r="F358" s="148"/>
      <c r="G358" s="148"/>
      <c r="H358" s="147">
        <f t="shared" si="33"/>
        <v>26.083333333333332</v>
      </c>
      <c r="I358" s="153">
        <f ca="1">1-(1-$G$71)*((1-$G$72)/(1-$G$71))^(H358-1)</f>
        <v>7.3219510010459121E-2</v>
      </c>
      <c r="J358" s="151">
        <f t="shared" ca="1" si="34"/>
        <v>3.7005315202462974E-3</v>
      </c>
    </row>
    <row r="359" spans="2:10" x14ac:dyDescent="0.2">
      <c r="B359" s="103">
        <v>314</v>
      </c>
      <c r="C359" s="148"/>
      <c r="D359" s="131">
        <v>314</v>
      </c>
      <c r="E359" s="148"/>
      <c r="F359" s="148"/>
      <c r="G359" s="148"/>
      <c r="H359" s="147">
        <f t="shared" si="33"/>
        <v>26.166666666666664</v>
      </c>
      <c r="I359" s="153">
        <f t="shared" ref="I359:I369" ca="1" si="39">1-(1-$G$71)*((1-$G$72)/(1-$G$71))^(H359-1)</f>
        <v>7.3372665685732308E-2</v>
      </c>
      <c r="J359" s="151">
        <f t="shared" ca="1" si="34"/>
        <v>1.5315567527318663E-4</v>
      </c>
    </row>
    <row r="360" spans="2:10" x14ac:dyDescent="0.2">
      <c r="B360" s="103">
        <v>315</v>
      </c>
      <c r="C360" s="148"/>
      <c r="D360" s="131">
        <v>315</v>
      </c>
      <c r="E360" s="148"/>
      <c r="F360" s="148"/>
      <c r="G360" s="148"/>
      <c r="H360" s="147">
        <f t="shared" si="33"/>
        <v>26.25</v>
      </c>
      <c r="I360" s="153">
        <f t="shared" ca="1" si="39"/>
        <v>7.3525796051170822E-2</v>
      </c>
      <c r="J360" s="151">
        <f t="shared" ca="1" si="34"/>
        <v>1.531303654385141E-4</v>
      </c>
    </row>
    <row r="361" spans="2:10" x14ac:dyDescent="0.2">
      <c r="B361" s="103">
        <v>316</v>
      </c>
      <c r="C361" s="148"/>
      <c r="D361" s="131">
        <v>316</v>
      </c>
      <c r="E361" s="148"/>
      <c r="F361" s="148"/>
      <c r="G361" s="148"/>
      <c r="H361" s="147">
        <f t="shared" si="33"/>
        <v>26.333333333333332</v>
      </c>
      <c r="I361" s="153">
        <f t="shared" ca="1" si="39"/>
        <v>7.3678901110957651E-2</v>
      </c>
      <c r="J361" s="151">
        <f t="shared" ca="1" si="34"/>
        <v>1.5310505978682887E-4</v>
      </c>
    </row>
    <row r="362" spans="2:10" x14ac:dyDescent="0.2">
      <c r="B362" s="103">
        <v>317</v>
      </c>
      <c r="C362" s="148"/>
      <c r="D362" s="131">
        <v>317</v>
      </c>
      <c r="E362" s="148"/>
      <c r="F362" s="148"/>
      <c r="G362" s="148"/>
      <c r="H362" s="147">
        <f t="shared" si="33"/>
        <v>26.416666666666664</v>
      </c>
      <c r="I362" s="153">
        <f t="shared" ca="1" si="39"/>
        <v>7.3831980869274227E-2</v>
      </c>
      <c r="J362" s="151">
        <f t="shared" ca="1" si="34"/>
        <v>1.5307975831657661E-4</v>
      </c>
    </row>
    <row r="363" spans="2:10" x14ac:dyDescent="0.2">
      <c r="B363" s="103">
        <v>318</v>
      </c>
      <c r="C363" s="148"/>
      <c r="D363" s="131">
        <v>318</v>
      </c>
      <c r="E363" s="148"/>
      <c r="F363" s="148"/>
      <c r="G363" s="148"/>
      <c r="H363" s="147">
        <f t="shared" si="33"/>
        <v>26.5</v>
      </c>
      <c r="I363" s="153">
        <f t="shared" ca="1" si="39"/>
        <v>7.3985035330301985E-2</v>
      </c>
      <c r="J363" s="151">
        <f t="shared" ca="1" si="34"/>
        <v>1.5305446102775733E-4</v>
      </c>
    </row>
    <row r="364" spans="2:10" x14ac:dyDescent="0.2">
      <c r="B364" s="103">
        <v>319</v>
      </c>
      <c r="C364" s="148"/>
      <c r="D364" s="131">
        <v>319</v>
      </c>
      <c r="E364" s="148"/>
      <c r="F364" s="148"/>
      <c r="G364" s="148"/>
      <c r="H364" s="147">
        <f t="shared" si="33"/>
        <v>26.583333333333332</v>
      </c>
      <c r="I364" s="153">
        <f t="shared" ca="1" si="39"/>
        <v>7.4138064498221246E-2</v>
      </c>
      <c r="J364" s="151">
        <f t="shared" ca="1" si="34"/>
        <v>1.530291679192608E-4</v>
      </c>
    </row>
    <row r="365" spans="2:10" x14ac:dyDescent="0.2">
      <c r="B365" s="103">
        <v>320</v>
      </c>
      <c r="C365" s="148"/>
      <c r="D365" s="131">
        <v>320</v>
      </c>
      <c r="E365" s="148"/>
      <c r="F365" s="148"/>
      <c r="G365" s="148"/>
      <c r="H365" s="147">
        <f t="shared" si="33"/>
        <v>26.666666666666664</v>
      </c>
      <c r="I365" s="153">
        <f t="shared" ca="1" si="39"/>
        <v>7.4291068377212222E-2</v>
      </c>
      <c r="J365" s="151">
        <f t="shared" ca="1" si="34"/>
        <v>1.5300387899097601E-4</v>
      </c>
    </row>
    <row r="366" spans="2:10" x14ac:dyDescent="0.2">
      <c r="B366" s="103">
        <v>321</v>
      </c>
      <c r="C366" s="148"/>
      <c r="D366" s="131">
        <v>321</v>
      </c>
      <c r="E366" s="148"/>
      <c r="F366" s="148"/>
      <c r="G366" s="148"/>
      <c r="H366" s="147">
        <f t="shared" si="33"/>
        <v>26.75</v>
      </c>
      <c r="I366" s="153">
        <f t="shared" ca="1" si="39"/>
        <v>7.4444046971453792E-2</v>
      </c>
      <c r="J366" s="151">
        <f t="shared" ca="1" si="34"/>
        <v>1.5297859424157068E-4</v>
      </c>
    </row>
    <row r="367" spans="2:10" x14ac:dyDescent="0.2">
      <c r="B367" s="103">
        <v>322</v>
      </c>
      <c r="C367" s="148"/>
      <c r="D367" s="131">
        <v>322</v>
      </c>
      <c r="E367" s="148"/>
      <c r="F367" s="148"/>
      <c r="G367" s="148"/>
      <c r="H367" s="147">
        <f t="shared" si="33"/>
        <v>26.833333333333332</v>
      </c>
      <c r="I367" s="153">
        <f t="shared" ca="1" si="39"/>
        <v>7.4597000285124393E-2</v>
      </c>
      <c r="J367" s="151">
        <f t="shared" ca="1" si="34"/>
        <v>1.5295331367060072E-4</v>
      </c>
    </row>
    <row r="368" spans="2:10" x14ac:dyDescent="0.2">
      <c r="B368" s="103">
        <v>323</v>
      </c>
      <c r="C368" s="148"/>
      <c r="D368" s="131">
        <v>323</v>
      </c>
      <c r="E368" s="148"/>
      <c r="F368" s="148"/>
      <c r="G368" s="148"/>
      <c r="H368" s="147">
        <f t="shared" ref="H368:H405" si="40">$C$44*B368</f>
        <v>26.916666666666664</v>
      </c>
      <c r="I368" s="153">
        <f t="shared" ca="1" si="39"/>
        <v>7.4749928322401904E-2</v>
      </c>
      <c r="J368" s="151">
        <f t="shared" ref="J368:J405" ca="1" si="41">I368-I367</f>
        <v>1.5292803727751103E-4</v>
      </c>
    </row>
    <row r="369" spans="2:10" x14ac:dyDescent="0.2">
      <c r="B369" s="103">
        <v>324</v>
      </c>
      <c r="C369" s="148"/>
      <c r="D369" s="131">
        <v>324</v>
      </c>
      <c r="E369" s="148"/>
      <c r="F369" s="148"/>
      <c r="G369" s="148"/>
      <c r="H369" s="147">
        <f t="shared" si="40"/>
        <v>27</v>
      </c>
      <c r="I369" s="153">
        <f t="shared" ca="1" si="39"/>
        <v>7.4902831087463762E-2</v>
      </c>
      <c r="J369" s="151">
        <f t="shared" ca="1" si="41"/>
        <v>1.5290276506185752E-4</v>
      </c>
    </row>
    <row r="370" spans="2:10" x14ac:dyDescent="0.2">
      <c r="B370" s="103">
        <v>325</v>
      </c>
      <c r="C370" s="148"/>
      <c r="D370" s="131">
        <v>325</v>
      </c>
      <c r="E370" s="148"/>
      <c r="F370" s="148"/>
      <c r="G370" s="148"/>
      <c r="H370" s="147">
        <f t="shared" si="40"/>
        <v>27.083333333333332</v>
      </c>
      <c r="I370" s="153">
        <f ca="1">1-(1-$G$72)*((1-$G$73)/(1-$G$72))^(H370-1)</f>
        <v>7.8700808636410269E-2</v>
      </c>
      <c r="J370" s="151">
        <f t="shared" ca="1" si="41"/>
        <v>3.7979775489465073E-3</v>
      </c>
    </row>
    <row r="371" spans="2:10" x14ac:dyDescent="0.2">
      <c r="B371" s="103">
        <v>326</v>
      </c>
      <c r="C371" s="148"/>
      <c r="D371" s="131">
        <v>326</v>
      </c>
      <c r="E371" s="148"/>
      <c r="F371" s="148"/>
      <c r="G371" s="148"/>
      <c r="H371" s="147">
        <f t="shared" si="40"/>
        <v>27.166666666666664</v>
      </c>
      <c r="I371" s="153">
        <f t="shared" ref="I371:I381" ca="1" si="42">1-(1-$G$72)*((1-$G$73)/(1-$G$72))^(H371-1)</f>
        <v>7.8858842694153886E-2</v>
      </c>
      <c r="J371" s="151">
        <f t="shared" ca="1" si="41"/>
        <v>1.5803405774361678E-4</v>
      </c>
    </row>
    <row r="372" spans="2:10" x14ac:dyDescent="0.2">
      <c r="B372" s="103">
        <v>327</v>
      </c>
      <c r="C372" s="148"/>
      <c r="D372" s="131">
        <v>327</v>
      </c>
      <c r="E372" s="148"/>
      <c r="F372" s="148"/>
      <c r="G372" s="148"/>
      <c r="H372" s="147">
        <f t="shared" si="40"/>
        <v>27.25</v>
      </c>
      <c r="I372" s="153">
        <f t="shared" ca="1" si="42"/>
        <v>7.9016849643696929E-2</v>
      </c>
      <c r="J372" s="151">
        <f t="shared" ca="1" si="41"/>
        <v>1.5800694954304362E-4</v>
      </c>
    </row>
    <row r="373" spans="2:10" x14ac:dyDescent="0.2">
      <c r="B373" s="103">
        <v>328</v>
      </c>
      <c r="C373" s="148"/>
      <c r="D373" s="131">
        <v>328</v>
      </c>
      <c r="E373" s="148"/>
      <c r="F373" s="148"/>
      <c r="G373" s="148"/>
      <c r="H373" s="147">
        <f t="shared" si="40"/>
        <v>27.333333333333332</v>
      </c>
      <c r="I373" s="153">
        <f t="shared" ca="1" si="42"/>
        <v>7.9174829489689236E-2</v>
      </c>
      <c r="J373" s="151">
        <f t="shared" ca="1" si="41"/>
        <v>1.5797984599230652E-4</v>
      </c>
    </row>
    <row r="374" spans="2:10" x14ac:dyDescent="0.2">
      <c r="B374" s="103">
        <v>329</v>
      </c>
      <c r="C374" s="148"/>
      <c r="D374" s="131">
        <v>329</v>
      </c>
      <c r="E374" s="148"/>
      <c r="F374" s="148"/>
      <c r="G374" s="148"/>
      <c r="H374" s="147">
        <f t="shared" si="40"/>
        <v>27.416666666666664</v>
      </c>
      <c r="I374" s="153">
        <f t="shared" ca="1" si="42"/>
        <v>7.9332782236779864E-2</v>
      </c>
      <c r="J374" s="151">
        <f t="shared" ca="1" si="41"/>
        <v>1.5795274709062834E-4</v>
      </c>
    </row>
    <row r="375" spans="2:10" x14ac:dyDescent="0.2">
      <c r="B375" s="103">
        <v>330</v>
      </c>
      <c r="C375" s="148"/>
      <c r="D375" s="131">
        <v>330</v>
      </c>
      <c r="E375" s="148"/>
      <c r="F375" s="148"/>
      <c r="G375" s="148"/>
      <c r="H375" s="147">
        <f t="shared" si="40"/>
        <v>27.5</v>
      </c>
      <c r="I375" s="153">
        <f t="shared" ca="1" si="42"/>
        <v>7.9490707889617429E-2</v>
      </c>
      <c r="J375" s="151">
        <f t="shared" ca="1" si="41"/>
        <v>1.5792565283756499E-4</v>
      </c>
    </row>
    <row r="376" spans="2:10" x14ac:dyDescent="0.2">
      <c r="B376" s="103">
        <v>331</v>
      </c>
      <c r="C376" s="148"/>
      <c r="D376" s="131">
        <v>331</v>
      </c>
      <c r="E376" s="148"/>
      <c r="F376" s="148"/>
      <c r="G376" s="148"/>
      <c r="H376" s="147">
        <f t="shared" si="40"/>
        <v>27.583333333333332</v>
      </c>
      <c r="I376" s="153">
        <f t="shared" ca="1" si="42"/>
        <v>7.9648606452849213E-2</v>
      </c>
      <c r="J376" s="151">
        <f t="shared" ca="1" si="41"/>
        <v>1.5789856323178419E-4</v>
      </c>
    </row>
    <row r="377" spans="2:10" x14ac:dyDescent="0.2">
      <c r="B377" s="103">
        <v>332</v>
      </c>
      <c r="C377" s="148"/>
      <c r="D377" s="131">
        <v>332</v>
      </c>
      <c r="E377" s="148"/>
      <c r="F377" s="148"/>
      <c r="G377" s="148"/>
      <c r="H377" s="147">
        <f t="shared" si="40"/>
        <v>27.666666666666664</v>
      </c>
      <c r="I377" s="153">
        <f t="shared" ca="1" si="42"/>
        <v>7.9806477931122277E-2</v>
      </c>
      <c r="J377" s="151">
        <f t="shared" ca="1" si="41"/>
        <v>1.5787147827306391E-4</v>
      </c>
    </row>
    <row r="378" spans="2:10" x14ac:dyDescent="0.2">
      <c r="B378" s="103">
        <v>333</v>
      </c>
      <c r="C378" s="148"/>
      <c r="D378" s="131">
        <v>333</v>
      </c>
      <c r="E378" s="148"/>
      <c r="F378" s="148"/>
      <c r="G378" s="148"/>
      <c r="H378" s="147">
        <f t="shared" si="40"/>
        <v>27.75</v>
      </c>
      <c r="I378" s="153">
        <f t="shared" ca="1" si="42"/>
        <v>7.9964322329082571E-2</v>
      </c>
      <c r="J378" s="151">
        <f t="shared" ca="1" si="41"/>
        <v>1.5784439796029393E-4</v>
      </c>
    </row>
    <row r="379" spans="2:10" x14ac:dyDescent="0.2">
      <c r="B379" s="103">
        <v>334</v>
      </c>
      <c r="C379" s="148"/>
      <c r="D379" s="131">
        <v>334</v>
      </c>
      <c r="E379" s="148"/>
      <c r="F379" s="148"/>
      <c r="G379" s="148"/>
      <c r="H379" s="147">
        <f t="shared" si="40"/>
        <v>27.833333333333332</v>
      </c>
      <c r="I379" s="153">
        <f t="shared" ca="1" si="42"/>
        <v>8.0122139651375046E-2</v>
      </c>
      <c r="J379" s="151">
        <f t="shared" ca="1" si="41"/>
        <v>1.5781732229247503E-4</v>
      </c>
    </row>
    <row r="380" spans="2:10" x14ac:dyDescent="0.2">
      <c r="B380" s="103">
        <v>335</v>
      </c>
      <c r="C380" s="148"/>
      <c r="D380" s="131">
        <v>335</v>
      </c>
      <c r="E380" s="148"/>
      <c r="F380" s="148"/>
      <c r="G380" s="148"/>
      <c r="H380" s="147">
        <f t="shared" si="40"/>
        <v>27.916666666666664</v>
      </c>
      <c r="I380" s="153">
        <f t="shared" ca="1" si="42"/>
        <v>8.0279929902644431E-2</v>
      </c>
      <c r="J380" s="151">
        <f t="shared" ca="1" si="41"/>
        <v>1.5779025126938517E-4</v>
      </c>
    </row>
    <row r="381" spans="2:10" x14ac:dyDescent="0.2">
      <c r="B381" s="103">
        <v>336</v>
      </c>
      <c r="C381" s="148"/>
      <c r="D381" s="131">
        <v>336</v>
      </c>
      <c r="E381" s="148"/>
      <c r="F381" s="148"/>
      <c r="G381" s="148"/>
      <c r="H381" s="147">
        <f t="shared" si="40"/>
        <v>28</v>
      </c>
      <c r="I381" s="153">
        <f t="shared" ca="1" si="42"/>
        <v>8.0437693087534234E-2</v>
      </c>
      <c r="J381" s="151">
        <f t="shared" ca="1" si="41"/>
        <v>1.5776318488980312E-4</v>
      </c>
    </row>
    <row r="382" spans="2:10" x14ac:dyDescent="0.2">
      <c r="B382" s="103">
        <v>337</v>
      </c>
      <c r="C382" s="148"/>
      <c r="D382" s="131">
        <v>337</v>
      </c>
      <c r="E382" s="148"/>
      <c r="F382" s="148"/>
      <c r="G382" s="148"/>
      <c r="H382" s="147">
        <f t="shared" si="40"/>
        <v>28.083333333333332</v>
      </c>
      <c r="I382" s="153">
        <f ca="1">1-(1-$G$73)*((1-$G$74)/(1-$G$73))^(H382-1)</f>
        <v>8.4325227580227535E-2</v>
      </c>
      <c r="J382" s="151">
        <f t="shared" ca="1" si="41"/>
        <v>3.8875344926933009E-3</v>
      </c>
    </row>
    <row r="383" spans="2:10" x14ac:dyDescent="0.2">
      <c r="B383" s="103">
        <v>338</v>
      </c>
      <c r="C383" s="148"/>
      <c r="D383" s="131">
        <v>338</v>
      </c>
      <c r="E383" s="148"/>
      <c r="F383" s="148"/>
      <c r="G383" s="148"/>
      <c r="H383" s="147">
        <f t="shared" si="40"/>
        <v>28.166666666666664</v>
      </c>
      <c r="I383" s="153">
        <f t="shared" ref="I383:I393" ca="1" si="43">1-(1-$G$73)*((1-$G$74)/(1-$G$73))^(H383-1)</f>
        <v>8.4487948886563635E-2</v>
      </c>
      <c r="J383" s="151">
        <f t="shared" ca="1" si="41"/>
        <v>1.6272130633609994E-4</v>
      </c>
    </row>
    <row r="384" spans="2:10" x14ac:dyDescent="0.2">
      <c r="B384" s="103">
        <v>339</v>
      </c>
      <c r="C384" s="148"/>
      <c r="D384" s="131">
        <v>339</v>
      </c>
      <c r="E384" s="148"/>
      <c r="F384" s="148"/>
      <c r="G384" s="148"/>
      <c r="H384" s="147">
        <f t="shared" si="40"/>
        <v>28.25</v>
      </c>
      <c r="I384" s="153">
        <f t="shared" ca="1" si="43"/>
        <v>8.4650641276275085E-2</v>
      </c>
      <c r="J384" s="151">
        <f t="shared" ca="1" si="41"/>
        <v>1.6269238971144961E-4</v>
      </c>
    </row>
    <row r="385" spans="2:10" x14ac:dyDescent="0.2">
      <c r="B385" s="103">
        <v>340</v>
      </c>
      <c r="C385" s="148"/>
      <c r="D385" s="131">
        <v>340</v>
      </c>
      <c r="E385" s="148"/>
      <c r="F385" s="148"/>
      <c r="G385" s="148"/>
      <c r="H385" s="147">
        <f t="shared" si="40"/>
        <v>28.333333333333332</v>
      </c>
      <c r="I385" s="153">
        <f t="shared" ca="1" si="43"/>
        <v>8.4813304754500773E-2</v>
      </c>
      <c r="J385" s="151">
        <f t="shared" ca="1" si="41"/>
        <v>1.6266347822568861E-4</v>
      </c>
    </row>
    <row r="386" spans="2:10" x14ac:dyDescent="0.2">
      <c r="B386" s="103">
        <v>341</v>
      </c>
      <c r="C386" s="148"/>
      <c r="D386" s="131">
        <v>341</v>
      </c>
      <c r="E386" s="148"/>
      <c r="F386" s="148"/>
      <c r="G386" s="148"/>
      <c r="H386" s="147">
        <f t="shared" si="40"/>
        <v>28.416666666666664</v>
      </c>
      <c r="I386" s="153">
        <f t="shared" ca="1" si="43"/>
        <v>8.497593932637848E-2</v>
      </c>
      <c r="J386" s="151">
        <f t="shared" ca="1" si="41"/>
        <v>1.6263457187770669E-4</v>
      </c>
    </row>
    <row r="387" spans="2:10" x14ac:dyDescent="0.2">
      <c r="B387" s="103">
        <v>342</v>
      </c>
      <c r="C387" s="148"/>
      <c r="D387" s="131">
        <v>342</v>
      </c>
      <c r="E387" s="148"/>
      <c r="F387" s="148"/>
      <c r="G387" s="148"/>
      <c r="H387" s="147">
        <f t="shared" si="40"/>
        <v>28.5</v>
      </c>
      <c r="I387" s="153">
        <f t="shared" ca="1" si="43"/>
        <v>8.5138544997044985E-2</v>
      </c>
      <c r="J387" s="151">
        <f t="shared" ca="1" si="41"/>
        <v>1.6260567066650466E-4</v>
      </c>
    </row>
    <row r="388" spans="2:10" x14ac:dyDescent="0.2">
      <c r="B388" s="103">
        <v>343</v>
      </c>
      <c r="C388" s="148"/>
      <c r="D388" s="131">
        <v>343</v>
      </c>
      <c r="E388" s="148"/>
      <c r="F388" s="148"/>
      <c r="G388" s="148"/>
      <c r="H388" s="147">
        <f t="shared" si="40"/>
        <v>28.583333333333332</v>
      </c>
      <c r="I388" s="153">
        <f t="shared" ca="1" si="43"/>
        <v>8.5301121771636179E-2</v>
      </c>
      <c r="J388" s="151">
        <f t="shared" ca="1" si="41"/>
        <v>1.6257677459119435E-4</v>
      </c>
    </row>
    <row r="389" spans="2:10" x14ac:dyDescent="0.2">
      <c r="B389" s="103">
        <v>344</v>
      </c>
      <c r="C389" s="148"/>
      <c r="D389" s="131">
        <v>344</v>
      </c>
      <c r="E389" s="148"/>
      <c r="F389" s="148"/>
      <c r="G389" s="148"/>
      <c r="H389" s="147">
        <f t="shared" si="40"/>
        <v>28.666666666666664</v>
      </c>
      <c r="I389" s="153">
        <f t="shared" ca="1" si="43"/>
        <v>8.5463669655287178E-2</v>
      </c>
      <c r="J389" s="151">
        <f t="shared" ca="1" si="41"/>
        <v>1.6254788365099859E-4</v>
      </c>
    </row>
    <row r="390" spans="2:10" x14ac:dyDescent="0.2">
      <c r="B390" s="103">
        <v>345</v>
      </c>
      <c r="C390" s="148"/>
      <c r="D390" s="131">
        <v>345</v>
      </c>
      <c r="E390" s="148"/>
      <c r="F390" s="148"/>
      <c r="G390" s="148"/>
      <c r="H390" s="147">
        <f t="shared" si="40"/>
        <v>28.75</v>
      </c>
      <c r="I390" s="153">
        <f t="shared" ca="1" si="43"/>
        <v>8.5626188653131985E-2</v>
      </c>
      <c r="J390" s="151">
        <f t="shared" ca="1" si="41"/>
        <v>1.6251899784480717E-4</v>
      </c>
    </row>
    <row r="391" spans="2:10" x14ac:dyDescent="0.2">
      <c r="B391" s="103">
        <v>346</v>
      </c>
      <c r="C391" s="148"/>
      <c r="D391" s="131">
        <v>346</v>
      </c>
      <c r="E391" s="148"/>
      <c r="F391" s="148"/>
      <c r="G391" s="148"/>
      <c r="H391" s="147">
        <f t="shared" si="40"/>
        <v>28.833333333333332</v>
      </c>
      <c r="I391" s="153">
        <f t="shared" ca="1" si="43"/>
        <v>8.5788678770303717E-2</v>
      </c>
      <c r="J391" s="151">
        <f t="shared" ca="1" si="41"/>
        <v>1.624901171717319E-4</v>
      </c>
    </row>
    <row r="392" spans="2:10" x14ac:dyDescent="0.2">
      <c r="B392" s="103">
        <v>347</v>
      </c>
      <c r="C392" s="148"/>
      <c r="D392" s="131">
        <v>347</v>
      </c>
      <c r="E392" s="148"/>
      <c r="F392" s="148"/>
      <c r="G392" s="148"/>
      <c r="H392" s="147">
        <f t="shared" si="40"/>
        <v>28.916666666666664</v>
      </c>
      <c r="I392" s="153">
        <f t="shared" ca="1" si="43"/>
        <v>8.5951140011934934E-2</v>
      </c>
      <c r="J392" s="151">
        <f t="shared" ca="1" si="41"/>
        <v>1.6246124163121767E-4</v>
      </c>
    </row>
    <row r="393" spans="2:10" x14ac:dyDescent="0.2">
      <c r="B393" s="103">
        <v>348</v>
      </c>
      <c r="C393" s="148"/>
      <c r="D393" s="131">
        <v>348</v>
      </c>
      <c r="E393" s="148"/>
      <c r="F393" s="148"/>
      <c r="G393" s="148"/>
      <c r="H393" s="147">
        <f t="shared" si="40"/>
        <v>29</v>
      </c>
      <c r="I393" s="153">
        <f t="shared" ca="1" si="43"/>
        <v>8.6113572383156312E-2</v>
      </c>
      <c r="J393" s="151">
        <f t="shared" ca="1" si="41"/>
        <v>1.624323712213771E-4</v>
      </c>
    </row>
    <row r="394" spans="2:10" x14ac:dyDescent="0.2">
      <c r="B394" s="103">
        <v>349</v>
      </c>
      <c r="C394" s="148"/>
      <c r="D394" s="131">
        <v>349</v>
      </c>
      <c r="E394" s="148"/>
      <c r="F394" s="148"/>
      <c r="G394" s="148"/>
      <c r="H394" s="147">
        <f t="shared" si="40"/>
        <v>29.083333333333332</v>
      </c>
      <c r="I394" s="153">
        <f ca="1">1-(1-$G$74)*((1-$G$75)/(1-$G$74))^(H394-1)</f>
        <v>9.0082928556420527E-2</v>
      </c>
      <c r="J394" s="151">
        <f t="shared" ca="1" si="41"/>
        <v>3.9693561732642157E-3</v>
      </c>
    </row>
    <row r="395" spans="2:10" x14ac:dyDescent="0.2">
      <c r="B395" s="103">
        <v>350</v>
      </c>
      <c r="C395" s="148"/>
      <c r="D395" s="131">
        <v>350</v>
      </c>
      <c r="E395" s="148"/>
      <c r="F395" s="148"/>
      <c r="G395" s="148"/>
      <c r="H395" s="147">
        <f t="shared" si="40"/>
        <v>29.166666666666664</v>
      </c>
      <c r="I395" s="153">
        <f t="shared" ref="I395:I405" ca="1" si="44">1-(1-$G$74)*((1-$G$75)/(1-$G$74))^(H395-1)</f>
        <v>9.0250140406619273E-2</v>
      </c>
      <c r="J395" s="151">
        <f t="shared" ca="1" si="41"/>
        <v>1.6721185019874518E-4</v>
      </c>
    </row>
    <row r="396" spans="2:10" x14ac:dyDescent="0.2">
      <c r="B396" s="103">
        <v>351</v>
      </c>
      <c r="C396" s="148"/>
      <c r="D396" s="131">
        <v>351</v>
      </c>
      <c r="E396" s="148"/>
      <c r="F396" s="148"/>
      <c r="G396" s="148"/>
      <c r="H396" s="147">
        <f t="shared" si="40"/>
        <v>29.25</v>
      </c>
      <c r="I396" s="153">
        <f t="shared" ca="1" si="44"/>
        <v>9.0417321528959649E-2</v>
      </c>
      <c r="J396" s="151">
        <f t="shared" ca="1" si="41"/>
        <v>1.671811223403763E-4</v>
      </c>
    </row>
    <row r="397" spans="2:10" x14ac:dyDescent="0.2">
      <c r="B397" s="103">
        <v>352</v>
      </c>
      <c r="C397" s="148"/>
      <c r="D397" s="131">
        <v>352</v>
      </c>
      <c r="E397" s="148"/>
      <c r="F397" s="148"/>
      <c r="G397" s="148"/>
      <c r="H397" s="147">
        <f t="shared" si="40"/>
        <v>29.333333333333332</v>
      </c>
      <c r="I397" s="153">
        <f t="shared" ca="1" si="44"/>
        <v>9.0584471929088584E-2</v>
      </c>
      <c r="J397" s="151">
        <f t="shared" ca="1" si="41"/>
        <v>1.6715040012893478E-4</v>
      </c>
    </row>
    <row r="398" spans="2:10" x14ac:dyDescent="0.2">
      <c r="B398" s="103">
        <v>353</v>
      </c>
      <c r="C398" s="148"/>
      <c r="D398" s="131">
        <v>353</v>
      </c>
      <c r="E398" s="148"/>
      <c r="F398" s="148"/>
      <c r="G398" s="148"/>
      <c r="H398" s="147">
        <f t="shared" si="40"/>
        <v>29.416666666666664</v>
      </c>
      <c r="I398" s="153">
        <f t="shared" ca="1" si="44"/>
        <v>9.075159161265145E-2</v>
      </c>
      <c r="J398" s="151">
        <f t="shared" ca="1" si="41"/>
        <v>1.6711968356286633E-4</v>
      </c>
    </row>
    <row r="399" spans="2:10" x14ac:dyDescent="0.2">
      <c r="B399" s="103">
        <v>354</v>
      </c>
      <c r="C399" s="148"/>
      <c r="D399" s="131">
        <v>354</v>
      </c>
      <c r="E399" s="148"/>
      <c r="F399" s="148"/>
      <c r="G399" s="148"/>
      <c r="H399" s="147">
        <f t="shared" si="40"/>
        <v>29.5</v>
      </c>
      <c r="I399" s="153">
        <f t="shared" ca="1" si="44"/>
        <v>9.0918680585293177E-2</v>
      </c>
      <c r="J399" s="151">
        <f t="shared" ca="1" si="41"/>
        <v>1.6708897264172684E-4</v>
      </c>
    </row>
    <row r="400" spans="2:10" x14ac:dyDescent="0.2">
      <c r="B400" s="103">
        <v>355</v>
      </c>
      <c r="C400" s="148"/>
      <c r="D400" s="131">
        <v>355</v>
      </c>
      <c r="E400" s="148"/>
      <c r="F400" s="148"/>
      <c r="G400" s="148"/>
      <c r="H400" s="147">
        <f t="shared" si="40"/>
        <v>29.583333333333332</v>
      </c>
      <c r="I400" s="153">
        <f t="shared" ca="1" si="44"/>
        <v>9.1085738852657361E-2</v>
      </c>
      <c r="J400" s="151">
        <f t="shared" ca="1" si="41"/>
        <v>1.6705826736418405E-4</v>
      </c>
    </row>
    <row r="401" spans="2:10" x14ac:dyDescent="0.2">
      <c r="B401" s="103">
        <v>356</v>
      </c>
      <c r="C401" s="148"/>
      <c r="D401" s="131">
        <v>356</v>
      </c>
      <c r="E401" s="148"/>
      <c r="F401" s="148"/>
      <c r="G401" s="148"/>
      <c r="H401" s="147">
        <f t="shared" si="40"/>
        <v>29.666666666666664</v>
      </c>
      <c r="I401" s="153">
        <f t="shared" ca="1" si="44"/>
        <v>9.12527664203866E-2</v>
      </c>
      <c r="J401" s="151">
        <f t="shared" ca="1" si="41"/>
        <v>1.6702756772923877E-4</v>
      </c>
    </row>
    <row r="402" spans="2:10" x14ac:dyDescent="0.2">
      <c r="B402" s="103">
        <v>357</v>
      </c>
      <c r="C402" s="148"/>
      <c r="D402" s="131">
        <v>357</v>
      </c>
      <c r="E402" s="148"/>
      <c r="F402" s="148"/>
      <c r="G402" s="148"/>
      <c r="H402" s="147">
        <f t="shared" si="40"/>
        <v>29.75</v>
      </c>
      <c r="I402" s="153">
        <f t="shared" ca="1" si="44"/>
        <v>9.1419763294122269E-2</v>
      </c>
      <c r="J402" s="151">
        <f t="shared" ca="1" si="41"/>
        <v>1.6699687373566974E-4</v>
      </c>
    </row>
    <row r="403" spans="2:10" x14ac:dyDescent="0.2">
      <c r="B403" s="103">
        <v>358</v>
      </c>
      <c r="C403" s="148"/>
      <c r="D403" s="131">
        <v>358</v>
      </c>
      <c r="E403" s="148"/>
      <c r="F403" s="148"/>
      <c r="G403" s="148"/>
      <c r="H403" s="147">
        <f t="shared" si="40"/>
        <v>29.833333333333332</v>
      </c>
      <c r="I403" s="153">
        <f t="shared" ca="1" si="44"/>
        <v>9.1586729479504969E-2</v>
      </c>
      <c r="J403" s="151">
        <f t="shared" ca="1" si="41"/>
        <v>1.6696618538269981E-4</v>
      </c>
    </row>
    <row r="404" spans="2:10" x14ac:dyDescent="0.2">
      <c r="B404" s="103">
        <v>359</v>
      </c>
      <c r="C404" s="148"/>
      <c r="D404" s="131">
        <v>359</v>
      </c>
      <c r="E404" s="148"/>
      <c r="F404" s="148"/>
      <c r="G404" s="148"/>
      <c r="H404" s="147">
        <f t="shared" si="40"/>
        <v>29.916666666666664</v>
      </c>
      <c r="I404" s="153">
        <f t="shared" ca="1" si="44"/>
        <v>9.175366498217441E-2</v>
      </c>
      <c r="J404" s="151">
        <f t="shared" ca="1" si="41"/>
        <v>1.6693550266944079E-4</v>
      </c>
    </row>
    <row r="405" spans="2:10" x14ac:dyDescent="0.2">
      <c r="B405" s="103">
        <v>360</v>
      </c>
      <c r="C405" s="148"/>
      <c r="D405" s="131">
        <v>360</v>
      </c>
      <c r="E405" s="148"/>
      <c r="F405" s="148"/>
      <c r="G405" s="148"/>
      <c r="H405" s="147">
        <f t="shared" si="40"/>
        <v>30</v>
      </c>
      <c r="I405" s="153">
        <f t="shared" ca="1" si="44"/>
        <v>9.1920569807767749E-2</v>
      </c>
      <c r="J405" s="151">
        <f t="shared" ca="1" si="41"/>
        <v>1.6690482559333919E-4</v>
      </c>
    </row>
    <row r="406" spans="2:10" x14ac:dyDescent="0.2">
      <c r="H406" s="147"/>
      <c r="I406" s="153"/>
      <c r="J406" s="151"/>
    </row>
  </sheetData>
  <sheetProtection algorithmName="SHA-1" hashValue="gqnoRe3pKWtXe5FdJbE6ubzs0cA=" saltValue="6wOXB0n+l6FTatZ70QP8mw==" spinCount="100000" sheet="1" objects="1" scenarios="1"/>
  <mergeCells count="4">
    <mergeCell ref="B2:O2"/>
    <mergeCell ref="B39:C39"/>
    <mergeCell ref="B40:C40"/>
    <mergeCell ref="B37:O37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B2:Y176"/>
  <sheetViews>
    <sheetView showGridLines="0" topLeftCell="S27" zoomScale="84" zoomScaleNormal="60" workbookViewId="0">
      <selection activeCell="Q33" sqref="Q33"/>
    </sheetView>
  </sheetViews>
  <sheetFormatPr defaultColWidth="8.75" defaultRowHeight="12" x14ac:dyDescent="0.2"/>
  <cols>
    <col min="1" max="1" width="8.75" style="170"/>
    <col min="2" max="2" width="16.75" style="170" customWidth="1"/>
    <col min="3" max="3" width="35.125" style="170" bestFit="1" customWidth="1"/>
    <col min="4" max="4" width="12.5" style="170" customWidth="1"/>
    <col min="5" max="5" width="19.5" style="170" customWidth="1"/>
    <col min="6" max="6" width="8.75" style="170"/>
    <col min="7" max="7" width="12.375" style="170" bestFit="1" customWidth="1"/>
    <col min="8" max="8" width="11" style="170" customWidth="1"/>
    <col min="9" max="9" width="8.75" style="170"/>
    <col min="10" max="10" width="17.75" style="170" customWidth="1"/>
    <col min="11" max="11" width="16.625" style="170" customWidth="1"/>
    <col min="12" max="12" width="30.375" style="170" customWidth="1"/>
    <col min="13" max="15" width="23" style="170" customWidth="1"/>
    <col min="16" max="16" width="13.75" style="170" customWidth="1"/>
    <col min="17" max="17" width="10.125" style="170" bestFit="1" customWidth="1"/>
    <col min="18" max="18" width="9.75" style="170" customWidth="1"/>
    <col min="19" max="19" width="22" style="170" bestFit="1" customWidth="1"/>
    <col min="20" max="21" width="12.375" style="170" customWidth="1"/>
    <col min="22" max="24" width="37.625" style="170" bestFit="1" customWidth="1"/>
    <col min="25" max="25" width="38.875" style="170" bestFit="1" customWidth="1"/>
    <col min="26" max="27" width="12.75" style="170" bestFit="1" customWidth="1"/>
    <col min="28" max="16384" width="8.75" style="170"/>
  </cols>
  <sheetData>
    <row r="2" spans="2:11" ht="24" x14ac:dyDescent="0.2">
      <c r="B2" s="169" t="s">
        <v>725</v>
      </c>
      <c r="C2" s="169" t="s">
        <v>202</v>
      </c>
      <c r="E2" s="169" t="s">
        <v>211</v>
      </c>
      <c r="G2" s="169" t="s">
        <v>207</v>
      </c>
      <c r="H2" s="169" t="s">
        <v>208</v>
      </c>
      <c r="J2" s="300" t="s">
        <v>552</v>
      </c>
      <c r="K2" s="300"/>
    </row>
    <row r="3" spans="2:11" ht="11.65" customHeight="1" x14ac:dyDescent="0.2">
      <c r="B3" s="171" t="s">
        <v>15</v>
      </c>
      <c r="C3" s="171">
        <v>0</v>
      </c>
      <c r="E3" s="172">
        <v>0.45</v>
      </c>
      <c r="G3" s="171" t="s">
        <v>1</v>
      </c>
      <c r="H3" s="171" t="s">
        <v>7</v>
      </c>
      <c r="J3" s="173" t="s">
        <v>702</v>
      </c>
      <c r="K3" s="173" t="s">
        <v>240</v>
      </c>
    </row>
    <row r="4" spans="2:11" ht="11.65" customHeight="1" x14ac:dyDescent="0.2">
      <c r="B4" s="171" t="s">
        <v>18</v>
      </c>
      <c r="C4" s="171">
        <v>0</v>
      </c>
      <c r="G4" s="171" t="s">
        <v>0</v>
      </c>
      <c r="H4" s="174" t="s">
        <v>7</v>
      </c>
      <c r="J4" s="175" t="s">
        <v>33</v>
      </c>
      <c r="K4" s="176">
        <v>1</v>
      </c>
    </row>
    <row r="5" spans="2:11" ht="11.65" customHeight="1" x14ac:dyDescent="0.2">
      <c r="B5" s="171" t="s">
        <v>22</v>
      </c>
      <c r="C5" s="171">
        <v>2</v>
      </c>
      <c r="G5" s="171" t="s">
        <v>33</v>
      </c>
      <c r="H5" s="171" t="s">
        <v>33</v>
      </c>
      <c r="J5" s="175" t="s">
        <v>39</v>
      </c>
      <c r="K5" s="176">
        <v>1</v>
      </c>
    </row>
    <row r="6" spans="2:11" ht="11.65" customHeight="1" x14ac:dyDescent="0.2">
      <c r="B6" s="171" t="s">
        <v>203</v>
      </c>
      <c r="C6" s="171">
        <v>1</v>
      </c>
      <c r="G6" s="171" t="s">
        <v>39</v>
      </c>
      <c r="H6" s="171" t="s">
        <v>39</v>
      </c>
      <c r="J6" s="175" t="s">
        <v>42</v>
      </c>
      <c r="K6" s="176">
        <v>1</v>
      </c>
    </row>
    <row r="7" spans="2:11" ht="11.65" customHeight="1" x14ac:dyDescent="0.2">
      <c r="B7" s="171" t="s">
        <v>204</v>
      </c>
      <c r="C7" s="171">
        <v>4</v>
      </c>
      <c r="G7" s="171" t="s">
        <v>42</v>
      </c>
      <c r="H7" s="171" t="s">
        <v>42</v>
      </c>
      <c r="J7" s="175" t="s">
        <v>11</v>
      </c>
      <c r="K7" s="176">
        <v>1</v>
      </c>
    </row>
    <row r="8" spans="2:11" ht="11.65" customHeight="1" x14ac:dyDescent="0.2">
      <c r="B8" s="171" t="s">
        <v>205</v>
      </c>
      <c r="C8" s="171">
        <v>2</v>
      </c>
      <c r="G8" s="171" t="s">
        <v>11</v>
      </c>
      <c r="H8" s="171" t="s">
        <v>11</v>
      </c>
      <c r="J8" s="175" t="s">
        <v>8</v>
      </c>
      <c r="K8" s="176">
        <v>1</v>
      </c>
    </row>
    <row r="9" spans="2:11" ht="11.65" customHeight="1" x14ac:dyDescent="0.2">
      <c r="B9" s="171" t="s">
        <v>206</v>
      </c>
      <c r="C9" s="171">
        <v>12</v>
      </c>
      <c r="G9" s="171" t="s">
        <v>8</v>
      </c>
      <c r="H9" s="171" t="s">
        <v>8</v>
      </c>
      <c r="J9" s="175" t="s">
        <v>9</v>
      </c>
      <c r="K9" s="176">
        <v>1</v>
      </c>
    </row>
    <row r="10" spans="2:11" ht="11.65" customHeight="1" x14ac:dyDescent="0.2">
      <c r="B10" s="171" t="s">
        <v>724</v>
      </c>
      <c r="C10" s="171">
        <v>6</v>
      </c>
      <c r="G10" s="171" t="s">
        <v>9</v>
      </c>
      <c r="H10" s="171" t="s">
        <v>9</v>
      </c>
      <c r="J10" s="175" t="s">
        <v>46</v>
      </c>
      <c r="K10" s="176">
        <v>1</v>
      </c>
    </row>
    <row r="11" spans="2:11" ht="11.65" customHeight="1" x14ac:dyDescent="0.2">
      <c r="G11" s="171" t="s">
        <v>46</v>
      </c>
      <c r="H11" s="171" t="s">
        <v>46</v>
      </c>
      <c r="J11" s="175" t="s">
        <v>6</v>
      </c>
      <c r="K11" s="176">
        <v>1</v>
      </c>
    </row>
    <row r="12" spans="2:11" ht="11.65" customHeight="1" x14ac:dyDescent="0.2">
      <c r="B12" s="169" t="s">
        <v>179</v>
      </c>
      <c r="C12" s="169" t="s">
        <v>194</v>
      </c>
      <c r="E12" s="169" t="s">
        <v>698</v>
      </c>
      <c r="G12" s="171" t="s">
        <v>6</v>
      </c>
      <c r="H12" s="171" t="s">
        <v>6</v>
      </c>
      <c r="J12" s="175" t="s">
        <v>5</v>
      </c>
      <c r="K12" s="176">
        <v>1</v>
      </c>
    </row>
    <row r="13" spans="2:11" ht="11.65" customHeight="1" x14ac:dyDescent="0.2">
      <c r="B13" s="177" t="s">
        <v>231</v>
      </c>
      <c r="C13" s="178">
        <f>AVERAGEIF('Input Sheet'!E2:$E$1000,'Lookup Table'!B13,'Input Sheet'!G2:$G$1000)/100</f>
        <v>2.8999999999999998E-2</v>
      </c>
      <c r="E13" s="179" t="s">
        <v>699</v>
      </c>
      <c r="G13" s="171" t="s">
        <v>5</v>
      </c>
      <c r="H13" s="171" t="s">
        <v>5</v>
      </c>
      <c r="J13" s="175" t="s">
        <v>7</v>
      </c>
      <c r="K13" s="176">
        <v>1</v>
      </c>
    </row>
    <row r="14" spans="2:11" ht="11.65" customHeight="1" x14ac:dyDescent="0.2">
      <c r="B14" s="177" t="s">
        <v>476</v>
      </c>
      <c r="C14" s="178">
        <f>AVERAGEIF('Input Sheet'!E3:$E$1000,'Lookup Table'!B14,'Input Sheet'!G3:$G$1000)/100</f>
        <v>3.6666666666666667E-2</v>
      </c>
      <c r="E14" s="179" t="s">
        <v>700</v>
      </c>
      <c r="G14" s="171" t="s">
        <v>7</v>
      </c>
      <c r="H14" s="171" t="s">
        <v>7</v>
      </c>
      <c r="J14" s="175" t="s">
        <v>54</v>
      </c>
      <c r="K14" s="176">
        <v>1</v>
      </c>
    </row>
    <row r="15" spans="2:11" ht="11.65" customHeight="1" x14ac:dyDescent="0.2">
      <c r="B15" s="177" t="s">
        <v>477</v>
      </c>
      <c r="C15" s="178">
        <f>AVERAGEIF('Input Sheet'!E4:$E$1000,'Lookup Table'!B15,'Input Sheet'!G4:$G$1000)/100</f>
        <v>3.5909090909090911E-2</v>
      </c>
      <c r="E15" s="179" t="s">
        <v>701</v>
      </c>
      <c r="G15" s="171" t="s">
        <v>54</v>
      </c>
      <c r="H15" s="171" t="s">
        <v>54</v>
      </c>
      <c r="J15" s="175" t="s">
        <v>58</v>
      </c>
      <c r="K15" s="176">
        <v>1</v>
      </c>
    </row>
    <row r="16" spans="2:11" ht="11.65" customHeight="1" x14ac:dyDescent="0.2">
      <c r="B16" s="177" t="s">
        <v>478</v>
      </c>
      <c r="C16" s="178">
        <f>AVERAGEIF('Input Sheet'!E5:$E$1000,'Lookup Table'!B16,'Input Sheet'!G5:$G$1000)/100</f>
        <v>3.3636363636363638E-2</v>
      </c>
      <c r="E16" s="180"/>
      <c r="G16" s="171" t="s">
        <v>58</v>
      </c>
      <c r="H16" s="171" t="s">
        <v>58</v>
      </c>
      <c r="J16" s="175" t="s">
        <v>60</v>
      </c>
      <c r="K16" s="176">
        <v>1</v>
      </c>
    </row>
    <row r="17" spans="2:24" ht="11.65" customHeight="1" x14ac:dyDescent="0.2">
      <c r="B17" s="181" t="s">
        <v>19</v>
      </c>
      <c r="C17" s="178">
        <f>AVERAGEIF('Input Sheet'!E6:$E$1000,'Lookup Table'!B17,'Input Sheet'!G6:$G$1000)/100</f>
        <v>3.6111111111111115E-2</v>
      </c>
      <c r="G17" s="171" t="s">
        <v>60</v>
      </c>
      <c r="H17" s="171" t="s">
        <v>60</v>
      </c>
      <c r="J17" s="175" t="s">
        <v>10</v>
      </c>
      <c r="K17" s="176">
        <v>1</v>
      </c>
    </row>
    <row r="18" spans="2:24" ht="11.65" customHeight="1" x14ac:dyDescent="0.2">
      <c r="B18" s="181" t="s">
        <v>479</v>
      </c>
      <c r="C18" s="178">
        <f>AVERAGEIF('Input Sheet'!E7:$E$1000,'Lookup Table'!B18,'Input Sheet'!G7:$G$1000)/100</f>
        <v>4.5999999999999999E-2</v>
      </c>
      <c r="G18" s="171" t="s">
        <v>10</v>
      </c>
      <c r="H18" s="171" t="s">
        <v>10</v>
      </c>
      <c r="J18" s="175" t="s">
        <v>12</v>
      </c>
      <c r="K18" s="176">
        <v>1</v>
      </c>
    </row>
    <row r="19" spans="2:24" ht="11.65" customHeight="1" x14ac:dyDescent="0.2">
      <c r="B19" s="181" t="s">
        <v>480</v>
      </c>
      <c r="C19" s="178">
        <f>AVERAGEIF('Input Sheet'!E8:$E$1000,'Lookup Table'!B19,'Input Sheet'!G8:$G$1000)/100</f>
        <v>3.1662499999999996E-2</v>
      </c>
      <c r="G19" s="171" t="s">
        <v>12</v>
      </c>
      <c r="H19" s="171" t="s">
        <v>12</v>
      </c>
      <c r="J19" s="175" t="s">
        <v>62</v>
      </c>
      <c r="K19" s="176">
        <v>1</v>
      </c>
    </row>
    <row r="20" spans="2:24" ht="11.65" customHeight="1" x14ac:dyDescent="0.2">
      <c r="B20" s="181" t="s">
        <v>481</v>
      </c>
      <c r="C20" s="178">
        <f>AVERAGEIF('Input Sheet'!E9:$E$1000,'Lookup Table'!B20,'Input Sheet'!G9:$G$1000)/100</f>
        <v>3.2500000000000001E-2</v>
      </c>
      <c r="G20" s="171" t="s">
        <v>62</v>
      </c>
      <c r="H20" s="171" t="s">
        <v>62</v>
      </c>
      <c r="J20" s="175" t="s">
        <v>63</v>
      </c>
      <c r="K20" s="176">
        <v>1</v>
      </c>
    </row>
    <row r="21" spans="2:24" ht="11.65" customHeight="1" x14ac:dyDescent="0.2">
      <c r="B21" s="181" t="s">
        <v>482</v>
      </c>
      <c r="C21" s="178">
        <f>AVERAGEIF('Input Sheet'!E10:$E$1000,'Lookup Table'!B21,'Input Sheet'!G10:$G$1000)/100</f>
        <v>3.3333333333333333E-2</v>
      </c>
      <c r="G21" s="171" t="s">
        <v>63</v>
      </c>
      <c r="H21" s="171" t="s">
        <v>63</v>
      </c>
      <c r="J21" s="175" t="s">
        <v>67</v>
      </c>
      <c r="K21" s="176">
        <v>1</v>
      </c>
    </row>
    <row r="22" spans="2:24" ht="11.65" customHeight="1" x14ac:dyDescent="0.2">
      <c r="B22" s="181" t="s">
        <v>483</v>
      </c>
      <c r="C22" s="178">
        <f>AVERAGEIF('Input Sheet'!E11:$E$1000,'Lookup Table'!B22,'Input Sheet'!G11:$G$1000)/100</f>
        <v>0.04</v>
      </c>
      <c r="G22" s="171" t="s">
        <v>67</v>
      </c>
      <c r="H22" s="171" t="s">
        <v>67</v>
      </c>
      <c r="J22" s="175" t="s">
        <v>69</v>
      </c>
      <c r="K22" s="176">
        <v>1</v>
      </c>
    </row>
    <row r="23" spans="2:24" ht="11.65" customHeight="1" x14ac:dyDescent="0.2">
      <c r="B23" s="181" t="s">
        <v>484</v>
      </c>
      <c r="C23" s="178">
        <f>AVERAGEIF('Input Sheet'!E12:$E$1000,'Lookup Table'!B23,'Input Sheet'!G12:$G$1000)/100</f>
        <v>2.9249999999999998E-2</v>
      </c>
      <c r="G23" s="171" t="s">
        <v>69</v>
      </c>
      <c r="H23" s="171" t="s">
        <v>69</v>
      </c>
      <c r="J23" s="175" t="s">
        <v>156</v>
      </c>
      <c r="K23" s="176">
        <v>1</v>
      </c>
    </row>
    <row r="24" spans="2:24" ht="11.65" customHeight="1" x14ac:dyDescent="0.2">
      <c r="B24" s="181" t="s">
        <v>24</v>
      </c>
      <c r="C24" s="178">
        <f>AVERAGEIF('Input Sheet'!E13:$E$1000,'Lookup Table'!B24,'Input Sheet'!G13:$G$1000)/100</f>
        <v>3.6818181818181819E-2</v>
      </c>
      <c r="G24" s="171" t="s">
        <v>70</v>
      </c>
      <c r="H24" s="171" t="s">
        <v>70</v>
      </c>
      <c r="J24" s="175"/>
      <c r="K24" s="176">
        <v>1</v>
      </c>
    </row>
    <row r="25" spans="2:24" ht="11.65" customHeight="1" x14ac:dyDescent="0.2">
      <c r="B25" s="181" t="s">
        <v>485</v>
      </c>
      <c r="C25" s="178">
        <f>AVERAGEIF('Input Sheet'!E14:$E$1000,'Lookup Table'!B25,'Input Sheet'!G14:$G$1000)/100</f>
        <v>2.2000000000000002E-2</v>
      </c>
      <c r="G25" s="171" t="s">
        <v>65</v>
      </c>
      <c r="H25" s="171" t="s">
        <v>65</v>
      </c>
      <c r="J25" s="175" t="s">
        <v>65</v>
      </c>
      <c r="K25" s="176">
        <v>1</v>
      </c>
    </row>
    <row r="26" spans="2:24" ht="11.65" customHeight="1" x14ac:dyDescent="0.2">
      <c r="B26" s="181" t="s">
        <v>486</v>
      </c>
      <c r="C26" s="178">
        <f>AVERAGEIF('Input Sheet'!E15:$E$1000,'Lookup Table'!B26,'Input Sheet'!G15:$G$1000)/100</f>
        <v>4.4999999999999998E-2</v>
      </c>
      <c r="J26" s="175" t="s">
        <v>0</v>
      </c>
      <c r="K26" s="176">
        <v>1</v>
      </c>
    </row>
    <row r="27" spans="2:24" ht="11.65" customHeight="1" x14ac:dyDescent="0.2">
      <c r="B27" s="181" t="s">
        <v>487</v>
      </c>
      <c r="C27" s="178">
        <f>AVERAGEIF('Input Sheet'!E16:$E$1000,'Lookup Table'!B27,'Input Sheet'!G16:$G$1000)/100</f>
        <v>0.05</v>
      </c>
      <c r="J27" s="175" t="s">
        <v>1</v>
      </c>
      <c r="K27" s="176">
        <v>1</v>
      </c>
    </row>
    <row r="28" spans="2:24" x14ac:dyDescent="0.2">
      <c r="B28" s="181" t="s">
        <v>488</v>
      </c>
      <c r="C28" s="178">
        <f>AVERAGEIF('Input Sheet'!E17:$E$1000,'Lookup Table'!B28,'Input Sheet'!G17:$G$1000)/100</f>
        <v>0.04</v>
      </c>
    </row>
    <row r="29" spans="2:24" x14ac:dyDescent="0.2">
      <c r="B29" s="181" t="s">
        <v>489</v>
      </c>
      <c r="C29" s="178">
        <f>AVERAGEIF('Input Sheet'!E18:$E$1000,'Lookup Table'!B29,'Input Sheet'!G18:$G$1000)/100</f>
        <v>0.04</v>
      </c>
    </row>
    <row r="30" spans="2:24" x14ac:dyDescent="0.2">
      <c r="B30" s="181" t="s">
        <v>490</v>
      </c>
      <c r="C30" s="178">
        <f>AVERAGEIF('Input Sheet'!E19:$E$1000,'Lookup Table'!B30,'Input Sheet'!G19:$G$1000)/100</f>
        <v>2.5000000000000001E-2</v>
      </c>
    </row>
    <row r="31" spans="2:24" x14ac:dyDescent="0.2">
      <c r="B31" s="181" t="s">
        <v>491</v>
      </c>
      <c r="C31" s="178">
        <f>AVERAGEIF('Input Sheet'!E20:$E$1000,'Lookup Table'!B31,'Input Sheet'!G20:$G$1000)/100</f>
        <v>0.04</v>
      </c>
      <c r="U31" s="182" t="s">
        <v>756</v>
      </c>
      <c r="V31" s="183">
        <v>0.6</v>
      </c>
      <c r="W31" s="183">
        <v>0.1</v>
      </c>
      <c r="X31" s="183">
        <v>0.3</v>
      </c>
    </row>
    <row r="32" spans="2:24" x14ac:dyDescent="0.2">
      <c r="B32" s="181" t="s">
        <v>21</v>
      </c>
      <c r="C32" s="178">
        <f>AVERAGEIF('Input Sheet'!E21:$E$1000,'Lookup Table'!B32,'Input Sheet'!G21:$G$1000)/100</f>
        <v>3.2857142857142856E-2</v>
      </c>
      <c r="J32" s="300" t="s">
        <v>570</v>
      </c>
      <c r="K32" s="300"/>
      <c r="M32" s="300" t="s">
        <v>685</v>
      </c>
      <c r="N32" s="300"/>
    </row>
    <row r="33" spans="2:25" x14ac:dyDescent="0.2">
      <c r="B33" s="181" t="s">
        <v>492</v>
      </c>
      <c r="C33" s="178">
        <f>AVERAGEIF('Input Sheet'!E22:$E$1000,'Lookup Table'!B33,'Input Sheet'!G22:$G$1000)/100</f>
        <v>3.2500000000000001E-2</v>
      </c>
      <c r="J33" s="184" t="s">
        <v>179</v>
      </c>
      <c r="K33" s="184" t="s">
        <v>25</v>
      </c>
      <c r="M33" s="184" t="s">
        <v>179</v>
      </c>
      <c r="N33" s="184" t="s">
        <v>25</v>
      </c>
      <c r="P33" s="185" t="s">
        <v>179</v>
      </c>
      <c r="Q33" s="185" t="s">
        <v>747</v>
      </c>
      <c r="R33" s="185" t="s">
        <v>748</v>
      </c>
      <c r="S33" s="185" t="s">
        <v>89</v>
      </c>
      <c r="T33" s="185" t="s">
        <v>121</v>
      </c>
      <c r="U33" s="185" t="s">
        <v>751</v>
      </c>
      <c r="V33" s="185" t="s">
        <v>752</v>
      </c>
      <c r="W33" s="185" t="s">
        <v>753</v>
      </c>
      <c r="X33" s="185" t="s">
        <v>754</v>
      </c>
      <c r="Y33" s="185" t="s">
        <v>755</v>
      </c>
    </row>
    <row r="34" spans="2:25" x14ac:dyDescent="0.2">
      <c r="B34" s="181" t="s">
        <v>493</v>
      </c>
      <c r="C34" s="178">
        <f>AVERAGEIF('Input Sheet'!E23:$E$1000,'Lookup Table'!B34,'Input Sheet'!G23:$G$1000)/100</f>
        <v>2.2499999999999999E-2</v>
      </c>
      <c r="J34" s="176" t="s">
        <v>573</v>
      </c>
      <c r="K34" s="176" t="s">
        <v>42</v>
      </c>
      <c r="M34" s="176" t="s">
        <v>525</v>
      </c>
      <c r="N34" s="176" t="s">
        <v>10</v>
      </c>
      <c r="P34" s="186" t="s">
        <v>491</v>
      </c>
      <c r="Q34" s="186" t="s">
        <v>749</v>
      </c>
      <c r="R34" s="186" t="s">
        <v>750</v>
      </c>
      <c r="S34" s="186">
        <v>22.088357142857145</v>
      </c>
      <c r="T34" s="187">
        <v>0.16753548443680544</v>
      </c>
      <c r="U34" s="186">
        <v>1</v>
      </c>
      <c r="V34" s="187">
        <f>'Gov. Net Revenue  MEV Modelling'!AE3</f>
        <v>0.37301595001029414</v>
      </c>
      <c r="W34" s="187">
        <f>'Gov. Net Revenue  MEV Modelling'!AF3</f>
        <v>0.54055143444709963</v>
      </c>
      <c r="X34" s="187">
        <f>'Gov. Net Revenue  MEV Modelling'!AG3</f>
        <v>0.2054804655734887</v>
      </c>
      <c r="Y34" s="187">
        <f t="shared" ref="Y34:Y65" si="0">SUMPRODUCT(V34:X34,$V$31:$X$31)</f>
        <v>0.33950885312293311</v>
      </c>
    </row>
    <row r="35" spans="2:25" x14ac:dyDescent="0.2">
      <c r="B35" s="181" t="s">
        <v>494</v>
      </c>
      <c r="C35" s="178">
        <f>AVERAGEIF('Input Sheet'!E24:$E$1000,'Lookup Table'!B35,'Input Sheet'!G24:$G$1000)/100</f>
        <v>3.5000000000000003E-2</v>
      </c>
      <c r="J35" s="176" t="s">
        <v>525</v>
      </c>
      <c r="K35" s="176" t="s">
        <v>10</v>
      </c>
      <c r="M35" s="176" t="s">
        <v>686</v>
      </c>
      <c r="N35" s="176"/>
      <c r="P35" s="186" t="s">
        <v>525</v>
      </c>
      <c r="Q35" s="186" t="s">
        <v>749</v>
      </c>
      <c r="R35" s="186" t="s">
        <v>750</v>
      </c>
      <c r="S35" s="186">
        <v>26.106285714285711</v>
      </c>
      <c r="T35" s="187">
        <v>3.7880609973987706E-2</v>
      </c>
      <c r="U35" s="186">
        <v>1</v>
      </c>
      <c r="V35" s="187">
        <f>'Gov. Net Revenue  MEV Modelling'!AE4</f>
        <v>2.8634775058734272E-2</v>
      </c>
      <c r="W35" s="187">
        <f>'Gov. Net Revenue  MEV Modelling'!AF4</f>
        <v>6.6515385032721974E-2</v>
      </c>
      <c r="X35" s="187">
        <f>'Gov. Net Revenue  MEV Modelling'!AG4</f>
        <v>-9.2458349152534335E-3</v>
      </c>
      <c r="Y35" s="187">
        <f t="shared" si="0"/>
        <v>2.1058653063936731E-2</v>
      </c>
    </row>
    <row r="36" spans="2:25" x14ac:dyDescent="0.2">
      <c r="B36" s="181" t="s">
        <v>495</v>
      </c>
      <c r="C36" s="178">
        <f>AVERAGEIF('Input Sheet'!E25:$E$1000,'Lookup Table'!B36,'Input Sheet'!G25:$G$1000)/100</f>
        <v>2.75E-2</v>
      </c>
      <c r="J36" s="176" t="s">
        <v>574</v>
      </c>
      <c r="K36" s="176" t="s">
        <v>62</v>
      </c>
      <c r="M36" s="176" t="s">
        <v>574</v>
      </c>
      <c r="N36" s="176" t="s">
        <v>60</v>
      </c>
      <c r="P36" s="186" t="s">
        <v>513</v>
      </c>
      <c r="Q36" s="186" t="s">
        <v>749</v>
      </c>
      <c r="R36" s="186" t="s">
        <v>750</v>
      </c>
      <c r="S36" s="186">
        <v>37.009642857142858</v>
      </c>
      <c r="T36" s="187">
        <v>0.13360300192452615</v>
      </c>
      <c r="U36" s="186">
        <v>1</v>
      </c>
      <c r="V36" s="187">
        <f>'Gov. Net Revenue  MEV Modelling'!AE5</f>
        <v>-0.2320244723865402</v>
      </c>
      <c r="W36" s="187">
        <f>'Gov. Net Revenue  MEV Modelling'!AF5</f>
        <v>-9.8421470462014049E-2</v>
      </c>
      <c r="X36" s="187">
        <f>'Gov. Net Revenue  MEV Modelling'!AG5</f>
        <v>-0.36562747431106635</v>
      </c>
      <c r="Y36" s="187">
        <f t="shared" si="0"/>
        <v>-0.25874507277144543</v>
      </c>
    </row>
    <row r="37" spans="2:25" x14ac:dyDescent="0.2">
      <c r="B37" s="181" t="s">
        <v>496</v>
      </c>
      <c r="C37" s="178">
        <f>AVERAGEIF('Input Sheet'!E26:$E$1000,'Lookup Table'!B37,'Input Sheet'!G26:$G$1000)/100</f>
        <v>3.3333333333333333E-2</v>
      </c>
      <c r="J37" s="176" t="s">
        <v>536</v>
      </c>
      <c r="K37" s="176" t="s">
        <v>12</v>
      </c>
      <c r="M37" s="176" t="s">
        <v>536</v>
      </c>
      <c r="N37" s="176" t="s">
        <v>62</v>
      </c>
      <c r="P37" s="186" t="s">
        <v>537</v>
      </c>
      <c r="Q37" s="186" t="s">
        <v>749</v>
      </c>
      <c r="R37" s="186" t="s">
        <v>750</v>
      </c>
      <c r="S37" s="186">
        <v>20.821357142857142</v>
      </c>
      <c r="T37" s="187">
        <v>7.8920910624378102E-2</v>
      </c>
      <c r="U37" s="186">
        <v>1</v>
      </c>
      <c r="V37" s="187">
        <f>'Gov. Net Revenue  MEV Modelling'!AE6</f>
        <v>-0.11864534698232242</v>
      </c>
      <c r="W37" s="187">
        <f>'Gov. Net Revenue  MEV Modelling'!AF6</f>
        <v>-3.9724436357944315E-2</v>
      </c>
      <c r="X37" s="187">
        <f>'Gov. Net Revenue  MEV Modelling'!AG6</f>
        <v>-0.19756625760670052</v>
      </c>
      <c r="Y37" s="187">
        <f t="shared" si="0"/>
        <v>-0.13442952910719802</v>
      </c>
    </row>
    <row r="38" spans="2:25" x14ac:dyDescent="0.2">
      <c r="B38" s="181" t="s">
        <v>497</v>
      </c>
      <c r="C38" s="178">
        <f>AVERAGEIF('Input Sheet'!E27:$E$1000,'Lookup Table'!B38,'Input Sheet'!G27:$G$1000)/100</f>
        <v>0.03</v>
      </c>
      <c r="J38" s="176" t="s">
        <v>520</v>
      </c>
      <c r="K38" s="176" t="s">
        <v>10</v>
      </c>
      <c r="M38" s="176" t="s">
        <v>520</v>
      </c>
      <c r="N38" s="176" t="s">
        <v>58</v>
      </c>
      <c r="P38" s="186" t="s">
        <v>536</v>
      </c>
      <c r="Q38" s="186" t="s">
        <v>749</v>
      </c>
      <c r="R38" s="186" t="s">
        <v>750</v>
      </c>
      <c r="S38" s="186">
        <v>32.379214285714291</v>
      </c>
      <c r="T38" s="187">
        <v>7.6450351397513633E-2</v>
      </c>
      <c r="U38" s="186">
        <v>1</v>
      </c>
      <c r="V38" s="187">
        <f>'Gov. Net Revenue  MEV Modelling'!AE7</f>
        <v>7.3620863472818543E-2</v>
      </c>
      <c r="W38" s="187">
        <f>'Gov. Net Revenue  MEV Modelling'!AF7</f>
        <v>0.15007121487033218</v>
      </c>
      <c r="X38" s="187">
        <f>'Gov. Net Revenue  MEV Modelling'!AG7</f>
        <v>-2.8294879246950899E-3</v>
      </c>
      <c r="Y38" s="187">
        <f t="shared" si="0"/>
        <v>5.8330793193315814E-2</v>
      </c>
    </row>
    <row r="39" spans="2:25" x14ac:dyDescent="0.2">
      <c r="B39" s="181" t="s">
        <v>498</v>
      </c>
      <c r="C39" s="178">
        <f>AVERAGEIF('Input Sheet'!E28:$E$1000,'Lookup Table'!B39,'Input Sheet'!G28:$G$1000)/100</f>
        <v>3.5000000000000003E-2</v>
      </c>
      <c r="J39" s="176" t="s">
        <v>575</v>
      </c>
      <c r="K39" s="176" t="s">
        <v>33</v>
      </c>
      <c r="M39" s="176" t="s">
        <v>687</v>
      </c>
      <c r="N39" s="176"/>
      <c r="P39" s="186" t="s">
        <v>520</v>
      </c>
      <c r="Q39" s="186" t="s">
        <v>749</v>
      </c>
      <c r="R39" s="186" t="s">
        <v>750</v>
      </c>
      <c r="S39" s="186">
        <v>20.81157142857143</v>
      </c>
      <c r="T39" s="187">
        <v>6.2074104639141717E-2</v>
      </c>
      <c r="U39" s="186">
        <v>1</v>
      </c>
      <c r="V39" s="187">
        <f>'Gov. Net Revenue  MEV Modelling'!AE8</f>
        <v>8.8641163455312075E-2</v>
      </c>
      <c r="W39" s="187">
        <f>'Gov. Net Revenue  MEV Modelling'!AF8</f>
        <v>0.15071526809445379</v>
      </c>
      <c r="X39" s="187">
        <f>'Gov. Net Revenue  MEV Modelling'!AG8</f>
        <v>2.6567058816170358E-2</v>
      </c>
      <c r="Y39" s="187">
        <f t="shared" si="0"/>
        <v>7.6226342527483726E-2</v>
      </c>
    </row>
    <row r="40" spans="2:25" x14ac:dyDescent="0.2">
      <c r="B40" s="181" t="s">
        <v>499</v>
      </c>
      <c r="C40" s="178">
        <f>AVERAGEIF('Input Sheet'!E29:$E$1000,'Lookup Table'!B40,'Input Sheet'!G29:$G$1000)/100</f>
        <v>3.6249999999999998E-2</v>
      </c>
      <c r="J40" s="176" t="s">
        <v>576</v>
      </c>
      <c r="K40" s="176" t="s">
        <v>39</v>
      </c>
      <c r="M40" s="176" t="s">
        <v>575</v>
      </c>
      <c r="N40" s="176" t="s">
        <v>33</v>
      </c>
      <c r="P40" s="186" t="s">
        <v>519</v>
      </c>
      <c r="Q40" s="186" t="s">
        <v>749</v>
      </c>
      <c r="R40" s="186" t="s">
        <v>750</v>
      </c>
      <c r="S40" s="186">
        <v>37.038214285714282</v>
      </c>
      <c r="T40" s="187">
        <v>0.18581137793766911</v>
      </c>
      <c r="U40" s="186">
        <v>1</v>
      </c>
      <c r="V40" s="187">
        <f>'Gov. Net Revenue  MEV Modelling'!AE9</f>
        <v>-2.4579504437180256E-2</v>
      </c>
      <c r="W40" s="187">
        <f>'Gov. Net Revenue  MEV Modelling'!AF9</f>
        <v>0.16123187350048884</v>
      </c>
      <c r="X40" s="187">
        <f>'Gov. Net Revenue  MEV Modelling'!AG9</f>
        <v>-0.21039088237484938</v>
      </c>
      <c r="Y40" s="187">
        <f t="shared" si="0"/>
        <v>-6.1741780024714074E-2</v>
      </c>
    </row>
    <row r="41" spans="2:25" x14ac:dyDescent="0.2">
      <c r="B41" s="181" t="s">
        <v>500</v>
      </c>
      <c r="C41" s="178">
        <f>AVERAGEIF('Input Sheet'!E30:$E$1000,'Lookup Table'!B41,'Input Sheet'!G30:$G$1000)/100</f>
        <v>2.5000000000000001E-2</v>
      </c>
      <c r="J41" s="176" t="s">
        <v>519</v>
      </c>
      <c r="K41" s="176" t="s">
        <v>58</v>
      </c>
      <c r="M41" s="176" t="s">
        <v>576</v>
      </c>
      <c r="N41" s="176" t="s">
        <v>33</v>
      </c>
      <c r="P41" s="186" t="s">
        <v>19</v>
      </c>
      <c r="Q41" s="186" t="s">
        <v>749</v>
      </c>
      <c r="R41" s="186" t="s">
        <v>750</v>
      </c>
      <c r="S41" s="186">
        <v>23.54035714285714</v>
      </c>
      <c r="T41" s="187">
        <v>0.15467365618834369</v>
      </c>
      <c r="U41" s="186">
        <v>1</v>
      </c>
      <c r="V41" s="187">
        <f>'Gov. Net Revenue  MEV Modelling'!AE10</f>
        <v>-0.1312578702228695</v>
      </c>
      <c r="W41" s="187">
        <f>'Gov. Net Revenue  MEV Modelling'!AF10</f>
        <v>2.3415785965474195E-2</v>
      </c>
      <c r="X41" s="187">
        <f>'Gov. Net Revenue  MEV Modelling'!AG10</f>
        <v>-0.28593152641121322</v>
      </c>
      <c r="Y41" s="187">
        <f t="shared" si="0"/>
        <v>-0.16219260146053824</v>
      </c>
    </row>
    <row r="42" spans="2:25" x14ac:dyDescent="0.2">
      <c r="B42" s="181" t="s">
        <v>501</v>
      </c>
      <c r="C42" s="178">
        <f>AVERAGEIF('Input Sheet'!E31:$E$1000,'Lookup Table'!B42,'Input Sheet'!G31:$G$1000)/100</f>
        <v>0.03</v>
      </c>
      <c r="J42" s="176" t="s">
        <v>577</v>
      </c>
      <c r="K42" s="176" t="s">
        <v>7</v>
      </c>
      <c r="M42" s="176" t="s">
        <v>519</v>
      </c>
      <c r="N42" s="176" t="s">
        <v>7</v>
      </c>
      <c r="P42" s="186" t="s">
        <v>482</v>
      </c>
      <c r="Q42" s="186" t="s">
        <v>749</v>
      </c>
      <c r="R42" s="186" t="s">
        <v>750</v>
      </c>
      <c r="S42" s="186">
        <v>10.103714285714286</v>
      </c>
      <c r="T42" s="187">
        <v>6.1680488644129769E-2</v>
      </c>
      <c r="U42" s="186">
        <v>1</v>
      </c>
      <c r="V42" s="187">
        <f>'Gov. Net Revenue  MEV Modelling'!AE11</f>
        <v>6.8409542930934807E-3</v>
      </c>
      <c r="W42" s="187">
        <f>'Gov. Net Revenue  MEV Modelling'!AF11</f>
        <v>6.8521442937223245E-2</v>
      </c>
      <c r="X42" s="187">
        <f>'Gov. Net Revenue  MEV Modelling'!AG11</f>
        <v>-5.4839534351036286E-2</v>
      </c>
      <c r="Y42" s="187">
        <f t="shared" si="0"/>
        <v>-5.4951434357324719E-3</v>
      </c>
    </row>
    <row r="43" spans="2:25" x14ac:dyDescent="0.2">
      <c r="B43" s="181" t="s">
        <v>502</v>
      </c>
      <c r="C43" s="178">
        <f>AVERAGEIF('Input Sheet'!E32:$E$1000,'Lookup Table'!B43,'Input Sheet'!G32:$G$1000)/100</f>
        <v>3.7499999999999999E-2</v>
      </c>
      <c r="J43" s="176" t="s">
        <v>19</v>
      </c>
      <c r="K43" s="176" t="s">
        <v>12</v>
      </c>
      <c r="M43" s="176" t="s">
        <v>577</v>
      </c>
      <c r="N43" s="176" t="s">
        <v>6</v>
      </c>
      <c r="P43" s="186" t="s">
        <v>531</v>
      </c>
      <c r="Q43" s="186" t="s">
        <v>749</v>
      </c>
      <c r="R43" s="186" t="s">
        <v>750</v>
      </c>
      <c r="S43" s="186">
        <v>40.750428571428564</v>
      </c>
      <c r="T43" s="187">
        <v>7.9926344733193905E-2</v>
      </c>
      <c r="U43" s="186">
        <v>1</v>
      </c>
      <c r="V43" s="187">
        <f>'Gov. Net Revenue  MEV Modelling'!AE12</f>
        <v>-9.5289678519302728E-2</v>
      </c>
      <c r="W43" s="187">
        <f>'Gov. Net Revenue  MEV Modelling'!AF12</f>
        <v>-1.5363333786108824E-2</v>
      </c>
      <c r="X43" s="187">
        <f>'Gov. Net Revenue  MEV Modelling'!AG12</f>
        <v>-0.17521602325249663</v>
      </c>
      <c r="Y43" s="187">
        <f t="shared" si="0"/>
        <v>-0.11127494746594149</v>
      </c>
    </row>
    <row r="44" spans="2:25" x14ac:dyDescent="0.2">
      <c r="B44" s="181" t="s">
        <v>503</v>
      </c>
      <c r="C44" s="178">
        <f>AVERAGEIF('Input Sheet'!E33:$E$1000,'Lookup Table'!B44,'Input Sheet'!G33:$G$1000)/100</f>
        <v>3.5000000000000003E-2</v>
      </c>
      <c r="J44" s="176" t="s">
        <v>482</v>
      </c>
      <c r="K44" s="176" t="s">
        <v>60</v>
      </c>
      <c r="M44" s="176" t="s">
        <v>19</v>
      </c>
      <c r="N44" s="176" t="s">
        <v>6</v>
      </c>
      <c r="P44" s="186" t="s">
        <v>521</v>
      </c>
      <c r="Q44" s="186" t="s">
        <v>749</v>
      </c>
      <c r="R44" s="186" t="s">
        <v>750</v>
      </c>
      <c r="S44" s="186">
        <v>18.505357142857143</v>
      </c>
      <c r="T44" s="187">
        <v>8.2203434946049966E-2</v>
      </c>
      <c r="U44" s="186">
        <v>1</v>
      </c>
      <c r="V44" s="187">
        <f>'Gov. Net Revenue  MEV Modelling'!AE13</f>
        <v>4.7408408118627281E-2</v>
      </c>
      <c r="W44" s="187">
        <f>'Gov. Net Revenue  MEV Modelling'!AF13</f>
        <v>0.12961184306467724</v>
      </c>
      <c r="X44" s="187">
        <f>'Gov. Net Revenue  MEV Modelling'!AG13</f>
        <v>-3.4795026827422686E-2</v>
      </c>
      <c r="Y44" s="187">
        <f t="shared" si="0"/>
        <v>3.0967721129417286E-2</v>
      </c>
    </row>
    <row r="45" spans="2:25" x14ac:dyDescent="0.2">
      <c r="B45" s="181" t="s">
        <v>504</v>
      </c>
      <c r="C45" s="178">
        <f>AVERAGEIF('Input Sheet'!E34:$E$1000,'Lookup Table'!B45,'Input Sheet'!G34:$G$1000)/100</f>
        <v>3.1666666666666662E-2</v>
      </c>
      <c r="J45" s="176" t="s">
        <v>578</v>
      </c>
      <c r="K45" s="176" t="s">
        <v>69</v>
      </c>
      <c r="M45" s="176" t="s">
        <v>482</v>
      </c>
      <c r="N45" s="176" t="s">
        <v>60</v>
      </c>
      <c r="P45" s="186" t="s">
        <v>515</v>
      </c>
      <c r="Q45" s="186" t="s">
        <v>749</v>
      </c>
      <c r="R45" s="186" t="s">
        <v>750</v>
      </c>
      <c r="S45" s="186">
        <v>22.202142857142857</v>
      </c>
      <c r="T45" s="187">
        <v>0.24942136609996615</v>
      </c>
      <c r="U45" s="186">
        <v>1</v>
      </c>
      <c r="V45" s="187">
        <f>'Gov. Net Revenue  MEV Modelling'!AE14</f>
        <v>5.1242372572359959E-2</v>
      </c>
      <c r="W45" s="187">
        <f>'Gov. Net Revenue  MEV Modelling'!AF14</f>
        <v>0.3006637386723261</v>
      </c>
      <c r="X45" s="187">
        <f>'Gov. Net Revenue  MEV Modelling'!AG14</f>
        <v>-0.19817899352760621</v>
      </c>
      <c r="Y45" s="187">
        <f t="shared" si="0"/>
        <v>1.3580993523667276E-3</v>
      </c>
    </row>
    <row r="46" spans="2:25" x14ac:dyDescent="0.2">
      <c r="B46" s="181" t="s">
        <v>505</v>
      </c>
      <c r="C46" s="178">
        <f>AVERAGEIF('Input Sheet'!E35:$E$1000,'Lookup Table'!B46,'Input Sheet'!G35:$G$1000)/100</f>
        <v>0.04</v>
      </c>
      <c r="J46" s="176" t="s">
        <v>531</v>
      </c>
      <c r="K46" s="176" t="s">
        <v>62</v>
      </c>
      <c r="M46" s="176" t="s">
        <v>578</v>
      </c>
      <c r="N46" s="176" t="s">
        <v>7</v>
      </c>
      <c r="P46" s="186" t="s">
        <v>481</v>
      </c>
      <c r="Q46" s="186" t="s">
        <v>749</v>
      </c>
      <c r="R46" s="186" t="s">
        <v>750</v>
      </c>
      <c r="S46" s="186">
        <v>27.900928571428569</v>
      </c>
      <c r="T46" s="187">
        <v>0.31565632740093197</v>
      </c>
      <c r="U46" s="186">
        <v>1</v>
      </c>
      <c r="V46" s="187">
        <f>'Gov. Net Revenue  MEV Modelling'!AE15</f>
        <v>-0.51266854917783067</v>
      </c>
      <c r="W46" s="187">
        <f>'Gov. Net Revenue  MEV Modelling'!AF15</f>
        <v>-0.1970122217768987</v>
      </c>
      <c r="X46" s="187">
        <f>'Gov. Net Revenue  MEV Modelling'!AG15</f>
        <v>-0.82832487657876264</v>
      </c>
      <c r="Y46" s="187">
        <f t="shared" si="0"/>
        <v>-0.575799814658017</v>
      </c>
    </row>
    <row r="47" spans="2:25" x14ac:dyDescent="0.2">
      <c r="B47" s="181" t="s">
        <v>506</v>
      </c>
      <c r="C47" s="178">
        <f>AVERAGEIF('Input Sheet'!E36:$E$1000,'Lookup Table'!B47,'Input Sheet'!G36:$G$1000)/100</f>
        <v>2.2499999999999999E-2</v>
      </c>
      <c r="J47" s="176" t="s">
        <v>579</v>
      </c>
      <c r="K47" s="176" t="s">
        <v>11</v>
      </c>
      <c r="M47" s="176" t="s">
        <v>531</v>
      </c>
      <c r="N47" s="176" t="s">
        <v>62</v>
      </c>
      <c r="P47" s="186" t="s">
        <v>505</v>
      </c>
      <c r="Q47" s="186" t="s">
        <v>749</v>
      </c>
      <c r="R47" s="186" t="s">
        <v>750</v>
      </c>
      <c r="S47" s="186">
        <v>26.928785714285713</v>
      </c>
      <c r="T47" s="187">
        <v>6.7218822746329329E-2</v>
      </c>
      <c r="U47" s="186">
        <v>1</v>
      </c>
      <c r="V47" s="187">
        <f>'Gov. Net Revenue  MEV Modelling'!AE16</f>
        <v>6.9945508833263031E-2</v>
      </c>
      <c r="W47" s="187">
        <f>'Gov. Net Revenue  MEV Modelling'!AF16</f>
        <v>0.13716433157959235</v>
      </c>
      <c r="X47" s="187">
        <f>'Gov. Net Revenue  MEV Modelling'!AG16</f>
        <v>2.7266860869337023E-3</v>
      </c>
      <c r="Y47" s="187">
        <f t="shared" si="0"/>
        <v>5.6501744283997166E-2</v>
      </c>
    </row>
    <row r="48" spans="2:25" x14ac:dyDescent="0.2">
      <c r="B48" s="181" t="s">
        <v>507</v>
      </c>
      <c r="C48" s="178">
        <f>AVERAGEIF('Input Sheet'!E37:$E$1000,'Lookup Table'!B48,'Input Sheet'!G37:$G$1000)/100</f>
        <v>1.4999999999999999E-2</v>
      </c>
      <c r="J48" s="176" t="s">
        <v>580</v>
      </c>
      <c r="K48" s="176" t="s">
        <v>62</v>
      </c>
      <c r="M48" s="176" t="s">
        <v>579</v>
      </c>
      <c r="N48" s="176" t="s">
        <v>11</v>
      </c>
      <c r="P48" s="186" t="s">
        <v>488</v>
      </c>
      <c r="Q48" s="186" t="s">
        <v>749</v>
      </c>
      <c r="R48" s="186" t="s">
        <v>750</v>
      </c>
      <c r="S48" s="186">
        <v>18.299499999999998</v>
      </c>
      <c r="T48" s="187">
        <v>0.39354235391457792</v>
      </c>
      <c r="U48" s="186">
        <v>1</v>
      </c>
      <c r="V48" s="187">
        <f>'Gov. Net Revenue  MEV Modelling'!AE17</f>
        <v>-0.13325500696740347</v>
      </c>
      <c r="W48" s="187">
        <f>'Gov. Net Revenue  MEV Modelling'!AF17</f>
        <v>0.26028734694717448</v>
      </c>
      <c r="X48" s="187">
        <f>'Gov. Net Revenue  MEV Modelling'!AG17</f>
        <v>-0.52679736088198137</v>
      </c>
      <c r="Y48" s="187">
        <f t="shared" si="0"/>
        <v>-0.21196347775031904</v>
      </c>
    </row>
    <row r="49" spans="2:25" x14ac:dyDescent="0.2">
      <c r="B49" s="181" t="s">
        <v>508</v>
      </c>
      <c r="C49" s="178">
        <f>AVERAGEIF('Input Sheet'!E38:$E$1000,'Lookup Table'!B49,'Input Sheet'!G38:$G$1000)/100</f>
        <v>0.04</v>
      </c>
      <c r="J49" s="176" t="s">
        <v>581</v>
      </c>
      <c r="K49" s="176" t="s">
        <v>12</v>
      </c>
      <c r="M49" s="176" t="s">
        <v>580</v>
      </c>
      <c r="N49" s="176" t="s">
        <v>70</v>
      </c>
      <c r="P49" s="186" t="s">
        <v>500</v>
      </c>
      <c r="Q49" s="186" t="s">
        <v>749</v>
      </c>
      <c r="R49" s="186" t="s">
        <v>750</v>
      </c>
      <c r="S49" s="186">
        <v>26.182571428571435</v>
      </c>
      <c r="T49" s="187">
        <v>0.22910052611265272</v>
      </c>
      <c r="U49" s="186">
        <v>1</v>
      </c>
      <c r="V49" s="187">
        <f>'Gov. Net Revenue  MEV Modelling'!AE18</f>
        <v>9.1457603567621948E-2</v>
      </c>
      <c r="W49" s="187">
        <f>'Gov. Net Revenue  MEV Modelling'!AF18</f>
        <v>0.32055812968027464</v>
      </c>
      <c r="X49" s="187">
        <f>'Gov. Net Revenue  MEV Modelling'!AG18</f>
        <v>-0.13764292254503077</v>
      </c>
      <c r="Y49" s="187">
        <f t="shared" si="0"/>
        <v>4.5637498345091405E-2</v>
      </c>
    </row>
    <row r="50" spans="2:25" x14ac:dyDescent="0.2">
      <c r="B50" s="181" t="s">
        <v>509</v>
      </c>
      <c r="C50" s="178">
        <f>AVERAGEIF('Input Sheet'!E39:$E$1000,'Lookup Table'!B50,'Input Sheet'!G39:$G$1000)/100</f>
        <v>3.5000000000000003E-2</v>
      </c>
      <c r="J50" s="176" t="s">
        <v>582</v>
      </c>
      <c r="K50" s="176" t="s">
        <v>9</v>
      </c>
      <c r="M50" s="176" t="s">
        <v>521</v>
      </c>
      <c r="N50" s="176"/>
      <c r="P50" s="186" t="s">
        <v>512</v>
      </c>
      <c r="Q50" s="186" t="s">
        <v>749</v>
      </c>
      <c r="R50" s="186" t="s">
        <v>750</v>
      </c>
      <c r="S50" s="186">
        <v>34.508785714285715</v>
      </c>
      <c r="T50" s="187">
        <v>8.353156388091082E-2</v>
      </c>
      <c r="U50" s="186">
        <v>1</v>
      </c>
      <c r="V50" s="187">
        <f>'Gov. Net Revenue  MEV Modelling'!AE19</f>
        <v>-0.20400946894821123</v>
      </c>
      <c r="W50" s="187">
        <f>'Gov. Net Revenue  MEV Modelling'!AF19</f>
        <v>-0.12047790506730041</v>
      </c>
      <c r="X50" s="187">
        <f>'Gov. Net Revenue  MEV Modelling'!AG19</f>
        <v>-0.28754103282912202</v>
      </c>
      <c r="Y50" s="187">
        <f t="shared" si="0"/>
        <v>-0.22071578172439338</v>
      </c>
    </row>
    <row r="51" spans="2:25" x14ac:dyDescent="0.2">
      <c r="B51" s="181" t="s">
        <v>510</v>
      </c>
      <c r="C51" s="178">
        <f>AVERAGEIF('Input Sheet'!E40:$E$1000,'Lookup Table'!B51,'Input Sheet'!G40:$G$1000)/100</f>
        <v>3.5000000000000003E-2</v>
      </c>
      <c r="J51" s="176" t="s">
        <v>583</v>
      </c>
      <c r="K51" s="176" t="s">
        <v>60</v>
      </c>
      <c r="M51" s="176" t="s">
        <v>582</v>
      </c>
      <c r="N51" s="176" t="s">
        <v>42</v>
      </c>
      <c r="P51" s="186" t="s">
        <v>231</v>
      </c>
      <c r="Q51" s="186" t="s">
        <v>749</v>
      </c>
      <c r="R51" s="186" t="s">
        <v>750</v>
      </c>
      <c r="S51" s="186">
        <v>23.32921428571429</v>
      </c>
      <c r="T51" s="187">
        <v>0.10306061217167083</v>
      </c>
      <c r="U51" s="186">
        <v>1</v>
      </c>
      <c r="V51" s="187">
        <f>'Gov. Net Revenue  MEV Modelling'!AE20</f>
        <v>-0.14789243407254571</v>
      </c>
      <c r="W51" s="187">
        <f>'Gov. Net Revenue  MEV Modelling'!AF20</f>
        <v>-4.4831821900874883E-2</v>
      </c>
      <c r="X51" s="187">
        <f>'Gov. Net Revenue  MEV Modelling'!AG20</f>
        <v>-0.25095304624421655</v>
      </c>
      <c r="Y51" s="187">
        <f t="shared" si="0"/>
        <v>-0.16850455650687987</v>
      </c>
    </row>
    <row r="52" spans="2:25" x14ac:dyDescent="0.2">
      <c r="B52" s="181" t="s">
        <v>511</v>
      </c>
      <c r="C52" s="178">
        <f>AVERAGEIF('Input Sheet'!E41:$E$1000,'Lookup Table'!B52,'Input Sheet'!G41:$G$1000)/100</f>
        <v>2.8333333333333335E-2</v>
      </c>
      <c r="J52" s="176" t="s">
        <v>584</v>
      </c>
      <c r="K52" s="176" t="s">
        <v>62</v>
      </c>
      <c r="M52" s="176" t="s">
        <v>583</v>
      </c>
      <c r="N52" s="176" t="s">
        <v>60</v>
      </c>
      <c r="P52" s="186" t="s">
        <v>514</v>
      </c>
      <c r="Q52" s="186" t="s">
        <v>749</v>
      </c>
      <c r="R52" s="186" t="s">
        <v>750</v>
      </c>
      <c r="S52" s="186">
        <v>18.919285714285714</v>
      </c>
      <c r="T52" s="187">
        <v>0.31059841485998135</v>
      </c>
      <c r="U52" s="186">
        <v>1</v>
      </c>
      <c r="V52" s="187">
        <f>'Gov. Net Revenue  MEV Modelling'!AE21</f>
        <v>-0.297119341563786</v>
      </c>
      <c r="W52" s="187">
        <f>'Gov. Net Revenue  MEV Modelling'!AF21</f>
        <v>1.3479073296195354E-2</v>
      </c>
      <c r="X52" s="187">
        <f>'Gov. Net Revenue  MEV Modelling'!AG21</f>
        <v>-0.60771775642376735</v>
      </c>
      <c r="Y52" s="187">
        <f t="shared" si="0"/>
        <v>-0.35923902453578227</v>
      </c>
    </row>
    <row r="53" spans="2:25" x14ac:dyDescent="0.2">
      <c r="B53" s="181" t="s">
        <v>512</v>
      </c>
      <c r="C53" s="178">
        <f>AVERAGEIF('Input Sheet'!E42:$E$1000,'Lookup Table'!B53,'Input Sheet'!G42:$G$1000)/100</f>
        <v>3.6666666666666667E-2</v>
      </c>
      <c r="J53" s="176" t="s">
        <v>585</v>
      </c>
      <c r="K53" s="176" t="s">
        <v>9</v>
      </c>
      <c r="M53" s="176" t="s">
        <v>584</v>
      </c>
      <c r="N53" s="176" t="s">
        <v>62</v>
      </c>
      <c r="P53" s="186" t="s">
        <v>527</v>
      </c>
      <c r="Q53" s="186" t="s">
        <v>749</v>
      </c>
      <c r="R53" s="186" t="s">
        <v>750</v>
      </c>
      <c r="S53" s="186">
        <v>16.094142857142852</v>
      </c>
      <c r="T53" s="187">
        <v>8.6427499595716134E-2</v>
      </c>
      <c r="U53" s="186">
        <v>1</v>
      </c>
      <c r="V53" s="187">
        <f>'Gov. Net Revenue  MEV Modelling'!AE22</f>
        <v>-0.17250434201143833</v>
      </c>
      <c r="W53" s="187">
        <f>'Gov. Net Revenue  MEV Modelling'!AF22</f>
        <v>-8.6076842415722193E-2</v>
      </c>
      <c r="X53" s="187">
        <f>'Gov. Net Revenue  MEV Modelling'!AG22</f>
        <v>-0.25893184160715443</v>
      </c>
      <c r="Y53" s="187">
        <f t="shared" si="0"/>
        <v>-0.18978984193058154</v>
      </c>
    </row>
    <row r="54" spans="2:25" x14ac:dyDescent="0.2">
      <c r="B54" s="181" t="s">
        <v>513</v>
      </c>
      <c r="C54" s="178">
        <f>AVERAGEIF('Input Sheet'!E43:$E$1000,'Lookup Table'!B54,'Input Sheet'!G43:$G$1000)/100</f>
        <v>3.7499999999999999E-2</v>
      </c>
      <c r="J54" s="176" t="s">
        <v>586</v>
      </c>
      <c r="K54" s="176" t="s">
        <v>58</v>
      </c>
      <c r="M54" s="176" t="s">
        <v>585</v>
      </c>
      <c r="N54" s="176" t="s">
        <v>9</v>
      </c>
      <c r="P54" s="186" t="s">
        <v>494</v>
      </c>
      <c r="Q54" s="186" t="s">
        <v>749</v>
      </c>
      <c r="R54" s="186" t="s">
        <v>750</v>
      </c>
      <c r="S54" s="186">
        <v>13.512071428571428</v>
      </c>
      <c r="T54" s="187">
        <v>0.1963380537414034</v>
      </c>
      <c r="U54" s="186">
        <v>1</v>
      </c>
      <c r="V54" s="187">
        <f>'Gov. Net Revenue  MEV Modelling'!AE23</f>
        <v>0.23574687184475276</v>
      </c>
      <c r="W54" s="187">
        <f>'Gov. Net Revenue  MEV Modelling'!AF23</f>
        <v>0.43208492558615619</v>
      </c>
      <c r="X54" s="187">
        <f>'Gov. Net Revenue  MEV Modelling'!AG23</f>
        <v>3.9408818103349369E-2</v>
      </c>
      <c r="Y54" s="187">
        <f t="shared" si="0"/>
        <v>0.19647926109647207</v>
      </c>
    </row>
    <row r="55" spans="2:25" x14ac:dyDescent="0.2">
      <c r="B55" s="181" t="s">
        <v>514</v>
      </c>
      <c r="C55" s="178">
        <f>AVERAGEIF('Input Sheet'!E44:$E$1000,'Lookup Table'!B55,'Input Sheet'!G44:$G$1000)/100</f>
        <v>2.5000000000000001E-2</v>
      </c>
      <c r="J55" s="176" t="s">
        <v>587</v>
      </c>
      <c r="K55" s="176" t="s">
        <v>5</v>
      </c>
      <c r="M55" s="176" t="s">
        <v>586</v>
      </c>
      <c r="N55" s="176" t="s">
        <v>5</v>
      </c>
      <c r="P55" s="186" t="s">
        <v>503</v>
      </c>
      <c r="Q55" s="186" t="s">
        <v>749</v>
      </c>
      <c r="R55" s="186" t="s">
        <v>750</v>
      </c>
      <c r="S55" s="186">
        <v>17.879928571428572</v>
      </c>
      <c r="T55" s="187">
        <v>0.21228501427076354</v>
      </c>
      <c r="U55" s="186">
        <v>1</v>
      </c>
      <c r="V55" s="187">
        <f>'Gov. Net Revenue  MEV Modelling'!AE24</f>
        <v>0.11836762957133358</v>
      </c>
      <c r="W55" s="187">
        <f>'Gov. Net Revenue  MEV Modelling'!AF24</f>
        <v>0.33065264384209714</v>
      </c>
      <c r="X55" s="187">
        <f>'Gov. Net Revenue  MEV Modelling'!AG24</f>
        <v>-9.3917384699429965E-2</v>
      </c>
      <c r="Y55" s="187">
        <f t="shared" si="0"/>
        <v>7.5910626717180879E-2</v>
      </c>
    </row>
    <row r="56" spans="2:25" x14ac:dyDescent="0.2">
      <c r="B56" s="181" t="s">
        <v>515</v>
      </c>
      <c r="C56" s="178">
        <f>AVERAGEIF('Input Sheet'!E45:$E$1000,'Lookup Table'!B56,'Input Sheet'!G45:$G$1000)/100</f>
        <v>2.75E-2</v>
      </c>
      <c r="J56" s="176" t="s">
        <v>588</v>
      </c>
      <c r="K56" s="176" t="s">
        <v>12</v>
      </c>
      <c r="M56" s="176" t="s">
        <v>587</v>
      </c>
      <c r="N56" s="176" t="s">
        <v>5</v>
      </c>
      <c r="P56" s="186" t="s">
        <v>539</v>
      </c>
      <c r="Q56" s="186" t="s">
        <v>749</v>
      </c>
      <c r="R56" s="186" t="s">
        <v>750</v>
      </c>
      <c r="S56" s="186">
        <v>28.282928571428567</v>
      </c>
      <c r="T56" s="187">
        <v>4.8543050264996689E-2</v>
      </c>
      <c r="U56" s="186">
        <v>1</v>
      </c>
      <c r="V56" s="187">
        <f>'Gov. Net Revenue  MEV Modelling'!AE25</f>
        <v>7.9043138086831943E-2</v>
      </c>
      <c r="W56" s="187">
        <f>'Gov. Net Revenue  MEV Modelling'!AF25</f>
        <v>0.12758618835182864</v>
      </c>
      <c r="X56" s="187">
        <f>'Gov. Net Revenue  MEV Modelling'!AG25</f>
        <v>3.0500087821835255E-2</v>
      </c>
      <c r="Y56" s="187">
        <f t="shared" si="0"/>
        <v>6.933452803383261E-2</v>
      </c>
    </row>
    <row r="57" spans="2:25" x14ac:dyDescent="0.2">
      <c r="B57" s="181" t="s">
        <v>516</v>
      </c>
      <c r="C57" s="178">
        <f>AVERAGEIF('Input Sheet'!E46:$E$1000,'Lookup Table'!B57,'Input Sheet'!G46:$G$1000)/100</f>
        <v>2.5000000000000001E-2</v>
      </c>
      <c r="J57" s="176" t="s">
        <v>488</v>
      </c>
      <c r="K57" s="176" t="s">
        <v>12</v>
      </c>
      <c r="M57" s="176" t="s">
        <v>515</v>
      </c>
      <c r="N57" s="176"/>
      <c r="P57" s="186" t="s">
        <v>483</v>
      </c>
      <c r="Q57" s="186" t="s">
        <v>749</v>
      </c>
      <c r="R57" s="186" t="s">
        <v>750</v>
      </c>
      <c r="S57" s="186">
        <v>19.763428571428573</v>
      </c>
      <c r="T57" s="187">
        <v>4.1887168790829626E-2</v>
      </c>
      <c r="U57" s="186">
        <v>1</v>
      </c>
      <c r="V57" s="187">
        <f>'Gov. Net Revenue  MEV Modelling'!AE26</f>
        <v>3.420820563233664E-2</v>
      </c>
      <c r="W57" s="187">
        <f>'Gov. Net Revenue  MEV Modelling'!AF26</f>
        <v>7.6095374423166273E-2</v>
      </c>
      <c r="X57" s="187">
        <f>'Gov. Net Revenue  MEV Modelling'!AG26</f>
        <v>-7.6789631584929866E-3</v>
      </c>
      <c r="Y57" s="187">
        <f t="shared" si="0"/>
        <v>2.5830771874170714E-2</v>
      </c>
    </row>
    <row r="58" spans="2:25" x14ac:dyDescent="0.2">
      <c r="B58" s="181" t="s">
        <v>517</v>
      </c>
      <c r="C58" s="178">
        <f>AVERAGEIF('Input Sheet'!E47:$E$1000,'Lookup Table'!B58,'Input Sheet'!G47:$G$1000)/100</f>
        <v>3.5000000000000003E-2</v>
      </c>
      <c r="J58" s="176" t="s">
        <v>589</v>
      </c>
      <c r="K58" s="176" t="s">
        <v>33</v>
      </c>
      <c r="M58" s="176" t="s">
        <v>588</v>
      </c>
      <c r="N58" s="176" t="s">
        <v>12</v>
      </c>
      <c r="P58" s="186" t="s">
        <v>489</v>
      </c>
      <c r="Q58" s="186" t="s">
        <v>749</v>
      </c>
      <c r="R58" s="186" t="s">
        <v>750</v>
      </c>
      <c r="S58" s="186">
        <v>16.480642857142861</v>
      </c>
      <c r="T58" s="187">
        <v>9.8104124446085017E-2</v>
      </c>
      <c r="U58" s="186">
        <v>1</v>
      </c>
      <c r="V58" s="187">
        <f>'Gov. Net Revenue  MEV Modelling'!AE27</f>
        <v>-8.8971621830517128E-2</v>
      </c>
      <c r="W58" s="187">
        <f>'Gov. Net Revenue  MEV Modelling'!AF27</f>
        <v>9.132502615567889E-3</v>
      </c>
      <c r="X58" s="187">
        <f>'Gov. Net Revenue  MEV Modelling'!AG27</f>
        <v>-0.18707574627660215</v>
      </c>
      <c r="Y58" s="187">
        <f t="shared" si="0"/>
        <v>-0.10859244671973413</v>
      </c>
    </row>
    <row r="59" spans="2:25" x14ac:dyDescent="0.2">
      <c r="B59" s="181" t="s">
        <v>518</v>
      </c>
      <c r="C59" s="178">
        <f>AVERAGEIF('Input Sheet'!E48:$E$1000,'Lookup Table'!B59,'Input Sheet'!G48:$G$1000)/100</f>
        <v>2.5000000000000001E-2</v>
      </c>
      <c r="J59" s="176" t="s">
        <v>590</v>
      </c>
      <c r="K59" s="176" t="s">
        <v>11</v>
      </c>
      <c r="M59" s="176" t="s">
        <v>488</v>
      </c>
      <c r="N59" s="176"/>
      <c r="P59" s="186" t="s">
        <v>477</v>
      </c>
      <c r="Q59" s="186" t="s">
        <v>749</v>
      </c>
      <c r="R59" s="186" t="s">
        <v>750</v>
      </c>
      <c r="S59" s="186">
        <v>27.234714285714286</v>
      </c>
      <c r="T59" s="187">
        <v>0.12043748030842559</v>
      </c>
      <c r="U59" s="186">
        <v>1</v>
      </c>
      <c r="V59" s="187">
        <f>'Gov. Net Revenue  MEV Modelling'!AE28</f>
        <v>-2.3005477952682998E-2</v>
      </c>
      <c r="W59" s="187">
        <f>'Gov. Net Revenue  MEV Modelling'!AF28</f>
        <v>9.7432002355742592E-2</v>
      </c>
      <c r="X59" s="187">
        <f>'Gov. Net Revenue  MEV Modelling'!AG28</f>
        <v>-0.14344295826110859</v>
      </c>
      <c r="Y59" s="187">
        <f t="shared" si="0"/>
        <v>-4.7092974014368114E-2</v>
      </c>
    </row>
    <row r="60" spans="2:25" x14ac:dyDescent="0.2">
      <c r="B60" s="181" t="s">
        <v>519</v>
      </c>
      <c r="C60" s="178">
        <f>AVERAGEIF('Input Sheet'!E49:$E$1000,'Lookup Table'!B60,'Input Sheet'!G49:$G$1000)/100</f>
        <v>4.2500000000000003E-2</v>
      </c>
      <c r="J60" s="176" t="s">
        <v>591</v>
      </c>
      <c r="K60" s="176" t="s">
        <v>8</v>
      </c>
      <c r="M60" s="176" t="s">
        <v>589</v>
      </c>
      <c r="N60" s="176" t="s">
        <v>33</v>
      </c>
      <c r="P60" s="186" t="s">
        <v>517</v>
      </c>
      <c r="Q60" s="186" t="s">
        <v>749</v>
      </c>
      <c r="R60" s="186" t="s">
        <v>750</v>
      </c>
      <c r="S60" s="186">
        <v>23.860785714285715</v>
      </c>
      <c r="T60" s="187">
        <v>0.17078115615115461</v>
      </c>
      <c r="U60" s="186">
        <v>1</v>
      </c>
      <c r="V60" s="187">
        <f>'Gov. Net Revenue  MEV Modelling'!AE29</f>
        <v>-9.8171636466687348E-2</v>
      </c>
      <c r="W60" s="187">
        <f>'Gov. Net Revenue  MEV Modelling'!AF29</f>
        <v>7.2609519684467258E-2</v>
      </c>
      <c r="X60" s="187">
        <f>'Gov. Net Revenue  MEV Modelling'!AG29</f>
        <v>-0.26895279261784194</v>
      </c>
      <c r="Y60" s="187">
        <f t="shared" si="0"/>
        <v>-0.13232786769691826</v>
      </c>
    </row>
    <row r="61" spans="2:25" x14ac:dyDescent="0.2">
      <c r="B61" s="181" t="s">
        <v>520</v>
      </c>
      <c r="C61" s="178">
        <f>AVERAGEIF('Input Sheet'!E50:$E$1000,'Lookup Table'!B61,'Input Sheet'!G50:$G$1000)/100</f>
        <v>3.5000000000000003E-2</v>
      </c>
      <c r="J61" s="176" t="s">
        <v>592</v>
      </c>
      <c r="K61" s="176" t="s">
        <v>8</v>
      </c>
      <c r="M61" s="176" t="s">
        <v>688</v>
      </c>
      <c r="N61" s="176"/>
      <c r="P61" s="186" t="s">
        <v>511</v>
      </c>
      <c r="Q61" s="186" t="s">
        <v>749</v>
      </c>
      <c r="R61" s="186" t="s">
        <v>750</v>
      </c>
      <c r="S61" s="186">
        <v>19.229714285714287</v>
      </c>
      <c r="T61" s="187">
        <v>3.0443715581742217E-2</v>
      </c>
      <c r="U61" s="186">
        <v>1</v>
      </c>
      <c r="V61" s="187">
        <f>'Gov. Net Revenue  MEV Modelling'!AE30</f>
        <v>1.5130353817504591E-2</v>
      </c>
      <c r="W61" s="187">
        <f>'Gov. Net Revenue  MEV Modelling'!AF30</f>
        <v>4.5574069399246811E-2</v>
      </c>
      <c r="X61" s="187">
        <f>'Gov. Net Revenue  MEV Modelling'!AG30</f>
        <v>-1.5313361764237626E-2</v>
      </c>
      <c r="Y61" s="187">
        <f t="shared" si="0"/>
        <v>9.041610701156149E-3</v>
      </c>
    </row>
    <row r="62" spans="2:25" x14ac:dyDescent="0.2">
      <c r="B62" s="181" t="s">
        <v>521</v>
      </c>
      <c r="C62" s="178">
        <f>AVERAGEIF('Input Sheet'!E51:$E$1000,'Lookup Table'!B62,'Input Sheet'!G51:$G$1000)/100</f>
        <v>2.5000000000000001E-2</v>
      </c>
      <c r="J62" s="176" t="s">
        <v>593</v>
      </c>
      <c r="K62" s="176" t="s">
        <v>5</v>
      </c>
      <c r="M62" s="176" t="s">
        <v>590</v>
      </c>
      <c r="N62" s="176" t="s">
        <v>11</v>
      </c>
      <c r="P62" s="186" t="s">
        <v>21</v>
      </c>
      <c r="Q62" s="186" t="s">
        <v>749</v>
      </c>
      <c r="R62" s="186" t="s">
        <v>750</v>
      </c>
      <c r="S62" s="186">
        <v>22.188857142857142</v>
      </c>
      <c r="T62" s="187">
        <v>8.4038305348709111E-2</v>
      </c>
      <c r="U62" s="186">
        <v>1</v>
      </c>
      <c r="V62" s="187">
        <f>'Gov. Net Revenue  MEV Modelling'!AE31</f>
        <v>5.8609426438838992E-2</v>
      </c>
      <c r="W62" s="187">
        <f>'Gov. Net Revenue  MEV Modelling'!AF31</f>
        <v>0.14264773178754811</v>
      </c>
      <c r="X62" s="187">
        <f>'Gov. Net Revenue  MEV Modelling'!AG31</f>
        <v>-2.5428878909870119E-2</v>
      </c>
      <c r="Y62" s="187">
        <f t="shared" si="0"/>
        <v>4.1801765369097167E-2</v>
      </c>
    </row>
    <row r="63" spans="2:25" x14ac:dyDescent="0.2">
      <c r="B63" s="181" t="s">
        <v>522</v>
      </c>
      <c r="C63" s="178">
        <f>AVERAGEIF('Input Sheet'!E52:$E$1000,'Lookup Table'!B63,'Input Sheet'!G52:$G$1000)/100</f>
        <v>0.04</v>
      </c>
      <c r="J63" s="176" t="s">
        <v>594</v>
      </c>
      <c r="K63" s="176" t="s">
        <v>10</v>
      </c>
      <c r="M63" s="176" t="s">
        <v>591</v>
      </c>
      <c r="N63" s="176" t="s">
        <v>11</v>
      </c>
      <c r="P63" s="186" t="s">
        <v>496</v>
      </c>
      <c r="Q63" s="186" t="s">
        <v>749</v>
      </c>
      <c r="R63" s="186" t="s">
        <v>750</v>
      </c>
      <c r="S63" s="186">
        <v>49.248071428571428</v>
      </c>
      <c r="T63" s="187">
        <v>0.11842696886256351</v>
      </c>
      <c r="U63" s="186">
        <v>1</v>
      </c>
      <c r="V63" s="187">
        <f>'Gov. Net Revenue  MEV Modelling'!AE32</f>
        <v>-0.1474556170679151</v>
      </c>
      <c r="W63" s="187">
        <f>'Gov. Net Revenue  MEV Modelling'!AF32</f>
        <v>-2.9028648205351587E-2</v>
      </c>
      <c r="X63" s="187">
        <f>'Gov. Net Revenue  MEV Modelling'!AG32</f>
        <v>-0.26588258593047864</v>
      </c>
      <c r="Y63" s="187">
        <f t="shared" si="0"/>
        <v>-0.17114101084042782</v>
      </c>
    </row>
    <row r="64" spans="2:25" x14ac:dyDescent="0.2">
      <c r="B64" s="181" t="s">
        <v>523</v>
      </c>
      <c r="C64" s="178">
        <f>AVERAGEIF('Input Sheet'!E53:$E$1000,'Lookup Table'!B64,'Input Sheet'!G53:$G$1000)/100</f>
        <v>2.5000000000000001E-2</v>
      </c>
      <c r="J64" s="176" t="s">
        <v>595</v>
      </c>
      <c r="K64" s="176" t="s">
        <v>60</v>
      </c>
      <c r="M64" s="176" t="s">
        <v>592</v>
      </c>
      <c r="N64" s="176" t="s">
        <v>11</v>
      </c>
      <c r="P64" s="186" t="s">
        <v>540</v>
      </c>
      <c r="Q64" s="186" t="s">
        <v>749</v>
      </c>
      <c r="R64" s="186" t="s">
        <v>750</v>
      </c>
      <c r="S64" s="186">
        <v>62.596000000000004</v>
      </c>
      <c r="T64" s="187">
        <v>0.22033061036280399</v>
      </c>
      <c r="U64" s="186">
        <v>1</v>
      </c>
      <c r="V64" s="187">
        <f>'Gov. Net Revenue  MEV Modelling'!AE33</f>
        <v>4.9108569237650931E-2</v>
      </c>
      <c r="W64" s="187">
        <f>'Gov. Net Revenue  MEV Modelling'!AF33</f>
        <v>0.26943917960045494</v>
      </c>
      <c r="X64" s="187">
        <f>'Gov. Net Revenue  MEV Modelling'!AG33</f>
        <v>-0.17122204112515305</v>
      </c>
      <c r="Y64" s="187">
        <f t="shared" si="0"/>
        <v>5.0424471650901415E-3</v>
      </c>
    </row>
    <row r="65" spans="2:25" x14ac:dyDescent="0.2">
      <c r="B65" s="181" t="s">
        <v>524</v>
      </c>
      <c r="C65" s="178">
        <f>AVERAGEIF('Input Sheet'!E54:$E$1000,'Lookup Table'!B65,'Input Sheet'!G54:$G$1000)/100</f>
        <v>0.02</v>
      </c>
      <c r="J65" s="176" t="s">
        <v>596</v>
      </c>
      <c r="K65" s="176" t="s">
        <v>58</v>
      </c>
      <c r="M65" s="176" t="s">
        <v>593</v>
      </c>
      <c r="N65" s="176" t="s">
        <v>7</v>
      </c>
      <c r="P65" s="186" t="s">
        <v>501</v>
      </c>
      <c r="Q65" s="186" t="s">
        <v>749</v>
      </c>
      <c r="R65" s="186" t="s">
        <v>750</v>
      </c>
      <c r="S65" s="186">
        <v>14.16</v>
      </c>
      <c r="T65" s="187">
        <v>0.20386894396031949</v>
      </c>
      <c r="U65" s="186">
        <v>1</v>
      </c>
      <c r="V65" s="187">
        <f>'Gov. Net Revenue  MEV Modelling'!AE34</f>
        <v>6.7631826741996096E-2</v>
      </c>
      <c r="W65" s="187">
        <f>'Gov. Net Revenue  MEV Modelling'!AF34</f>
        <v>0.2715007707023156</v>
      </c>
      <c r="X65" s="187">
        <f>'Gov. Net Revenue  MEV Modelling'!AG34</f>
        <v>-0.13623711721832338</v>
      </c>
      <c r="Y65" s="187">
        <f t="shared" si="0"/>
        <v>2.6858037949932197E-2</v>
      </c>
    </row>
    <row r="66" spans="2:25" x14ac:dyDescent="0.2">
      <c r="B66" s="181" t="s">
        <v>525</v>
      </c>
      <c r="C66" s="178">
        <f>AVERAGEIF('Input Sheet'!E55:$E$1000,'Lookup Table'!B66,'Input Sheet'!G55:$G$1000)/100</f>
        <v>4.4999999999999998E-2</v>
      </c>
      <c r="J66" s="176" t="s">
        <v>534</v>
      </c>
      <c r="K66" s="176" t="s">
        <v>67</v>
      </c>
      <c r="M66" s="176" t="s">
        <v>689</v>
      </c>
      <c r="N66" s="176"/>
      <c r="P66" s="186" t="s">
        <v>524</v>
      </c>
      <c r="Q66" s="186" t="s">
        <v>749</v>
      </c>
      <c r="R66" s="186" t="s">
        <v>750</v>
      </c>
      <c r="S66" s="186">
        <v>26.230642857142858</v>
      </c>
      <c r="T66" s="187">
        <v>9.6689658338745724E-2</v>
      </c>
      <c r="U66" s="186">
        <v>1</v>
      </c>
      <c r="V66" s="187">
        <f>'Gov. Net Revenue  MEV Modelling'!AE35</f>
        <v>-1.240188910280334E-2</v>
      </c>
      <c r="W66" s="187">
        <f>'Gov. Net Revenue  MEV Modelling'!AF35</f>
        <v>8.4287769235942389E-2</v>
      </c>
      <c r="X66" s="187">
        <f>'Gov. Net Revenue  MEV Modelling'!AG35</f>
        <v>-0.10909154744154906</v>
      </c>
      <c r="Y66" s="187">
        <f t="shared" ref="Y66:Y95" si="1">SUMPRODUCT(V66:X66,$V$31:$X$31)</f>
        <v>-3.1739820770552485E-2</v>
      </c>
    </row>
    <row r="67" spans="2:25" x14ac:dyDescent="0.2">
      <c r="B67" s="181" t="s">
        <v>526</v>
      </c>
      <c r="C67" s="178">
        <f>AVERAGEIF('Input Sheet'!E56:$E$1000,'Lookup Table'!B67,'Input Sheet'!G56:$G$1000)/100</f>
        <v>2.5000000000000001E-2</v>
      </c>
      <c r="J67" s="176" t="s">
        <v>597</v>
      </c>
      <c r="K67" s="176" t="s">
        <v>58</v>
      </c>
      <c r="M67" s="176" t="s">
        <v>594</v>
      </c>
      <c r="N67" s="176" t="s">
        <v>7</v>
      </c>
      <c r="P67" s="186" t="s">
        <v>486</v>
      </c>
      <c r="Q67" s="186" t="s">
        <v>749</v>
      </c>
      <c r="R67" s="186" t="s">
        <v>750</v>
      </c>
      <c r="S67" s="186">
        <v>22.88521428571428</v>
      </c>
      <c r="T67" s="187">
        <v>8.4512202075685883E-2</v>
      </c>
      <c r="U67" s="186">
        <v>1</v>
      </c>
      <c r="V67" s="187">
        <f>'Gov. Net Revenue  MEV Modelling'!AE36</f>
        <v>-0.21312367415434563</v>
      </c>
      <c r="W67" s="187">
        <f>'Gov. Net Revenue  MEV Modelling'!AF36</f>
        <v>-0.12861147207865975</v>
      </c>
      <c r="X67" s="187">
        <f>'Gov. Net Revenue  MEV Modelling'!AG36</f>
        <v>-0.29763587623003152</v>
      </c>
      <c r="Y67" s="187">
        <f t="shared" si="1"/>
        <v>-0.2300261145694828</v>
      </c>
    </row>
    <row r="68" spans="2:25" x14ac:dyDescent="0.2">
      <c r="B68" s="181" t="s">
        <v>527</v>
      </c>
      <c r="C68" s="178">
        <f>AVERAGEIF('Input Sheet'!E57:$E$1000,'Lookup Table'!B68,'Input Sheet'!G57:$G$1000)/100</f>
        <v>0.02</v>
      </c>
      <c r="J68" s="176" t="s">
        <v>598</v>
      </c>
      <c r="K68" s="176" t="s">
        <v>8</v>
      </c>
      <c r="M68" s="176" t="s">
        <v>596</v>
      </c>
      <c r="N68" s="176" t="s">
        <v>7</v>
      </c>
      <c r="P68" s="186" t="s">
        <v>499</v>
      </c>
      <c r="Q68" s="186" t="s">
        <v>749</v>
      </c>
      <c r="R68" s="186" t="s">
        <v>750</v>
      </c>
      <c r="S68" s="186">
        <v>25.751357142857142</v>
      </c>
      <c r="T68" s="187">
        <v>0.14421446938296006</v>
      </c>
      <c r="U68" s="186">
        <v>1</v>
      </c>
      <c r="V68" s="187">
        <f>'Gov. Net Revenue  MEV Modelling'!AE37</f>
        <v>1.021675233020797E-3</v>
      </c>
      <c r="W68" s="187">
        <f>'Gov. Net Revenue  MEV Modelling'!AF37</f>
        <v>0.14523614461598086</v>
      </c>
      <c r="X68" s="187">
        <f>'Gov. Net Revenue  MEV Modelling'!AG37</f>
        <v>-0.14319279414993927</v>
      </c>
      <c r="Y68" s="187">
        <f t="shared" si="1"/>
        <v>-2.7821218643571212E-2</v>
      </c>
    </row>
    <row r="69" spans="2:25" x14ac:dyDescent="0.2">
      <c r="B69" s="181" t="s">
        <v>528</v>
      </c>
      <c r="C69" s="178">
        <f>AVERAGEIF('Input Sheet'!E58:$E$1000,'Lookup Table'!B69,'Input Sheet'!G58:$G$1000)/100</f>
        <v>1.4999999999999999E-2</v>
      </c>
      <c r="J69" s="176" t="s">
        <v>599</v>
      </c>
      <c r="K69" s="176" t="s">
        <v>62</v>
      </c>
      <c r="M69" s="176" t="s">
        <v>534</v>
      </c>
      <c r="N69" s="176" t="s">
        <v>63</v>
      </c>
      <c r="P69" s="186" t="s">
        <v>485</v>
      </c>
      <c r="Q69" s="186" t="s">
        <v>749</v>
      </c>
      <c r="R69" s="186" t="s">
        <v>750</v>
      </c>
      <c r="S69" s="186">
        <v>20.027428571428572</v>
      </c>
      <c r="T69" s="187">
        <v>0.41913136515656357</v>
      </c>
      <c r="U69" s="186">
        <v>1</v>
      </c>
      <c r="V69" s="187">
        <f>'Gov. Net Revenue  MEV Modelling'!AE38</f>
        <v>6.1411017271551432E-2</v>
      </c>
      <c r="W69" s="187">
        <f>'Gov. Net Revenue  MEV Modelling'!AF38</f>
        <v>0.48054238242811498</v>
      </c>
      <c r="X69" s="187">
        <f>'Gov. Net Revenue  MEV Modelling'!AG38</f>
        <v>-0.35772034788501217</v>
      </c>
      <c r="Y69" s="187">
        <f t="shared" si="1"/>
        <v>-2.2415255759761291E-2</v>
      </c>
    </row>
    <row r="70" spans="2:25" x14ac:dyDescent="0.2">
      <c r="B70" s="181" t="s">
        <v>529</v>
      </c>
      <c r="C70" s="178">
        <f>AVERAGEIF('Input Sheet'!E59:$E$1000,'Lookup Table'!B70,'Input Sheet'!G59:$G$1000)/100</f>
        <v>2.4375000000000001E-2</v>
      </c>
      <c r="J70" s="176" t="s">
        <v>600</v>
      </c>
      <c r="K70" s="176" t="s">
        <v>33</v>
      </c>
      <c r="M70" s="176" t="s">
        <v>597</v>
      </c>
      <c r="N70" s="176" t="s">
        <v>62</v>
      </c>
      <c r="P70" s="186" t="s">
        <v>497</v>
      </c>
      <c r="Q70" s="186" t="s">
        <v>749</v>
      </c>
      <c r="R70" s="186" t="s">
        <v>750</v>
      </c>
      <c r="S70" s="186">
        <v>38.881428571428572</v>
      </c>
      <c r="T70" s="187">
        <v>1.5677859441658053E-2</v>
      </c>
      <c r="U70" s="186">
        <v>1</v>
      </c>
      <c r="V70" s="187">
        <f>'Gov. Net Revenue  MEV Modelling'!AE39</f>
        <v>-5.3095491788220602E-2</v>
      </c>
      <c r="W70" s="187">
        <f>'Gov. Net Revenue  MEV Modelling'!AF39</f>
        <v>-3.7417632346562549E-2</v>
      </c>
      <c r="X70" s="187">
        <f>'Gov. Net Revenue  MEV Modelling'!AG39</f>
        <v>-6.8773351229878654E-2</v>
      </c>
      <c r="Y70" s="187">
        <f t="shared" si="1"/>
        <v>-5.6231063676552215E-2</v>
      </c>
    </row>
    <row r="71" spans="2:25" x14ac:dyDescent="0.2">
      <c r="B71" s="181" t="s">
        <v>530</v>
      </c>
      <c r="C71" s="178">
        <f>AVERAGEIF('Input Sheet'!E60:$E$1000,'Lookup Table'!B71,'Input Sheet'!G60:$G$1000)/100</f>
        <v>2.6249999999999999E-2</v>
      </c>
      <c r="J71" s="176" t="s">
        <v>601</v>
      </c>
      <c r="K71" s="176" t="s">
        <v>60</v>
      </c>
      <c r="M71" s="176" t="s">
        <v>598</v>
      </c>
      <c r="N71" s="176" t="s">
        <v>8</v>
      </c>
      <c r="P71" s="186" t="s">
        <v>493</v>
      </c>
      <c r="Q71" s="186" t="s">
        <v>749</v>
      </c>
      <c r="R71" s="186" t="s">
        <v>750</v>
      </c>
      <c r="S71" s="186">
        <v>25.412785714285718</v>
      </c>
      <c r="T71" s="187">
        <v>0.12122899571247962</v>
      </c>
      <c r="U71" s="186">
        <v>1</v>
      </c>
      <c r="V71" s="187">
        <f>'Gov. Net Revenue  MEV Modelling'!AE40</f>
        <v>0.11426850188834436</v>
      </c>
      <c r="W71" s="187">
        <f>'Gov. Net Revenue  MEV Modelling'!AF40</f>
        <v>0.235497497600824</v>
      </c>
      <c r="X71" s="187">
        <f>'Gov. Net Revenue  MEV Modelling'!AG40</f>
        <v>-6.9604938241352582E-3</v>
      </c>
      <c r="Y71" s="187">
        <f t="shared" si="1"/>
        <v>9.0022702745848435E-2</v>
      </c>
    </row>
    <row r="72" spans="2:25" x14ac:dyDescent="0.2">
      <c r="B72" s="181" t="s">
        <v>531</v>
      </c>
      <c r="C72" s="178">
        <f>AVERAGEIF('Input Sheet'!E61:$E$1000,'Lookup Table'!B72,'Input Sheet'!G61:$G$1000)/100</f>
        <v>4.4999999999999998E-2</v>
      </c>
      <c r="J72" s="176" t="s">
        <v>602</v>
      </c>
      <c r="K72" s="176" t="s">
        <v>62</v>
      </c>
      <c r="M72" s="176" t="s">
        <v>600</v>
      </c>
      <c r="N72" s="176" t="s">
        <v>33</v>
      </c>
      <c r="P72" s="186" t="s">
        <v>510</v>
      </c>
      <c r="Q72" s="186" t="s">
        <v>749</v>
      </c>
      <c r="R72" s="186" t="s">
        <v>750</v>
      </c>
      <c r="S72" s="186">
        <v>20.31492857142857</v>
      </c>
      <c r="T72" s="187">
        <v>7.7458057907247371E-2</v>
      </c>
      <c r="U72" s="186">
        <v>1</v>
      </c>
      <c r="V72" s="187">
        <f>'Gov. Net Revenue  MEV Modelling'!AE41</f>
        <v>6.7031399615811518E-2</v>
      </c>
      <c r="W72" s="187">
        <f>'Gov. Net Revenue  MEV Modelling'!AF41</f>
        <v>0.14448945752305889</v>
      </c>
      <c r="X72" s="187">
        <f>'Gov. Net Revenue  MEV Modelling'!AG41</f>
        <v>-1.0426658291435853E-2</v>
      </c>
      <c r="Y72" s="187">
        <f t="shared" si="1"/>
        <v>5.1539788034362044E-2</v>
      </c>
    </row>
    <row r="73" spans="2:25" x14ac:dyDescent="0.2">
      <c r="B73" s="181" t="s">
        <v>532</v>
      </c>
      <c r="C73" s="178">
        <f>AVERAGEIF('Input Sheet'!E62:$E$1000,'Lookup Table'!B73,'Input Sheet'!G62:$G$1000)/100</f>
        <v>0.03</v>
      </c>
      <c r="J73" s="176" t="s">
        <v>231</v>
      </c>
      <c r="K73" s="176" t="s">
        <v>12</v>
      </c>
      <c r="M73" s="176" t="s">
        <v>601</v>
      </c>
      <c r="N73" s="176" t="s">
        <v>10</v>
      </c>
      <c r="P73" s="186" t="s">
        <v>518</v>
      </c>
      <c r="Q73" s="186" t="s">
        <v>749</v>
      </c>
      <c r="R73" s="186" t="s">
        <v>750</v>
      </c>
      <c r="S73" s="186">
        <v>30.026499999999999</v>
      </c>
      <c r="T73" s="187">
        <v>0.12691601157143131</v>
      </c>
      <c r="U73" s="186">
        <v>1</v>
      </c>
      <c r="V73" s="187">
        <f>'Gov. Net Revenue  MEV Modelling'!AE42</f>
        <v>-0.15072241742016773</v>
      </c>
      <c r="W73" s="187">
        <f>'Gov. Net Revenue  MEV Modelling'!AF42</f>
        <v>-2.3806405848736417E-2</v>
      </c>
      <c r="X73" s="187">
        <f>'Gov. Net Revenue  MEV Modelling'!AG42</f>
        <v>-0.27763842899159907</v>
      </c>
      <c r="Y73" s="187">
        <f t="shared" si="1"/>
        <v>-0.17610561973445399</v>
      </c>
    </row>
    <row r="74" spans="2:25" x14ac:dyDescent="0.2">
      <c r="B74" s="181" t="s">
        <v>533</v>
      </c>
      <c r="C74" s="178">
        <f>AVERAGEIF('Input Sheet'!E63:$E$1000,'Lookup Table'!B74,'Input Sheet'!G63:$G$1000)/100</f>
        <v>2.5000000000000001E-2</v>
      </c>
      <c r="J74" s="176" t="s">
        <v>603</v>
      </c>
      <c r="K74" s="176" t="s">
        <v>62</v>
      </c>
      <c r="M74" s="176" t="s">
        <v>602</v>
      </c>
      <c r="N74" s="176" t="s">
        <v>63</v>
      </c>
      <c r="P74" s="186" t="s">
        <v>522</v>
      </c>
      <c r="Q74" s="186" t="s">
        <v>749</v>
      </c>
      <c r="R74" s="186" t="s">
        <v>750</v>
      </c>
      <c r="S74" s="186">
        <v>42.725714285714282</v>
      </c>
      <c r="T74" s="187">
        <v>9.4434614813437234E-2</v>
      </c>
      <c r="U74" s="186">
        <v>1</v>
      </c>
      <c r="V74" s="187">
        <f>'Gov. Net Revenue  MEV Modelling'!AE43</f>
        <v>-4.2087401364183541E-2</v>
      </c>
      <c r="W74" s="187">
        <f>'Gov. Net Revenue  MEV Modelling'!AF43</f>
        <v>5.2347213449253693E-2</v>
      </c>
      <c r="X74" s="187">
        <f>'Gov. Net Revenue  MEV Modelling'!AG43</f>
        <v>-0.13652201617762078</v>
      </c>
      <c r="Y74" s="187">
        <f t="shared" si="1"/>
        <v>-6.0974324326870985E-2</v>
      </c>
    </row>
    <row r="75" spans="2:25" x14ac:dyDescent="0.2">
      <c r="B75" s="181" t="s">
        <v>534</v>
      </c>
      <c r="C75" s="178">
        <f>AVERAGEIF('Input Sheet'!E64:$E$1000,'Lookup Table'!B75,'Input Sheet'!G64:$G$1000)/100</f>
        <v>0.02</v>
      </c>
      <c r="J75" s="176" t="s">
        <v>604</v>
      </c>
      <c r="K75" s="176" t="s">
        <v>8</v>
      </c>
      <c r="M75" s="176" t="s">
        <v>231</v>
      </c>
      <c r="N75" s="176" t="s">
        <v>12</v>
      </c>
      <c r="P75" s="186" t="s">
        <v>480</v>
      </c>
      <c r="Q75" s="186" t="s">
        <v>749</v>
      </c>
      <c r="R75" s="186" t="s">
        <v>750</v>
      </c>
      <c r="S75" s="186">
        <v>27.343928571428567</v>
      </c>
      <c r="T75" s="187">
        <v>5.4237831797506533E-2</v>
      </c>
      <c r="U75" s="186">
        <v>1</v>
      </c>
      <c r="V75" s="187">
        <f>'Gov. Net Revenue  MEV Modelling'!AE44</f>
        <v>-3.3173552063877412E-2</v>
      </c>
      <c r="W75" s="187">
        <f>'Gov. Net Revenue  MEV Modelling'!AF44</f>
        <v>2.1064279733629121E-2</v>
      </c>
      <c r="X75" s="187">
        <f>'Gov. Net Revenue  MEV Modelling'!AG44</f>
        <v>-8.7411383861383946E-2</v>
      </c>
      <c r="Y75" s="187">
        <f t="shared" si="1"/>
        <v>-4.4021118423378719E-2</v>
      </c>
    </row>
    <row r="76" spans="2:25" x14ac:dyDescent="0.2">
      <c r="B76" s="181" t="s">
        <v>535</v>
      </c>
      <c r="C76" s="178">
        <f>AVERAGEIF('Input Sheet'!E65:$E$1000,'Lookup Table'!B76,'Input Sheet'!G65:$G$1000)/100</f>
        <v>0.02</v>
      </c>
      <c r="J76" s="176" t="s">
        <v>605</v>
      </c>
      <c r="K76" s="176" t="s">
        <v>12</v>
      </c>
      <c r="M76" s="176" t="s">
        <v>603</v>
      </c>
      <c r="N76" s="176" t="s">
        <v>60</v>
      </c>
      <c r="P76" s="186" t="s">
        <v>506</v>
      </c>
      <c r="Q76" s="186" t="s">
        <v>749</v>
      </c>
      <c r="R76" s="186" t="s">
        <v>750</v>
      </c>
      <c r="S76" s="186">
        <v>23.895928571428573</v>
      </c>
      <c r="T76" s="187">
        <v>0.42970309285702524</v>
      </c>
      <c r="U76" s="186">
        <v>1</v>
      </c>
      <c r="V76" s="187">
        <f>'Gov. Net Revenue  MEV Modelling'!AE45</f>
        <v>3.5845915173834127E-2</v>
      </c>
      <c r="W76" s="187">
        <f>'Gov. Net Revenue  MEV Modelling'!AF45</f>
        <v>0.46554900803085936</v>
      </c>
      <c r="X76" s="187">
        <f>'Gov. Net Revenue  MEV Modelling'!AG45</f>
        <v>-0.39385717768319112</v>
      </c>
      <c r="Y76" s="187">
        <f t="shared" si="1"/>
        <v>-5.0094703397570911E-2</v>
      </c>
    </row>
    <row r="77" spans="2:25" x14ac:dyDescent="0.2">
      <c r="B77" s="181" t="s">
        <v>536</v>
      </c>
      <c r="C77" s="178">
        <f>AVERAGEIF('Input Sheet'!E66:$E$1000,'Lookup Table'!B77,'Input Sheet'!G66:$G$1000)/100</f>
        <v>0.02</v>
      </c>
      <c r="J77" s="176" t="s">
        <v>527</v>
      </c>
      <c r="K77" s="176" t="s">
        <v>10</v>
      </c>
      <c r="M77" s="176" t="s">
        <v>604</v>
      </c>
      <c r="N77" s="176" t="s">
        <v>8</v>
      </c>
      <c r="P77" s="186" t="s">
        <v>24</v>
      </c>
      <c r="Q77" s="186" t="s">
        <v>749</v>
      </c>
      <c r="R77" s="186" t="s">
        <v>750</v>
      </c>
      <c r="S77" s="186">
        <v>42.34178571428572</v>
      </c>
      <c r="T77" s="187">
        <v>0.16148498600017921</v>
      </c>
      <c r="U77" s="186">
        <v>1</v>
      </c>
      <c r="V77" s="187">
        <f>'Gov. Net Revenue  MEV Modelling'!AE46</f>
        <v>-0.1872174003503238</v>
      </c>
      <c r="W77" s="187">
        <f>'Gov. Net Revenue  MEV Modelling'!AF46</f>
        <v>-2.5732414350144589E-2</v>
      </c>
      <c r="X77" s="187">
        <f>'Gov. Net Revenue  MEV Modelling'!AG46</f>
        <v>-0.34870238635050299</v>
      </c>
      <c r="Y77" s="187">
        <f t="shared" si="1"/>
        <v>-0.21951439755035962</v>
      </c>
    </row>
    <row r="78" spans="2:25" x14ac:dyDescent="0.2">
      <c r="B78" s="181" t="s">
        <v>537</v>
      </c>
      <c r="C78" s="178">
        <f>AVERAGEIF('Input Sheet'!E67:$E$1000,'Lookup Table'!B78,'Input Sheet'!G67:$G$1000)/100</f>
        <v>0.02</v>
      </c>
      <c r="J78" s="176" t="s">
        <v>606</v>
      </c>
      <c r="K78" s="176" t="s">
        <v>60</v>
      </c>
      <c r="M78" s="176" t="s">
        <v>606</v>
      </c>
      <c r="N78" s="176" t="s">
        <v>10</v>
      </c>
      <c r="P78" s="186" t="s">
        <v>509</v>
      </c>
      <c r="Q78" s="186" t="s">
        <v>749</v>
      </c>
      <c r="R78" s="186" t="s">
        <v>750</v>
      </c>
      <c r="S78" s="186">
        <v>14.233714285714285</v>
      </c>
      <c r="T78" s="187">
        <v>6.470468590122691E-2</v>
      </c>
      <c r="U78" s="186">
        <v>1</v>
      </c>
      <c r="V78" s="187">
        <f>'Gov. Net Revenue  MEV Modelling'!AE47</f>
        <v>3.2255744242375581E-2</v>
      </c>
      <c r="W78" s="187">
        <f>'Gov. Net Revenue  MEV Modelling'!AF47</f>
        <v>9.6960430143602491E-2</v>
      </c>
      <c r="X78" s="187">
        <f>'Gov. Net Revenue  MEV Modelling'!AG47</f>
        <v>-3.244894165885133E-2</v>
      </c>
      <c r="Y78" s="187">
        <f t="shared" si="1"/>
        <v>1.93148070621302E-2</v>
      </c>
    </row>
    <row r="79" spans="2:25" x14ac:dyDescent="0.2">
      <c r="B79" s="181" t="s">
        <v>538</v>
      </c>
      <c r="C79" s="178" t="e">
        <f>AVERAGEIF('Input Sheet'!E68:$E$1000,'Lookup Table'!B79,'Input Sheet'!G68:$G$1000)/100</f>
        <v>#DIV/0!</v>
      </c>
      <c r="J79" s="176" t="s">
        <v>607</v>
      </c>
      <c r="K79" s="176" t="s">
        <v>39</v>
      </c>
      <c r="M79" s="176" t="s">
        <v>607</v>
      </c>
      <c r="N79" s="176" t="s">
        <v>33</v>
      </c>
      <c r="P79" s="186" t="s">
        <v>507</v>
      </c>
      <c r="Q79" s="186" t="s">
        <v>749</v>
      </c>
      <c r="R79" s="186" t="s">
        <v>750</v>
      </c>
      <c r="S79" s="186">
        <v>23.881857142857143</v>
      </c>
      <c r="T79" s="187">
        <v>4.5252125099695555E-2</v>
      </c>
      <c r="U79" s="186">
        <v>1</v>
      </c>
      <c r="V79" s="187">
        <f>'Gov. Net Revenue  MEV Modelling'!AE48</f>
        <v>-1.2213894189452526E-2</v>
      </c>
      <c r="W79" s="187">
        <f>'Gov. Net Revenue  MEV Modelling'!AF48</f>
        <v>3.3038230910243029E-2</v>
      </c>
      <c r="X79" s="187">
        <f>'Gov. Net Revenue  MEV Modelling'!AG48</f>
        <v>-5.7466019289148081E-2</v>
      </c>
      <c r="Y79" s="187">
        <f t="shared" si="1"/>
        <v>-2.1264319209391636E-2</v>
      </c>
    </row>
    <row r="80" spans="2:25" x14ac:dyDescent="0.2">
      <c r="B80" s="181" t="s">
        <v>697</v>
      </c>
      <c r="C80" s="178" t="e">
        <f>AVERAGEIF('Input Sheet'!E69:$E$1000,'Lookup Table'!B80,'Input Sheet'!G69:$G$1000)/100</f>
        <v>#DIV/0!</v>
      </c>
      <c r="J80" s="176" t="s">
        <v>608</v>
      </c>
      <c r="K80" s="176" t="s">
        <v>42</v>
      </c>
      <c r="M80" s="176" t="s">
        <v>608</v>
      </c>
      <c r="N80" s="176" t="s">
        <v>39</v>
      </c>
      <c r="P80" s="186" t="s">
        <v>495</v>
      </c>
      <c r="Q80" s="186" t="s">
        <v>749</v>
      </c>
      <c r="R80" s="186" t="s">
        <v>750</v>
      </c>
      <c r="S80" s="186">
        <v>18.479571428571429</v>
      </c>
      <c r="T80" s="187">
        <v>5.2021867900982406E-2</v>
      </c>
      <c r="U80" s="186">
        <v>1</v>
      </c>
      <c r="V80" s="187">
        <f>'Gov. Net Revenue  MEV Modelling'!AE49</f>
        <v>7.4050882441614993E-2</v>
      </c>
      <c r="W80" s="187">
        <f>'Gov. Net Revenue  MEV Modelling'!AF49</f>
        <v>0.12607275034259741</v>
      </c>
      <c r="X80" s="187">
        <f>'Gov. Net Revenue  MEV Modelling'!AG49</f>
        <v>2.2029014540632587E-2</v>
      </c>
      <c r="Y80" s="187">
        <f t="shared" si="1"/>
        <v>6.364650886141851E-2</v>
      </c>
    </row>
    <row r="81" spans="2:25" x14ac:dyDescent="0.2">
      <c r="B81" s="181" t="s">
        <v>539</v>
      </c>
      <c r="C81" s="178" t="e">
        <f>AVERAGEIF('Input Sheet'!E70:$E$1000,'Lookup Table'!B81,'Input Sheet'!G70:$G$1000)/100</f>
        <v>#DIV/0!</v>
      </c>
      <c r="J81" s="176" t="s">
        <v>609</v>
      </c>
      <c r="K81" s="176" t="s">
        <v>63</v>
      </c>
      <c r="M81" s="176" t="s">
        <v>609</v>
      </c>
      <c r="N81" s="176"/>
      <c r="P81" s="186" t="s">
        <v>530</v>
      </c>
      <c r="Q81" s="186" t="s">
        <v>749</v>
      </c>
      <c r="R81" s="186" t="s">
        <v>750</v>
      </c>
      <c r="S81" s="186">
        <v>39.939142857142862</v>
      </c>
      <c r="T81" s="187">
        <v>3.4631827680567495E-2</v>
      </c>
      <c r="U81" s="186">
        <v>1</v>
      </c>
      <c r="V81" s="187">
        <f>'Gov. Net Revenue  MEV Modelling'!AE50</f>
        <v>-1.2514277674843588E-2</v>
      </c>
      <c r="W81" s="187">
        <f>'Gov. Net Revenue  MEV Modelling'!AF50</f>
        <v>2.2117550005723907E-2</v>
      </c>
      <c r="X81" s="187">
        <f>'Gov. Net Revenue  MEV Modelling'!AG50</f>
        <v>-4.7146105355411083E-2</v>
      </c>
      <c r="Y81" s="187">
        <f t="shared" si="1"/>
        <v>-1.9440643210957086E-2</v>
      </c>
    </row>
    <row r="82" spans="2:25" x14ac:dyDescent="0.2">
      <c r="B82" s="181" t="s">
        <v>540</v>
      </c>
      <c r="C82" s="178" t="e">
        <f>AVERAGEIF('Input Sheet'!E71:$E$1000,'Lookup Table'!B82,'Input Sheet'!G71:$G$1000)/100</f>
        <v>#DIV/0!</v>
      </c>
      <c r="J82" s="176" t="s">
        <v>610</v>
      </c>
      <c r="K82" s="176" t="s">
        <v>58</v>
      </c>
      <c r="M82" s="176" t="s">
        <v>610</v>
      </c>
      <c r="N82" s="176" t="s">
        <v>60</v>
      </c>
      <c r="P82" s="186" t="s">
        <v>502</v>
      </c>
      <c r="Q82" s="186" t="s">
        <v>749</v>
      </c>
      <c r="R82" s="186" t="s">
        <v>750</v>
      </c>
      <c r="S82" s="186">
        <v>37.317928571428567</v>
      </c>
      <c r="T82" s="187">
        <v>6.8956588645406186E-2</v>
      </c>
      <c r="U82" s="186">
        <v>1</v>
      </c>
      <c r="V82" s="187">
        <f>'Gov. Net Revenue  MEV Modelling'!AE51</f>
        <v>-1.7429385722297176E-2</v>
      </c>
      <c r="W82" s="187">
        <f>'Gov. Net Revenue  MEV Modelling'!AF51</f>
        <v>5.1527202923109014E-2</v>
      </c>
      <c r="X82" s="187">
        <f>'Gov. Net Revenue  MEV Modelling'!AG51</f>
        <v>-8.6385974367703358E-2</v>
      </c>
      <c r="Y82" s="187">
        <f t="shared" si="1"/>
        <v>-3.1220703451378409E-2</v>
      </c>
    </row>
    <row r="83" spans="2:25" x14ac:dyDescent="0.2">
      <c r="B83" s="188"/>
      <c r="J83" s="176" t="s">
        <v>611</v>
      </c>
      <c r="K83" s="176" t="s">
        <v>33</v>
      </c>
      <c r="M83" s="176" t="s">
        <v>611</v>
      </c>
      <c r="N83" s="176" t="s">
        <v>33</v>
      </c>
      <c r="P83" s="186" t="s">
        <v>528</v>
      </c>
      <c r="Q83" s="186" t="s">
        <v>749</v>
      </c>
      <c r="R83" s="186" t="s">
        <v>750</v>
      </c>
      <c r="S83" s="186">
        <v>16.373642857142858</v>
      </c>
      <c r="T83" s="187">
        <v>0.29137833034025939</v>
      </c>
      <c r="U83" s="186">
        <v>1</v>
      </c>
      <c r="V83" s="187">
        <f>'Gov. Net Revenue  MEV Modelling'!AE52</f>
        <v>4.7455768780545859E-2</v>
      </c>
      <c r="W83" s="187">
        <f>'Gov. Net Revenue  MEV Modelling'!AF52</f>
        <v>0.33883409912080525</v>
      </c>
      <c r="X83" s="187">
        <f>'Gov. Net Revenue  MEV Modelling'!AG52</f>
        <v>-0.24392256155971354</v>
      </c>
      <c r="Y83" s="187">
        <f t="shared" si="1"/>
        <v>-1.0819897287506014E-2</v>
      </c>
    </row>
    <row r="84" spans="2:25" x14ac:dyDescent="0.2">
      <c r="B84" s="188"/>
      <c r="J84" s="176" t="s">
        <v>612</v>
      </c>
      <c r="K84" s="176" t="s">
        <v>62</v>
      </c>
      <c r="M84" s="176" t="s">
        <v>612</v>
      </c>
      <c r="N84" s="176"/>
      <c r="P84" s="186" t="s">
        <v>538</v>
      </c>
      <c r="Q84" s="186" t="s">
        <v>749</v>
      </c>
      <c r="R84" s="186" t="s">
        <v>750</v>
      </c>
      <c r="S84" s="186">
        <v>2.6435</v>
      </c>
      <c r="T84" s="187">
        <v>0.27476793352037843</v>
      </c>
      <c r="U84" s="186">
        <v>1</v>
      </c>
      <c r="V84" s="187">
        <f>'Gov. Net Revenue  MEV Modelling'!AE53</f>
        <v>0.77586533005485181</v>
      </c>
      <c r="W84" s="187">
        <f>'Gov. Net Revenue  MEV Modelling'!AF53</f>
        <v>1.0506332635752302</v>
      </c>
      <c r="X84" s="187">
        <f>'Gov. Net Revenue  MEV Modelling'!AG53</f>
        <v>0.50109739653447338</v>
      </c>
      <c r="Y84" s="187">
        <f t="shared" si="1"/>
        <v>0.72091174335077612</v>
      </c>
    </row>
    <row r="85" spans="2:25" x14ac:dyDescent="0.2">
      <c r="B85" s="188"/>
      <c r="J85" s="176" t="s">
        <v>613</v>
      </c>
      <c r="K85" s="176" t="s">
        <v>10</v>
      </c>
      <c r="M85" s="176" t="s">
        <v>613</v>
      </c>
      <c r="N85" s="176" t="s">
        <v>65</v>
      </c>
      <c r="P85" s="186" t="s">
        <v>487</v>
      </c>
      <c r="Q85" s="186" t="s">
        <v>749</v>
      </c>
      <c r="R85" s="186" t="s">
        <v>750</v>
      </c>
      <c r="S85" s="186">
        <v>13.456142857142856</v>
      </c>
      <c r="T85" s="187">
        <v>7.2779665959158871E-2</v>
      </c>
      <c r="U85" s="186">
        <v>1</v>
      </c>
      <c r="V85" s="187">
        <f>'Gov. Net Revenue  MEV Modelling'!AE54</f>
        <v>0.18598869696615819</v>
      </c>
      <c r="W85" s="187">
        <f>'Gov. Net Revenue  MEV Modelling'!AF54</f>
        <v>0.25876836292531707</v>
      </c>
      <c r="X85" s="187">
        <f>'Gov. Net Revenue  MEV Modelling'!AG54</f>
        <v>0.11320903100699932</v>
      </c>
      <c r="Y85" s="187">
        <f t="shared" si="1"/>
        <v>0.1714327637743264</v>
      </c>
    </row>
    <row r="86" spans="2:25" x14ac:dyDescent="0.2">
      <c r="B86" s="188"/>
      <c r="J86" s="176" t="s">
        <v>614</v>
      </c>
      <c r="K86" s="176" t="s">
        <v>54</v>
      </c>
      <c r="M86" s="176" t="s">
        <v>690</v>
      </c>
      <c r="N86" s="176"/>
      <c r="P86" s="186" t="s">
        <v>484</v>
      </c>
      <c r="Q86" s="186" t="s">
        <v>749</v>
      </c>
      <c r="R86" s="186" t="s">
        <v>750</v>
      </c>
      <c r="S86" s="186">
        <v>12.694642857142856</v>
      </c>
      <c r="T86" s="187">
        <v>0.37193467600064106</v>
      </c>
      <c r="U86" s="186">
        <v>1</v>
      </c>
      <c r="V86" s="187">
        <f>'Gov. Net Revenue  MEV Modelling'!AE55</f>
        <v>-0.56439630515309236</v>
      </c>
      <c r="W86" s="187">
        <f>'Gov. Net Revenue  MEV Modelling'!AF55</f>
        <v>-0.1924616291524513</v>
      </c>
      <c r="X86" s="187">
        <f>'Gov. Net Revenue  MEV Modelling'!AG55</f>
        <v>-0.93633098115373348</v>
      </c>
      <c r="Y86" s="187">
        <f t="shared" si="1"/>
        <v>-0.63878324035322054</v>
      </c>
    </row>
    <row r="87" spans="2:25" x14ac:dyDescent="0.2">
      <c r="B87" s="188"/>
      <c r="J87" s="176" t="s">
        <v>615</v>
      </c>
      <c r="K87" s="176" t="s">
        <v>10</v>
      </c>
      <c r="M87" s="176" t="s">
        <v>614</v>
      </c>
      <c r="N87" s="176" t="s">
        <v>54</v>
      </c>
      <c r="P87" s="186" t="s">
        <v>523</v>
      </c>
      <c r="Q87" s="186" t="s">
        <v>749</v>
      </c>
      <c r="R87" s="186" t="s">
        <v>750</v>
      </c>
      <c r="S87" s="186">
        <v>25.478142857142853</v>
      </c>
      <c r="T87" s="187">
        <v>0.12097522732938831</v>
      </c>
      <c r="U87" s="186">
        <v>1</v>
      </c>
      <c r="V87" s="187">
        <f>'Gov. Net Revenue  MEV Modelling'!AE56</f>
        <v>9.4068491947346206E-2</v>
      </c>
      <c r="W87" s="187">
        <f>'Gov. Net Revenue  MEV Modelling'!AF56</f>
        <v>0.21504371927673452</v>
      </c>
      <c r="X87" s="187">
        <f>'Gov. Net Revenue  MEV Modelling'!AG56</f>
        <v>-2.6906735382042107E-2</v>
      </c>
      <c r="Y87" s="187">
        <f t="shared" si="1"/>
        <v>6.9873446481468537E-2</v>
      </c>
    </row>
    <row r="88" spans="2:25" x14ac:dyDescent="0.2">
      <c r="B88" s="188"/>
      <c r="J88" s="176" t="s">
        <v>616</v>
      </c>
      <c r="K88" s="176" t="s">
        <v>42</v>
      </c>
      <c r="M88" s="176" t="s">
        <v>691</v>
      </c>
      <c r="N88" s="176"/>
      <c r="P88" s="186" t="s">
        <v>533</v>
      </c>
      <c r="Q88" s="186" t="s">
        <v>749</v>
      </c>
      <c r="R88" s="186" t="s">
        <v>750</v>
      </c>
      <c r="S88" s="186">
        <v>19.381571428571426</v>
      </c>
      <c r="T88" s="187">
        <v>0.13153111467664069</v>
      </c>
      <c r="U88" s="186">
        <v>1</v>
      </c>
      <c r="V88" s="187">
        <f>'Gov. Net Revenue  MEV Modelling'!AE57</f>
        <v>0.25599550874296406</v>
      </c>
      <c r="W88" s="187">
        <f>'Gov. Net Revenue  MEV Modelling'!AF57</f>
        <v>0.38752662341960475</v>
      </c>
      <c r="X88" s="187">
        <f>'Gov. Net Revenue  MEV Modelling'!AG57</f>
        <v>0.12446439406632337</v>
      </c>
      <c r="Y88" s="187">
        <f t="shared" si="1"/>
        <v>0.22968928580763592</v>
      </c>
    </row>
    <row r="89" spans="2:25" x14ac:dyDescent="0.2">
      <c r="B89" s="188"/>
      <c r="J89" s="176" t="s">
        <v>617</v>
      </c>
      <c r="K89" s="176" t="s">
        <v>7</v>
      </c>
      <c r="M89" s="176" t="s">
        <v>615</v>
      </c>
      <c r="N89" s="176" t="s">
        <v>12</v>
      </c>
      <c r="P89" s="186" t="s">
        <v>479</v>
      </c>
      <c r="Q89" s="186" t="s">
        <v>749</v>
      </c>
      <c r="R89" s="186" t="s">
        <v>750</v>
      </c>
      <c r="S89" s="186">
        <v>23.958428571428566</v>
      </c>
      <c r="T89" s="187">
        <v>6.48589314460285E-2</v>
      </c>
      <c r="U89" s="186">
        <v>1</v>
      </c>
      <c r="V89" s="187">
        <f>'Gov. Net Revenue  MEV Modelling'!AE58</f>
        <v>0.18288921087518706</v>
      </c>
      <c r="W89" s="187">
        <f>'Gov. Net Revenue  MEV Modelling'!AF58</f>
        <v>0.24774814232121556</v>
      </c>
      <c r="X89" s="187">
        <f>'Gov. Net Revenue  MEV Modelling'!AG58</f>
        <v>0.11803027942915856</v>
      </c>
      <c r="Y89" s="187">
        <f t="shared" si="1"/>
        <v>0.16991742458598136</v>
      </c>
    </row>
    <row r="90" spans="2:25" x14ac:dyDescent="0.2">
      <c r="B90" s="188"/>
      <c r="J90" s="176" t="s">
        <v>618</v>
      </c>
      <c r="K90" s="176" t="s">
        <v>46</v>
      </c>
      <c r="M90" s="176" t="s">
        <v>616</v>
      </c>
      <c r="N90" s="176" t="s">
        <v>39</v>
      </c>
      <c r="P90" s="186" t="s">
        <v>504</v>
      </c>
      <c r="Q90" s="186" t="s">
        <v>749</v>
      </c>
      <c r="R90" s="186" t="s">
        <v>750</v>
      </c>
      <c r="S90" s="186">
        <v>32.29935714285714</v>
      </c>
      <c r="T90" s="187">
        <v>2.0445716648479967E-2</v>
      </c>
      <c r="U90" s="186">
        <v>1</v>
      </c>
      <c r="V90" s="187">
        <f>'Gov. Net Revenue  MEV Modelling'!AE59</f>
        <v>-4.7493942456469346E-2</v>
      </c>
      <c r="W90" s="187">
        <f>'Gov. Net Revenue  MEV Modelling'!AF59</f>
        <v>-2.7048225807989379E-2</v>
      </c>
      <c r="X90" s="187">
        <f>'Gov. Net Revenue  MEV Modelling'!AG59</f>
        <v>-6.7939659104949313E-2</v>
      </c>
      <c r="Y90" s="187">
        <f t="shared" si="1"/>
        <v>-5.1583085786165342E-2</v>
      </c>
    </row>
    <row r="91" spans="2:25" x14ac:dyDescent="0.2">
      <c r="B91" s="188"/>
      <c r="J91" s="176" t="s">
        <v>483</v>
      </c>
      <c r="K91" s="176" t="s">
        <v>5</v>
      </c>
      <c r="M91" s="176" t="s">
        <v>617</v>
      </c>
      <c r="N91" s="176" t="s">
        <v>54</v>
      </c>
      <c r="P91" s="186" t="s">
        <v>516</v>
      </c>
      <c r="Q91" s="186" t="s">
        <v>749</v>
      </c>
      <c r="R91" s="186" t="s">
        <v>750</v>
      </c>
      <c r="S91" s="186">
        <v>17.801428571428573</v>
      </c>
      <c r="T91" s="187">
        <v>0.16008281712083325</v>
      </c>
      <c r="U91" s="186">
        <v>1</v>
      </c>
      <c r="V91" s="187">
        <f>'Gov. Net Revenue  MEV Modelling'!AE60</f>
        <v>-0.22107375010031308</v>
      </c>
      <c r="W91" s="187">
        <f>'Gov. Net Revenue  MEV Modelling'!AF60</f>
        <v>-6.0990932979479828E-2</v>
      </c>
      <c r="X91" s="187">
        <f>'Gov. Net Revenue  MEV Modelling'!AG60</f>
        <v>-0.38115656722114633</v>
      </c>
      <c r="Y91" s="187">
        <f t="shared" si="1"/>
        <v>-0.25309031352447969</v>
      </c>
    </row>
    <row r="92" spans="2:25" x14ac:dyDescent="0.2">
      <c r="B92" s="188"/>
      <c r="J92" s="176" t="s">
        <v>489</v>
      </c>
      <c r="K92" s="176" t="s">
        <v>5</v>
      </c>
      <c r="M92" s="176" t="s">
        <v>618</v>
      </c>
      <c r="N92" s="176" t="s">
        <v>7</v>
      </c>
      <c r="P92" s="186" t="s">
        <v>498</v>
      </c>
      <c r="Q92" s="186" t="s">
        <v>749</v>
      </c>
      <c r="R92" s="186" t="s">
        <v>750</v>
      </c>
      <c r="S92" s="186">
        <v>14.788500000000001</v>
      </c>
      <c r="T92" s="187">
        <v>0.10698358026815936</v>
      </c>
      <c r="U92" s="186">
        <v>1</v>
      </c>
      <c r="V92" s="187">
        <f>'Gov. Net Revenue  MEV Modelling'!AE61</f>
        <v>0.18840089709346236</v>
      </c>
      <c r="W92" s="187">
        <f>'Gov. Net Revenue  MEV Modelling'!AF61</f>
        <v>0.29538447736162171</v>
      </c>
      <c r="X92" s="187">
        <f>'Gov. Net Revenue  MEV Modelling'!AG61</f>
        <v>8.1417316825302996E-2</v>
      </c>
      <c r="Y92" s="187">
        <f t="shared" si="1"/>
        <v>0.16700418103983047</v>
      </c>
    </row>
    <row r="93" spans="2:25" x14ac:dyDescent="0.2">
      <c r="B93" s="188"/>
      <c r="J93" s="176" t="s">
        <v>619</v>
      </c>
      <c r="K93" s="176" t="s">
        <v>63</v>
      </c>
      <c r="M93" s="176" t="s">
        <v>483</v>
      </c>
      <c r="N93" s="176" t="s">
        <v>7</v>
      </c>
      <c r="P93" s="186" t="s">
        <v>529</v>
      </c>
      <c r="Q93" s="186" t="s">
        <v>749</v>
      </c>
      <c r="R93" s="186" t="s">
        <v>750</v>
      </c>
      <c r="S93" s="186">
        <v>33.35735714285714</v>
      </c>
      <c r="T93" s="187">
        <v>0.11841387113976221</v>
      </c>
      <c r="U93" s="186">
        <v>1</v>
      </c>
      <c r="V93" s="187">
        <f>'Gov. Net Revenue  MEV Modelling'!AE62</f>
        <v>-0.14189344964950251</v>
      </c>
      <c r="W93" s="187">
        <f>'Gov. Net Revenue  MEV Modelling'!AF62</f>
        <v>-2.3479578509740306E-2</v>
      </c>
      <c r="X93" s="187">
        <f>'Gov. Net Revenue  MEV Modelling'!AG62</f>
        <v>-0.26030732078926472</v>
      </c>
      <c r="Y93" s="187">
        <f t="shared" si="1"/>
        <v>-0.16557622387745496</v>
      </c>
    </row>
    <row r="94" spans="2:25" x14ac:dyDescent="0.2">
      <c r="B94" s="188"/>
      <c r="J94" s="176" t="s">
        <v>620</v>
      </c>
      <c r="K94" s="176" t="s">
        <v>9</v>
      </c>
      <c r="M94" s="176" t="s">
        <v>489</v>
      </c>
      <c r="N94" s="176" t="s">
        <v>7</v>
      </c>
      <c r="P94" s="186" t="s">
        <v>478</v>
      </c>
      <c r="Q94" s="186" t="s">
        <v>749</v>
      </c>
      <c r="R94" s="186" t="s">
        <v>750</v>
      </c>
      <c r="S94" s="186">
        <v>23.056000000000004</v>
      </c>
      <c r="T94" s="187">
        <v>0.50330919058306334</v>
      </c>
      <c r="U94" s="186">
        <v>1</v>
      </c>
      <c r="V94" s="187">
        <f>'Gov. Net Revenue  MEV Modelling'!AE63</f>
        <v>-0.67695321535970399</v>
      </c>
      <c r="W94" s="187">
        <f>'Gov. Net Revenue  MEV Modelling'!AF63</f>
        <v>-0.17364402477664065</v>
      </c>
      <c r="X94" s="187">
        <f>'Gov. Net Revenue  MEV Modelling'!AG63</f>
        <v>-1.1802624059427673</v>
      </c>
      <c r="Y94" s="187">
        <f t="shared" si="1"/>
        <v>-0.77761505347631665</v>
      </c>
    </row>
    <row r="95" spans="2:25" x14ac:dyDescent="0.2">
      <c r="B95" s="188"/>
      <c r="J95" s="176" t="s">
        <v>621</v>
      </c>
      <c r="K95" s="176" t="s">
        <v>42</v>
      </c>
      <c r="M95" s="176" t="s">
        <v>620</v>
      </c>
      <c r="N95" s="176" t="s">
        <v>54</v>
      </c>
      <c r="P95" s="186" t="s">
        <v>782</v>
      </c>
      <c r="Q95" s="186" t="s">
        <v>749</v>
      </c>
      <c r="R95" s="186" t="s">
        <v>750</v>
      </c>
      <c r="S95" s="186">
        <v>25.351072345823585</v>
      </c>
      <c r="T95" s="187">
        <v>5.7086091868191143E-2</v>
      </c>
      <c r="U95" s="186">
        <v>1</v>
      </c>
      <c r="V95" s="187">
        <f>'Gov. Net Revenue  MEV Modelling'!AE64</f>
        <v>-4.8572705060900355E-2</v>
      </c>
      <c r="W95" s="187">
        <f>'Gov. Net Revenue  MEV Modelling'!AF64</f>
        <v>8.5133868072907876E-3</v>
      </c>
      <c r="X95" s="187">
        <f>'Gov. Net Revenue  MEV Modelling'!AG64</f>
        <v>-0.1056587969290915</v>
      </c>
      <c r="Y95" s="187">
        <f t="shared" si="1"/>
        <v>-5.9989923434538586E-2</v>
      </c>
    </row>
    <row r="96" spans="2:25" x14ac:dyDescent="0.2">
      <c r="B96" s="188"/>
      <c r="J96" s="176" t="s">
        <v>622</v>
      </c>
      <c r="K96" s="176" t="s">
        <v>8</v>
      </c>
      <c r="M96" s="176" t="s">
        <v>621</v>
      </c>
      <c r="N96" s="176" t="s">
        <v>33</v>
      </c>
    </row>
    <row r="97" spans="10:14" x14ac:dyDescent="0.2">
      <c r="J97" s="176" t="s">
        <v>623</v>
      </c>
      <c r="K97" s="176" t="s">
        <v>7</v>
      </c>
      <c r="M97" s="176" t="s">
        <v>622</v>
      </c>
      <c r="N97" s="176" t="s">
        <v>8</v>
      </c>
    </row>
    <row r="98" spans="10:14" x14ac:dyDescent="0.2">
      <c r="J98" s="176" t="s">
        <v>624</v>
      </c>
      <c r="K98" s="176" t="s">
        <v>62</v>
      </c>
      <c r="M98" s="176" t="s">
        <v>623</v>
      </c>
      <c r="N98" s="176" t="s">
        <v>5</v>
      </c>
    </row>
    <row r="99" spans="10:14" x14ac:dyDescent="0.2">
      <c r="J99" s="176" t="s">
        <v>625</v>
      </c>
      <c r="K99" s="176" t="s">
        <v>8</v>
      </c>
      <c r="M99" s="176" t="s">
        <v>624</v>
      </c>
      <c r="N99" s="176" t="s">
        <v>62</v>
      </c>
    </row>
    <row r="100" spans="10:14" x14ac:dyDescent="0.2">
      <c r="J100" s="176" t="s">
        <v>477</v>
      </c>
      <c r="K100" s="176" t="s">
        <v>10</v>
      </c>
      <c r="M100" s="176" t="s">
        <v>625</v>
      </c>
      <c r="N100" s="176" t="s">
        <v>11</v>
      </c>
    </row>
    <row r="101" spans="10:14" x14ac:dyDescent="0.2">
      <c r="J101" s="176" t="s">
        <v>517</v>
      </c>
      <c r="K101" s="176" t="s">
        <v>7</v>
      </c>
      <c r="M101" s="176" t="s">
        <v>477</v>
      </c>
      <c r="N101" s="176" t="s">
        <v>58</v>
      </c>
    </row>
    <row r="102" spans="10:14" x14ac:dyDescent="0.2">
      <c r="J102" s="176" t="s">
        <v>511</v>
      </c>
      <c r="K102" s="176" t="s">
        <v>12</v>
      </c>
      <c r="M102" s="176" t="s">
        <v>517</v>
      </c>
      <c r="N102" s="176" t="s">
        <v>5</v>
      </c>
    </row>
    <row r="103" spans="10:14" x14ac:dyDescent="0.2">
      <c r="J103" s="176" t="s">
        <v>626</v>
      </c>
      <c r="K103" s="176" t="s">
        <v>42</v>
      </c>
      <c r="M103" s="176" t="s">
        <v>511</v>
      </c>
      <c r="N103" s="176" t="s">
        <v>10</v>
      </c>
    </row>
    <row r="104" spans="10:14" x14ac:dyDescent="0.2">
      <c r="J104" s="176" t="s">
        <v>17</v>
      </c>
      <c r="K104" s="176" t="s">
        <v>42</v>
      </c>
      <c r="M104" s="176" t="s">
        <v>626</v>
      </c>
      <c r="N104" s="176" t="s">
        <v>11</v>
      </c>
    </row>
    <row r="105" spans="10:14" x14ac:dyDescent="0.2">
      <c r="J105" s="176" t="s">
        <v>627</v>
      </c>
      <c r="K105" s="176" t="s">
        <v>12</v>
      </c>
      <c r="M105" s="176" t="s">
        <v>17</v>
      </c>
      <c r="N105" s="176" t="s">
        <v>42</v>
      </c>
    </row>
    <row r="106" spans="10:14" x14ac:dyDescent="0.2">
      <c r="J106" s="176" t="s">
        <v>628</v>
      </c>
      <c r="K106" s="176" t="s">
        <v>46</v>
      </c>
      <c r="M106" s="176" t="s">
        <v>628</v>
      </c>
      <c r="N106" s="176" t="s">
        <v>7</v>
      </c>
    </row>
    <row r="107" spans="10:14" x14ac:dyDescent="0.2">
      <c r="J107" s="176" t="s">
        <v>21</v>
      </c>
      <c r="K107" s="176" t="s">
        <v>63</v>
      </c>
      <c r="M107" s="176" t="s">
        <v>21</v>
      </c>
      <c r="N107" s="176" t="s">
        <v>10</v>
      </c>
    </row>
    <row r="108" spans="10:14" x14ac:dyDescent="0.2">
      <c r="J108" s="176" t="s">
        <v>629</v>
      </c>
      <c r="K108" s="176" t="s">
        <v>676</v>
      </c>
      <c r="M108" s="176" t="s">
        <v>540</v>
      </c>
      <c r="N108" s="176"/>
    </row>
    <row r="109" spans="10:14" x14ac:dyDescent="0.2">
      <c r="J109" s="176" t="s">
        <v>630</v>
      </c>
      <c r="K109" s="176" t="s">
        <v>46</v>
      </c>
      <c r="M109" s="176" t="s">
        <v>629</v>
      </c>
      <c r="N109" s="176"/>
    </row>
    <row r="110" spans="10:14" x14ac:dyDescent="0.2">
      <c r="J110" s="176" t="s">
        <v>631</v>
      </c>
      <c r="K110" s="176" t="s">
        <v>33</v>
      </c>
      <c r="M110" s="176" t="s">
        <v>630</v>
      </c>
      <c r="N110" s="176" t="s">
        <v>6</v>
      </c>
    </row>
    <row r="111" spans="10:14" x14ac:dyDescent="0.2">
      <c r="J111" s="176" t="s">
        <v>632</v>
      </c>
      <c r="K111" s="176" t="s">
        <v>11</v>
      </c>
      <c r="M111" s="176" t="s">
        <v>631</v>
      </c>
      <c r="N111" s="176" t="s">
        <v>33</v>
      </c>
    </row>
    <row r="112" spans="10:14" x14ac:dyDescent="0.2">
      <c r="J112" s="176" t="s">
        <v>486</v>
      </c>
      <c r="K112" s="176" t="s">
        <v>46</v>
      </c>
      <c r="M112" s="176" t="s">
        <v>692</v>
      </c>
      <c r="N112" s="176"/>
    </row>
    <row r="113" spans="10:14" x14ac:dyDescent="0.2">
      <c r="J113" s="176" t="s">
        <v>499</v>
      </c>
      <c r="K113" s="176" t="s">
        <v>12</v>
      </c>
      <c r="M113" s="176" t="s">
        <v>632</v>
      </c>
      <c r="N113" s="176" t="s">
        <v>11</v>
      </c>
    </row>
    <row r="114" spans="10:14" x14ac:dyDescent="0.2">
      <c r="J114" s="176" t="s">
        <v>485</v>
      </c>
      <c r="K114" s="176" t="s">
        <v>62</v>
      </c>
      <c r="M114" s="176" t="s">
        <v>486</v>
      </c>
      <c r="N114" s="176" t="s">
        <v>46</v>
      </c>
    </row>
    <row r="115" spans="10:14" x14ac:dyDescent="0.2">
      <c r="J115" s="176" t="s">
        <v>497</v>
      </c>
      <c r="K115" s="176" t="s">
        <v>46</v>
      </c>
      <c r="M115" s="176" t="s">
        <v>485</v>
      </c>
      <c r="N115" s="176"/>
    </row>
    <row r="116" spans="10:14" x14ac:dyDescent="0.2">
      <c r="J116" s="176" t="s">
        <v>510</v>
      </c>
      <c r="K116" s="176" t="s">
        <v>6</v>
      </c>
      <c r="M116" s="176" t="s">
        <v>497</v>
      </c>
      <c r="N116" s="176" t="s">
        <v>46</v>
      </c>
    </row>
    <row r="117" spans="10:14" x14ac:dyDescent="0.2">
      <c r="J117" s="176" t="s">
        <v>633</v>
      </c>
      <c r="K117" s="176" t="s">
        <v>46</v>
      </c>
      <c r="M117" s="176" t="s">
        <v>510</v>
      </c>
      <c r="N117" s="176" t="s">
        <v>6</v>
      </c>
    </row>
    <row r="118" spans="10:14" x14ac:dyDescent="0.2">
      <c r="J118" s="176" t="s">
        <v>634</v>
      </c>
      <c r="K118" s="176" t="s">
        <v>62</v>
      </c>
      <c r="M118" s="176" t="s">
        <v>633</v>
      </c>
      <c r="N118" s="176" t="s">
        <v>6</v>
      </c>
    </row>
    <row r="119" spans="10:14" x14ac:dyDescent="0.2">
      <c r="J119" s="176" t="s">
        <v>518</v>
      </c>
      <c r="K119" s="176" t="s">
        <v>62</v>
      </c>
      <c r="M119" s="176" t="s">
        <v>634</v>
      </c>
      <c r="N119" s="176" t="s">
        <v>62</v>
      </c>
    </row>
    <row r="120" spans="10:14" x14ac:dyDescent="0.2">
      <c r="J120" s="176" t="s">
        <v>522</v>
      </c>
      <c r="K120" s="176" t="s">
        <v>10</v>
      </c>
      <c r="M120" s="176" t="s">
        <v>518</v>
      </c>
      <c r="N120" s="176" t="s">
        <v>10</v>
      </c>
    </row>
    <row r="121" spans="10:14" x14ac:dyDescent="0.2">
      <c r="J121" s="176" t="s">
        <v>480</v>
      </c>
      <c r="K121" s="176" t="s">
        <v>54</v>
      </c>
      <c r="M121" s="176" t="s">
        <v>522</v>
      </c>
      <c r="N121" s="176" t="s">
        <v>60</v>
      </c>
    </row>
    <row r="122" spans="10:14" x14ac:dyDescent="0.2">
      <c r="J122" s="176" t="s">
        <v>635</v>
      </c>
      <c r="K122" s="176" t="s">
        <v>69</v>
      </c>
      <c r="M122" s="176" t="s">
        <v>693</v>
      </c>
      <c r="N122" s="176"/>
    </row>
    <row r="123" spans="10:14" x14ac:dyDescent="0.2">
      <c r="J123" s="176" t="s">
        <v>636</v>
      </c>
      <c r="K123" s="176" t="s">
        <v>54</v>
      </c>
      <c r="M123" s="176" t="s">
        <v>480</v>
      </c>
      <c r="N123" s="176" t="s">
        <v>54</v>
      </c>
    </row>
    <row r="124" spans="10:14" x14ac:dyDescent="0.2">
      <c r="J124" s="176" t="s">
        <v>637</v>
      </c>
      <c r="K124" s="176" t="s">
        <v>33</v>
      </c>
      <c r="M124" s="176" t="s">
        <v>635</v>
      </c>
      <c r="N124" s="176"/>
    </row>
    <row r="125" spans="10:14" x14ac:dyDescent="0.2">
      <c r="J125" s="176" t="s">
        <v>638</v>
      </c>
      <c r="K125" s="176" t="s">
        <v>33</v>
      </c>
      <c r="M125" s="176" t="s">
        <v>636</v>
      </c>
      <c r="N125" s="176" t="s">
        <v>7</v>
      </c>
    </row>
    <row r="126" spans="10:14" x14ac:dyDescent="0.2">
      <c r="J126" s="176" t="s">
        <v>639</v>
      </c>
      <c r="K126" s="176" t="s">
        <v>12</v>
      </c>
      <c r="M126" s="176" t="s">
        <v>637</v>
      </c>
      <c r="N126" s="176" t="s">
        <v>33</v>
      </c>
    </row>
    <row r="127" spans="10:14" x14ac:dyDescent="0.2">
      <c r="J127" s="176" t="s">
        <v>640</v>
      </c>
      <c r="K127" s="176" t="s">
        <v>12</v>
      </c>
      <c r="M127" s="176" t="s">
        <v>638</v>
      </c>
      <c r="N127" s="176" t="s">
        <v>33</v>
      </c>
    </row>
    <row r="128" spans="10:14" x14ac:dyDescent="0.2">
      <c r="J128" s="176" t="s">
        <v>641</v>
      </c>
      <c r="K128" s="176" t="s">
        <v>33</v>
      </c>
      <c r="M128" s="176" t="s">
        <v>639</v>
      </c>
      <c r="N128" s="176" t="s">
        <v>62</v>
      </c>
    </row>
    <row r="129" spans="10:14" x14ac:dyDescent="0.2">
      <c r="J129" s="176" t="s">
        <v>24</v>
      </c>
      <c r="K129" s="176" t="s">
        <v>54</v>
      </c>
      <c r="M129" s="176" t="s">
        <v>640</v>
      </c>
      <c r="N129" s="176" t="s">
        <v>60</v>
      </c>
    </row>
    <row r="130" spans="10:14" x14ac:dyDescent="0.2">
      <c r="J130" s="176" t="s">
        <v>509</v>
      </c>
      <c r="K130" s="176" t="s">
        <v>62</v>
      </c>
      <c r="M130" s="176" t="s">
        <v>641</v>
      </c>
      <c r="N130" s="176" t="s">
        <v>33</v>
      </c>
    </row>
    <row r="131" spans="10:14" x14ac:dyDescent="0.2">
      <c r="J131" s="176" t="s">
        <v>642</v>
      </c>
      <c r="K131" s="176" t="s">
        <v>6</v>
      </c>
      <c r="M131" s="176" t="s">
        <v>24</v>
      </c>
      <c r="N131" s="176" t="s">
        <v>8</v>
      </c>
    </row>
    <row r="132" spans="10:14" x14ac:dyDescent="0.2">
      <c r="J132" s="176" t="s">
        <v>643</v>
      </c>
      <c r="K132" s="176" t="s">
        <v>12</v>
      </c>
      <c r="M132" s="176" t="s">
        <v>509</v>
      </c>
      <c r="N132" s="176" t="s">
        <v>63</v>
      </c>
    </row>
    <row r="133" spans="10:14" x14ac:dyDescent="0.2">
      <c r="J133" s="176" t="s">
        <v>644</v>
      </c>
      <c r="K133" s="176" t="s">
        <v>54</v>
      </c>
      <c r="M133" s="176" t="s">
        <v>642</v>
      </c>
      <c r="N133" s="176" t="s">
        <v>5</v>
      </c>
    </row>
    <row r="134" spans="10:14" x14ac:dyDescent="0.2">
      <c r="J134" s="176" t="s">
        <v>645</v>
      </c>
      <c r="K134" s="176" t="s">
        <v>46</v>
      </c>
      <c r="M134" s="176" t="s">
        <v>643</v>
      </c>
      <c r="N134" s="176" t="s">
        <v>10</v>
      </c>
    </row>
    <row r="135" spans="10:14" x14ac:dyDescent="0.2">
      <c r="J135" s="176" t="s">
        <v>646</v>
      </c>
      <c r="K135" s="176" t="s">
        <v>5</v>
      </c>
      <c r="M135" s="176" t="s">
        <v>644</v>
      </c>
      <c r="N135" s="176" t="s">
        <v>10</v>
      </c>
    </row>
    <row r="136" spans="10:14" x14ac:dyDescent="0.2">
      <c r="J136" s="176" t="s">
        <v>647</v>
      </c>
      <c r="K136" s="176" t="s">
        <v>9</v>
      </c>
      <c r="M136" s="176" t="s">
        <v>645</v>
      </c>
      <c r="N136" s="176" t="s">
        <v>5</v>
      </c>
    </row>
    <row r="137" spans="10:14" x14ac:dyDescent="0.2">
      <c r="J137" s="176" t="s">
        <v>648</v>
      </c>
      <c r="K137" s="176" t="s">
        <v>7</v>
      </c>
      <c r="M137" s="176" t="s">
        <v>646</v>
      </c>
      <c r="N137" s="176" t="s">
        <v>54</v>
      </c>
    </row>
    <row r="138" spans="10:14" x14ac:dyDescent="0.2">
      <c r="J138" s="176" t="s">
        <v>23</v>
      </c>
      <c r="K138" s="176" t="s">
        <v>11</v>
      </c>
      <c r="M138" s="176" t="s">
        <v>647</v>
      </c>
      <c r="N138" s="176" t="s">
        <v>9</v>
      </c>
    </row>
    <row r="139" spans="10:14" x14ac:dyDescent="0.2">
      <c r="J139" s="176" t="s">
        <v>649</v>
      </c>
      <c r="K139" s="176" t="s">
        <v>67</v>
      </c>
      <c r="M139" s="176" t="s">
        <v>648</v>
      </c>
      <c r="N139" s="176" t="s">
        <v>60</v>
      </c>
    </row>
    <row r="140" spans="10:14" x14ac:dyDescent="0.2">
      <c r="J140" s="176" t="s">
        <v>650</v>
      </c>
      <c r="K140" s="176" t="s">
        <v>7</v>
      </c>
      <c r="M140" s="176" t="s">
        <v>23</v>
      </c>
      <c r="N140" s="176" t="s">
        <v>42</v>
      </c>
    </row>
    <row r="141" spans="10:14" x14ac:dyDescent="0.2">
      <c r="J141" s="176" t="s">
        <v>651</v>
      </c>
      <c r="K141" s="176" t="s">
        <v>7</v>
      </c>
      <c r="M141" s="176" t="s">
        <v>650</v>
      </c>
      <c r="N141" s="176" t="s">
        <v>7</v>
      </c>
    </row>
    <row r="142" spans="10:14" x14ac:dyDescent="0.2">
      <c r="J142" s="176" t="s">
        <v>507</v>
      </c>
      <c r="K142" s="176" t="s">
        <v>12</v>
      </c>
      <c r="M142" s="176" t="s">
        <v>651</v>
      </c>
      <c r="N142" s="176" t="s">
        <v>6</v>
      </c>
    </row>
    <row r="143" spans="10:14" x14ac:dyDescent="0.2">
      <c r="J143" s="176" t="s">
        <v>16</v>
      </c>
      <c r="K143" s="176" t="s">
        <v>8</v>
      </c>
      <c r="M143" s="176" t="s">
        <v>507</v>
      </c>
      <c r="N143" s="176"/>
    </row>
    <row r="144" spans="10:14" x14ac:dyDescent="0.2">
      <c r="J144" s="176" t="s">
        <v>495</v>
      </c>
      <c r="K144" s="176" t="s">
        <v>60</v>
      </c>
      <c r="M144" s="176" t="s">
        <v>16</v>
      </c>
      <c r="N144" s="176" t="s">
        <v>11</v>
      </c>
    </row>
    <row r="145" spans="10:14" x14ac:dyDescent="0.2">
      <c r="J145" s="176" t="s">
        <v>530</v>
      </c>
      <c r="K145" s="176" t="s">
        <v>60</v>
      </c>
      <c r="M145" s="176" t="s">
        <v>495</v>
      </c>
      <c r="N145" s="176" t="s">
        <v>10</v>
      </c>
    </row>
    <row r="146" spans="10:14" x14ac:dyDescent="0.2">
      <c r="J146" s="176" t="s">
        <v>652</v>
      </c>
      <c r="K146" s="176" t="s">
        <v>46</v>
      </c>
      <c r="M146" s="176" t="s">
        <v>530</v>
      </c>
      <c r="N146" s="176"/>
    </row>
    <row r="147" spans="10:14" x14ac:dyDescent="0.2">
      <c r="J147" s="176" t="s">
        <v>653</v>
      </c>
      <c r="K147" s="176" t="s">
        <v>33</v>
      </c>
      <c r="M147" s="176" t="s">
        <v>502</v>
      </c>
      <c r="N147" s="176"/>
    </row>
    <row r="148" spans="10:14" x14ac:dyDescent="0.2">
      <c r="J148" s="176" t="s">
        <v>654</v>
      </c>
      <c r="K148" s="176" t="s">
        <v>9</v>
      </c>
      <c r="M148" s="176" t="s">
        <v>653</v>
      </c>
      <c r="N148" s="176" t="s">
        <v>33</v>
      </c>
    </row>
    <row r="149" spans="10:14" x14ac:dyDescent="0.2">
      <c r="J149" s="176" t="s">
        <v>655</v>
      </c>
      <c r="K149" s="176" t="s">
        <v>6</v>
      </c>
      <c r="M149" s="176" t="s">
        <v>654</v>
      </c>
      <c r="N149" s="176" t="s">
        <v>9</v>
      </c>
    </row>
    <row r="150" spans="10:14" x14ac:dyDescent="0.2">
      <c r="J150" s="176" t="s">
        <v>656</v>
      </c>
      <c r="K150" s="176" t="s">
        <v>62</v>
      </c>
      <c r="M150" s="176" t="s">
        <v>655</v>
      </c>
      <c r="N150" s="176" t="s">
        <v>5</v>
      </c>
    </row>
    <row r="151" spans="10:14" x14ac:dyDescent="0.2">
      <c r="J151" s="176" t="s">
        <v>657</v>
      </c>
      <c r="K151" s="176" t="s">
        <v>7</v>
      </c>
      <c r="M151" s="176" t="s">
        <v>657</v>
      </c>
      <c r="N151" s="176" t="s">
        <v>6</v>
      </c>
    </row>
    <row r="152" spans="10:14" x14ac:dyDescent="0.2">
      <c r="J152" s="176" t="s">
        <v>658</v>
      </c>
      <c r="K152" s="176" t="s">
        <v>6</v>
      </c>
      <c r="M152" s="176" t="s">
        <v>658</v>
      </c>
      <c r="N152" s="176" t="s">
        <v>7</v>
      </c>
    </row>
    <row r="153" spans="10:14" x14ac:dyDescent="0.2">
      <c r="J153" s="176" t="s">
        <v>487</v>
      </c>
      <c r="K153" s="176" t="s">
        <v>12</v>
      </c>
      <c r="M153" s="176" t="s">
        <v>487</v>
      </c>
      <c r="N153" s="176" t="s">
        <v>10</v>
      </c>
    </row>
    <row r="154" spans="10:14" x14ac:dyDescent="0.2">
      <c r="J154" s="176" t="s">
        <v>659</v>
      </c>
      <c r="K154" s="176" t="s">
        <v>5</v>
      </c>
      <c r="M154" s="176" t="s">
        <v>694</v>
      </c>
      <c r="N154" s="176" t="s">
        <v>6</v>
      </c>
    </row>
    <row r="155" spans="10:14" x14ac:dyDescent="0.2">
      <c r="J155" s="176" t="s">
        <v>660</v>
      </c>
      <c r="K155" s="176" t="s">
        <v>62</v>
      </c>
      <c r="M155" s="176" t="s">
        <v>660</v>
      </c>
      <c r="N155" s="176" t="s">
        <v>12</v>
      </c>
    </row>
    <row r="156" spans="10:14" x14ac:dyDescent="0.2">
      <c r="J156" s="176" t="s">
        <v>484</v>
      </c>
      <c r="K156" s="176" t="s">
        <v>156</v>
      </c>
      <c r="M156" s="176" t="s">
        <v>484</v>
      </c>
      <c r="N156" s="176" t="s">
        <v>156</v>
      </c>
    </row>
    <row r="157" spans="10:14" x14ac:dyDescent="0.2">
      <c r="J157" s="176" t="s">
        <v>661</v>
      </c>
      <c r="K157" s="176" t="s">
        <v>12</v>
      </c>
      <c r="M157" s="176" t="s">
        <v>661</v>
      </c>
      <c r="N157" s="176" t="s">
        <v>60</v>
      </c>
    </row>
    <row r="158" spans="10:14" x14ac:dyDescent="0.2">
      <c r="J158" s="176" t="s">
        <v>662</v>
      </c>
      <c r="K158" s="176" t="s">
        <v>33</v>
      </c>
      <c r="M158" s="176" t="s">
        <v>662</v>
      </c>
      <c r="N158" s="176" t="s">
        <v>33</v>
      </c>
    </row>
    <row r="159" spans="10:14" x14ac:dyDescent="0.2">
      <c r="J159" s="176" t="s">
        <v>663</v>
      </c>
      <c r="K159" s="176" t="s">
        <v>33</v>
      </c>
      <c r="M159" s="176" t="s">
        <v>663</v>
      </c>
      <c r="N159" s="176" t="s">
        <v>33</v>
      </c>
    </row>
    <row r="160" spans="10:14" x14ac:dyDescent="0.2">
      <c r="J160" s="176" t="s">
        <v>664</v>
      </c>
      <c r="K160" s="176" t="s">
        <v>11</v>
      </c>
      <c r="M160" s="176" t="s">
        <v>664</v>
      </c>
      <c r="N160" s="176" t="s">
        <v>11</v>
      </c>
    </row>
    <row r="161" spans="10:14" x14ac:dyDescent="0.2">
      <c r="J161" s="176" t="s">
        <v>523</v>
      </c>
      <c r="K161" s="176" t="s">
        <v>62</v>
      </c>
      <c r="M161" s="176" t="s">
        <v>666</v>
      </c>
      <c r="N161" s="176" t="s">
        <v>6</v>
      </c>
    </row>
    <row r="162" spans="10:14" x14ac:dyDescent="0.2">
      <c r="J162" s="176" t="s">
        <v>665</v>
      </c>
      <c r="K162" s="176" t="s">
        <v>10</v>
      </c>
      <c r="M162" s="176" t="s">
        <v>667</v>
      </c>
      <c r="N162" s="176" t="s">
        <v>6</v>
      </c>
    </row>
    <row r="163" spans="10:14" x14ac:dyDescent="0.2">
      <c r="J163" s="176" t="s">
        <v>666</v>
      </c>
      <c r="K163" s="176" t="s">
        <v>6</v>
      </c>
      <c r="M163" s="176" t="s">
        <v>479</v>
      </c>
      <c r="N163" s="176" t="s">
        <v>7</v>
      </c>
    </row>
    <row r="164" spans="10:14" x14ac:dyDescent="0.2">
      <c r="J164" s="176" t="s">
        <v>667</v>
      </c>
      <c r="K164" s="176" t="s">
        <v>54</v>
      </c>
      <c r="M164" s="176" t="s">
        <v>504</v>
      </c>
      <c r="N164" s="176" t="s">
        <v>54</v>
      </c>
    </row>
    <row r="165" spans="10:14" x14ac:dyDescent="0.2">
      <c r="J165" s="176" t="s">
        <v>479</v>
      </c>
      <c r="K165" s="176" t="s">
        <v>12</v>
      </c>
      <c r="M165" s="176" t="s">
        <v>498</v>
      </c>
      <c r="N165" s="176"/>
    </row>
    <row r="166" spans="10:14" x14ac:dyDescent="0.2">
      <c r="J166" s="176" t="s">
        <v>504</v>
      </c>
      <c r="K166" s="176" t="s">
        <v>60</v>
      </c>
      <c r="M166" s="176" t="s">
        <v>668</v>
      </c>
      <c r="N166" s="176" t="s">
        <v>62</v>
      </c>
    </row>
    <row r="167" spans="10:14" x14ac:dyDescent="0.2">
      <c r="J167" s="176" t="s">
        <v>498</v>
      </c>
      <c r="K167" s="176" t="s">
        <v>12</v>
      </c>
      <c r="M167" s="176" t="s">
        <v>529</v>
      </c>
      <c r="N167" s="176" t="s">
        <v>33</v>
      </c>
    </row>
    <row r="168" spans="10:14" x14ac:dyDescent="0.2">
      <c r="J168" s="176" t="s">
        <v>668</v>
      </c>
      <c r="K168" s="176" t="s">
        <v>63</v>
      </c>
      <c r="M168" s="176" t="s">
        <v>669</v>
      </c>
      <c r="N168" s="176" t="s">
        <v>33</v>
      </c>
    </row>
    <row r="169" spans="10:14" x14ac:dyDescent="0.2">
      <c r="J169" s="176" t="s">
        <v>529</v>
      </c>
      <c r="K169" s="176" t="s">
        <v>42</v>
      </c>
      <c r="M169" s="176" t="s">
        <v>670</v>
      </c>
      <c r="N169" s="176" t="s">
        <v>33</v>
      </c>
    </row>
    <row r="170" spans="10:14" x14ac:dyDescent="0.2">
      <c r="J170" s="176" t="s">
        <v>669</v>
      </c>
      <c r="K170" s="176" t="s">
        <v>42</v>
      </c>
      <c r="M170" s="176" t="s">
        <v>672</v>
      </c>
      <c r="N170" s="176" t="s">
        <v>7</v>
      </c>
    </row>
    <row r="171" spans="10:14" x14ac:dyDescent="0.2">
      <c r="J171" s="176" t="s">
        <v>670</v>
      </c>
      <c r="K171" s="176" t="s">
        <v>33</v>
      </c>
      <c r="M171" s="176" t="s">
        <v>673</v>
      </c>
      <c r="N171" s="176" t="s">
        <v>12</v>
      </c>
    </row>
    <row r="172" spans="10:14" x14ac:dyDescent="0.2">
      <c r="J172" s="176" t="s">
        <v>671</v>
      </c>
      <c r="K172" s="176" t="s">
        <v>10</v>
      </c>
      <c r="M172" s="176" t="s">
        <v>674</v>
      </c>
      <c r="N172" s="176" t="s">
        <v>12</v>
      </c>
    </row>
    <row r="173" spans="10:14" x14ac:dyDescent="0.2">
      <c r="J173" s="176" t="s">
        <v>672</v>
      </c>
      <c r="K173" s="176" t="s">
        <v>5</v>
      </c>
      <c r="M173" s="176" t="s">
        <v>675</v>
      </c>
      <c r="N173" s="176" t="s">
        <v>10</v>
      </c>
    </row>
    <row r="174" spans="10:14" x14ac:dyDescent="0.2">
      <c r="J174" s="176" t="s">
        <v>673</v>
      </c>
      <c r="K174" s="176" t="s">
        <v>65</v>
      </c>
    </row>
    <row r="175" spans="10:14" x14ac:dyDescent="0.2">
      <c r="J175" s="176" t="s">
        <v>674</v>
      </c>
      <c r="K175" s="176" t="s">
        <v>60</v>
      </c>
    </row>
    <row r="176" spans="10:14" x14ac:dyDescent="0.2">
      <c r="J176" s="176" t="s">
        <v>675</v>
      </c>
      <c r="K176" s="176" t="s">
        <v>63</v>
      </c>
    </row>
  </sheetData>
  <autoFilter ref="J33:K176" xr:uid="{00000000-0001-0000-0B00-000000000000}"/>
  <mergeCells count="3">
    <mergeCell ref="J2:K2"/>
    <mergeCell ref="J32:K32"/>
    <mergeCell ref="M32:N3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BJ64"/>
  <sheetViews>
    <sheetView showGridLines="0" zoomScale="91" zoomScaleNormal="105" workbookViewId="0">
      <selection activeCell="BJ2" sqref="BJ2"/>
    </sheetView>
  </sheetViews>
  <sheetFormatPr defaultColWidth="8.75" defaultRowHeight="11.25" x14ac:dyDescent="0.2"/>
  <cols>
    <col min="1" max="1" width="16.75" style="156" bestFit="1" customWidth="1"/>
    <col min="2" max="2" width="22.75" style="156" bestFit="1" customWidth="1"/>
    <col min="3" max="3" width="11.375" style="156" bestFit="1" customWidth="1"/>
    <col min="4" max="4" width="9" style="156" bestFit="1" customWidth="1"/>
    <col min="5" max="24" width="8.875" style="156" bestFit="1" customWidth="1"/>
    <col min="25" max="25" width="8.75" style="156"/>
    <col min="26" max="26" width="7.625" style="156" bestFit="1" customWidth="1"/>
    <col min="27" max="27" width="12.375" style="156" bestFit="1" customWidth="1"/>
    <col min="28" max="28" width="8.625" style="156" bestFit="1" customWidth="1"/>
    <col min="29" max="29" width="9.625" style="156" customWidth="1"/>
    <col min="30" max="30" width="15" style="156" bestFit="1" customWidth="1"/>
    <col min="31" max="31" width="7.75" style="156" bestFit="1" customWidth="1"/>
    <col min="32" max="32" width="9.5" style="156" bestFit="1" customWidth="1"/>
    <col min="33" max="33" width="10" style="156" bestFit="1" customWidth="1"/>
    <col min="34" max="34" width="17.125" style="156" bestFit="1" customWidth="1"/>
    <col min="35" max="35" width="11.125" style="156" bestFit="1" customWidth="1"/>
    <col min="36" max="36" width="11" style="156" bestFit="1" customWidth="1"/>
    <col min="37" max="37" width="16.75" style="156" bestFit="1" customWidth="1"/>
    <col min="38" max="38" width="22.75" style="156" bestFit="1" customWidth="1"/>
    <col min="39" max="39" width="11.375" style="156" bestFit="1" customWidth="1"/>
    <col min="40" max="40" width="5" style="156" bestFit="1" customWidth="1"/>
    <col min="41" max="42" width="13.5" style="156" bestFit="1" customWidth="1"/>
    <col min="43" max="44" width="13.625" style="156" bestFit="1" customWidth="1"/>
    <col min="45" max="45" width="13.25" style="156" bestFit="1" customWidth="1"/>
    <col min="46" max="46" width="13.375" style="156" bestFit="1" customWidth="1"/>
    <col min="47" max="54" width="6.25" style="156" bestFit="1" customWidth="1"/>
    <col min="55" max="55" width="13.5" style="156" bestFit="1" customWidth="1"/>
    <col min="56" max="60" width="6.25" style="156" bestFit="1" customWidth="1"/>
    <col min="61" max="61" width="8.75" style="156"/>
    <col min="62" max="62" width="7" style="156" bestFit="1" customWidth="1"/>
    <col min="63" max="16384" width="8.75" style="156"/>
  </cols>
  <sheetData>
    <row r="1" spans="1:62" x14ac:dyDescent="0.2">
      <c r="AE1" s="157">
        <v>0.6</v>
      </c>
      <c r="AF1" s="157">
        <v>0.1</v>
      </c>
      <c r="AG1" s="157">
        <v>0.3</v>
      </c>
    </row>
    <row r="2" spans="1:62" x14ac:dyDescent="0.2">
      <c r="A2" s="158" t="s">
        <v>179</v>
      </c>
      <c r="B2" s="158" t="s">
        <v>747</v>
      </c>
      <c r="C2" s="158" t="s">
        <v>748</v>
      </c>
      <c r="D2" s="158" t="s">
        <v>758</v>
      </c>
      <c r="E2" s="158">
        <v>2005</v>
      </c>
      <c r="F2" s="158">
        <v>2006</v>
      </c>
      <c r="G2" s="158">
        <v>2007</v>
      </c>
      <c r="H2" s="158">
        <v>2008</v>
      </c>
      <c r="I2" s="158">
        <v>2009</v>
      </c>
      <c r="J2" s="158">
        <v>2010</v>
      </c>
      <c r="K2" s="158">
        <v>2011</v>
      </c>
      <c r="L2" s="158">
        <v>2012</v>
      </c>
      <c r="M2" s="158">
        <v>2013</v>
      </c>
      <c r="N2" s="158">
        <v>2014</v>
      </c>
      <c r="O2" s="158">
        <v>2015</v>
      </c>
      <c r="P2" s="158">
        <v>2016</v>
      </c>
      <c r="Q2" s="158">
        <v>2017</v>
      </c>
      <c r="R2" s="158">
        <v>2018</v>
      </c>
      <c r="S2" s="158">
        <v>2019</v>
      </c>
      <c r="T2" s="158">
        <v>2020</v>
      </c>
      <c r="U2" s="158">
        <v>2021</v>
      </c>
      <c r="V2" s="158">
        <v>2022</v>
      </c>
      <c r="W2" s="158">
        <v>2023</v>
      </c>
      <c r="X2" s="158">
        <v>2024</v>
      </c>
      <c r="Z2" s="158" t="s">
        <v>89</v>
      </c>
      <c r="AA2" s="158" t="s">
        <v>121</v>
      </c>
      <c r="AB2" s="158" t="s">
        <v>759</v>
      </c>
      <c r="AC2" s="159"/>
      <c r="AD2" s="158" t="s">
        <v>760</v>
      </c>
      <c r="AE2" s="158" t="s">
        <v>761</v>
      </c>
      <c r="AF2" s="158" t="s">
        <v>762</v>
      </c>
      <c r="AG2" s="158" t="s">
        <v>763</v>
      </c>
      <c r="AH2" s="158" t="s">
        <v>756</v>
      </c>
      <c r="AK2" s="158" t="s">
        <v>179</v>
      </c>
      <c r="AL2" s="158" t="s">
        <v>747</v>
      </c>
      <c r="AM2" s="158" t="s">
        <v>748</v>
      </c>
      <c r="AN2" s="158" t="s">
        <v>758</v>
      </c>
      <c r="AO2" s="158">
        <v>2005</v>
      </c>
      <c r="AP2" s="158">
        <v>2006</v>
      </c>
      <c r="AQ2" s="158">
        <v>2007</v>
      </c>
      <c r="AR2" s="158">
        <v>2008</v>
      </c>
      <c r="AS2" s="158">
        <v>2009</v>
      </c>
      <c r="AT2" s="158">
        <v>2010</v>
      </c>
      <c r="AU2" s="158">
        <v>2011</v>
      </c>
      <c r="AV2" s="158">
        <v>2012</v>
      </c>
      <c r="AW2" s="158">
        <v>2013</v>
      </c>
      <c r="AX2" s="158">
        <v>2014</v>
      </c>
      <c r="AY2" s="158">
        <v>2015</v>
      </c>
      <c r="AZ2" s="158">
        <v>2016</v>
      </c>
      <c r="BA2" s="158">
        <v>2017</v>
      </c>
      <c r="BB2" s="158">
        <v>2018</v>
      </c>
      <c r="BC2" s="158">
        <v>2019</v>
      </c>
      <c r="BD2" s="158">
        <v>2020</v>
      </c>
      <c r="BE2" s="158">
        <v>2021</v>
      </c>
      <c r="BF2" s="158">
        <v>2022</v>
      </c>
      <c r="BG2" s="158">
        <v>2023</v>
      </c>
      <c r="BH2" s="158">
        <v>2024</v>
      </c>
      <c r="BJ2" s="160" t="s">
        <v>89</v>
      </c>
    </row>
    <row r="3" spans="1:62" x14ac:dyDescent="0.2">
      <c r="A3" s="160" t="s">
        <v>491</v>
      </c>
      <c r="B3" s="161" t="s">
        <v>749</v>
      </c>
      <c r="C3" s="161" t="s">
        <v>750</v>
      </c>
      <c r="D3" s="161"/>
      <c r="E3" s="162">
        <v>14.733000000000001</v>
      </c>
      <c r="F3" s="162">
        <v>18.946000000000002</v>
      </c>
      <c r="G3" s="162">
        <v>18.986000000000001</v>
      </c>
      <c r="H3" s="162">
        <v>17.036000000000001</v>
      </c>
      <c r="I3" s="162">
        <v>19.390999999999998</v>
      </c>
      <c r="J3" s="162">
        <v>21.722000000000001</v>
      </c>
      <c r="K3" s="162">
        <v>21.265000000000001</v>
      </c>
      <c r="L3" s="162">
        <v>25.21</v>
      </c>
      <c r="M3" s="162">
        <v>24.346</v>
      </c>
      <c r="N3" s="162">
        <v>23.684000000000001</v>
      </c>
      <c r="O3" s="162">
        <v>24.568999999999999</v>
      </c>
      <c r="P3" s="162">
        <v>26.116</v>
      </c>
      <c r="Q3" s="162">
        <v>25.25</v>
      </c>
      <c r="R3" s="162">
        <v>27.983000000000001</v>
      </c>
      <c r="S3" s="162">
        <v>25.994</v>
      </c>
      <c r="T3" s="162">
        <v>29.081</v>
      </c>
      <c r="U3" s="162">
        <v>30.146999999999998</v>
      </c>
      <c r="V3" s="162">
        <v>31.326000000000001</v>
      </c>
      <c r="W3" s="162">
        <v>32.731000000000002</v>
      </c>
      <c r="X3" s="162">
        <v>32.686999999999998</v>
      </c>
      <c r="Z3" s="163">
        <f>AVERAGE(E3:R3)</f>
        <v>22.088357142857145</v>
      </c>
      <c r="AA3" s="163">
        <f>IFERROR(_xlfn.STDEV.P(E3:R3),0)</f>
        <v>3.7005836143417437</v>
      </c>
      <c r="AB3" s="164">
        <f t="shared" ref="AB3:AB34" si="0">AA3/Z3</f>
        <v>0.16753548443680544</v>
      </c>
      <c r="AC3" s="165"/>
      <c r="AD3" s="163">
        <f>AVERAGE(S3:X3)</f>
        <v>30.327666666666669</v>
      </c>
      <c r="AE3" s="166">
        <f>(AD3-Z3)/Z3</f>
        <v>0.37301595001029414</v>
      </c>
      <c r="AF3" s="166">
        <f t="shared" ref="AF3:AF34" si="1">AE3+AB3</f>
        <v>0.54055143444709963</v>
      </c>
      <c r="AG3" s="166">
        <f>AE3-AB3</f>
        <v>0.2054804655734887</v>
      </c>
      <c r="AH3" s="167">
        <f>SUMPRODUCT(AE3:AG3,$AE$1:$AG$1)</f>
        <v>0.33950885312293311</v>
      </c>
      <c r="AK3" s="160" t="s">
        <v>491</v>
      </c>
      <c r="AL3" s="161" t="s">
        <v>749</v>
      </c>
      <c r="AM3" s="161" t="s">
        <v>750</v>
      </c>
      <c r="AN3" s="161"/>
      <c r="AO3" s="162">
        <f t="shared" ref="AO3:AO34" si="2">STANDARDIZE(E3,$Z3,$AA3)</f>
        <v>-1.9876208483308404</v>
      </c>
      <c r="AP3" s="162">
        <f t="shared" ref="AP3:AP34" si="3">STANDARDIZE(F3,$Z3,$AA3)</f>
        <v>-0.84915177451438373</v>
      </c>
      <c r="AQ3" s="162">
        <f t="shared" ref="AQ3:AQ34" si="4">STANDARDIZE(G3,$Z3,$AA3)</f>
        <v>-0.83834266866281548</v>
      </c>
      <c r="AR3" s="162">
        <f t="shared" ref="AR3:AR34" si="5">STANDARDIZE(H3,$Z3,$AA3)</f>
        <v>-1.3652865789267816</v>
      </c>
      <c r="AS3" s="162">
        <f t="shared" ref="AS3:AS34" si="6">STANDARDIZE(I3,$Z3,$AA3)</f>
        <v>-0.72890047191568463</v>
      </c>
      <c r="AT3" s="162">
        <f t="shared" ref="AT3:AT34" si="7">STANDARDIZE(J3,$Z3,$AA3)</f>
        <v>-9.8999828415527097E-2</v>
      </c>
      <c r="AU3" s="162">
        <f t="shared" ref="AU3:AU34" si="8">STANDARDIZE(K3,$Z3,$AA3)</f>
        <v>-0.22249386276969788</v>
      </c>
      <c r="AV3" s="162">
        <f t="shared" ref="AV3:AV34" si="9">STANDARDIZE(L3,$Z3,$AA3)</f>
        <v>0.84355420184124952</v>
      </c>
      <c r="AW3" s="162">
        <f t="shared" ref="AW3:AW34" si="10">STANDARDIZE(M3,$Z3,$AA3)</f>
        <v>0.61007751544736877</v>
      </c>
      <c r="AX3" s="162">
        <f t="shared" ref="AX3:AX34" si="11">STANDARDIZE(N3,$Z3,$AA3)</f>
        <v>0.43118681360390976</v>
      </c>
      <c r="AY3" s="162">
        <f t="shared" ref="AY3:AY34" si="12">STANDARDIZE(O3,$Z3,$AA3)</f>
        <v>0.67033828056986311</v>
      </c>
      <c r="AZ3" s="162">
        <f t="shared" ref="AZ3:AZ34" si="13">STANDARDIZE(P3,$Z3,$AA3)</f>
        <v>1.0883804493792766</v>
      </c>
      <c r="BA3" s="162">
        <f t="shared" ref="BA3:BA34" si="14">STANDARDIZE(Q3,$Z3,$AA3)</f>
        <v>0.85436330769281776</v>
      </c>
      <c r="BB3" s="162">
        <f t="shared" ref="BB3:BB34" si="15">STANDARDIZE(R3,$Z3,$AA3)</f>
        <v>1.5928954650012386</v>
      </c>
      <c r="BC3" s="162">
        <f t="shared" ref="BC3:BC34" si="16">STANDARDIZE(S3,$Z3,$AA3)</f>
        <v>1.0554126765319927</v>
      </c>
      <c r="BD3" s="162">
        <f t="shared" ref="BD3:BD34" si="17">STANDARDIZE(T3,$Z3,$AA3)</f>
        <v>1.8896054206267947</v>
      </c>
      <c r="BE3" s="162">
        <f t="shared" ref="BE3:BE34" si="18">STANDARDIZE(U3,$Z3,$AA3)</f>
        <v>2.1776680915710958</v>
      </c>
      <c r="BF3" s="162">
        <f t="shared" ref="BF3:BF34" si="19">STANDARDIZE(V3,$Z3,$AA3)</f>
        <v>2.4962664865460793</v>
      </c>
      <c r="BG3" s="162">
        <f t="shared" ref="BG3:BG34" si="20">STANDARDIZE(W3,$Z3,$AA3)</f>
        <v>2.8759363295824247</v>
      </c>
      <c r="BH3" s="162">
        <f t="shared" ref="BH3:BH34" si="21">STANDARDIZE(X3,$Z3,$AA3)</f>
        <v>2.8640463131456979</v>
      </c>
      <c r="BJ3" s="168">
        <f>AVERAGE(BC3:BH3)</f>
        <v>2.2264892196673474</v>
      </c>
    </row>
    <row r="4" spans="1:62" x14ac:dyDescent="0.2">
      <c r="A4" s="160" t="s">
        <v>525</v>
      </c>
      <c r="B4" s="161" t="s">
        <v>749</v>
      </c>
      <c r="C4" s="161" t="s">
        <v>750</v>
      </c>
      <c r="D4" s="161"/>
      <c r="E4" s="162">
        <v>25.434000000000001</v>
      </c>
      <c r="F4" s="162">
        <v>25.928000000000001</v>
      </c>
      <c r="G4" s="162">
        <v>26.13</v>
      </c>
      <c r="H4" s="162">
        <v>26.841999999999999</v>
      </c>
      <c r="I4" s="162">
        <v>26.093</v>
      </c>
      <c r="J4" s="162">
        <v>25.867000000000001</v>
      </c>
      <c r="K4" s="162">
        <v>25.407</v>
      </c>
      <c r="L4" s="162">
        <v>24.789000000000001</v>
      </c>
      <c r="M4" s="162">
        <v>23.939</v>
      </c>
      <c r="N4" s="162">
        <v>26.326000000000001</v>
      </c>
      <c r="O4" s="162">
        <v>26.381</v>
      </c>
      <c r="P4" s="162">
        <v>27.364000000000001</v>
      </c>
      <c r="Q4" s="162">
        <v>27.748999999999999</v>
      </c>
      <c r="R4" s="162">
        <v>27.239000000000001</v>
      </c>
      <c r="S4" s="162">
        <v>27.355</v>
      </c>
      <c r="T4" s="162">
        <v>27.234000000000002</v>
      </c>
      <c r="U4" s="162">
        <v>26.956</v>
      </c>
      <c r="V4" s="162">
        <v>26.728000000000002</v>
      </c>
      <c r="W4" s="162">
        <v>26.518000000000001</v>
      </c>
      <c r="X4" s="162">
        <v>26.332000000000001</v>
      </c>
      <c r="Z4" s="163">
        <f t="shared" ref="Z4:Z64" si="22">AVERAGE(E4:R4)</f>
        <v>26.106285714285711</v>
      </c>
      <c r="AA4" s="163">
        <f t="shared" ref="AA4:AA64" si="23">IFERROR(_xlfn.STDEV.P(E4:R4),0)</f>
        <v>0.98892202701234411</v>
      </c>
      <c r="AB4" s="164">
        <f t="shared" si="0"/>
        <v>3.7880609973987706E-2</v>
      </c>
      <c r="AC4" s="165"/>
      <c r="AD4" s="163">
        <f t="shared" ref="AD4:AD64" si="24">AVERAGE(S4:X4)</f>
        <v>26.853833333333331</v>
      </c>
      <c r="AE4" s="166">
        <f t="shared" ref="AE4:AE64" si="25">(AD4-Z4)/Z4</f>
        <v>2.8634775058734272E-2</v>
      </c>
      <c r="AF4" s="166">
        <f t="shared" si="1"/>
        <v>6.6515385032721974E-2</v>
      </c>
      <c r="AG4" s="166">
        <f t="shared" ref="AG4:AG34" si="26">AE4-AB4</f>
        <v>-9.2458349152534335E-3</v>
      </c>
      <c r="AH4" s="167">
        <f t="shared" ref="AH4:AH64" si="27">SUMPRODUCT(AE4:AG4,$AE$1:$AG$1)</f>
        <v>2.1058653063936731E-2</v>
      </c>
      <c r="AK4" s="160" t="s">
        <v>525</v>
      </c>
      <c r="AL4" s="161" t="s">
        <v>749</v>
      </c>
      <c r="AM4" s="161" t="s">
        <v>750</v>
      </c>
      <c r="AN4" s="161"/>
      <c r="AO4" s="162">
        <f t="shared" si="2"/>
        <v>-0.67981670538451711</v>
      </c>
      <c r="AP4" s="162">
        <f t="shared" si="3"/>
        <v>-0.1802828831958912</v>
      </c>
      <c r="AQ4" s="162">
        <f t="shared" si="4"/>
        <v>2.397993478407149E-2</v>
      </c>
      <c r="AR4" s="162">
        <f t="shared" si="5"/>
        <v>0.74395580805998573</v>
      </c>
      <c r="AS4" s="162">
        <f t="shared" si="6"/>
        <v>-1.3434541776614102E-2</v>
      </c>
      <c r="AT4" s="162">
        <f t="shared" si="7"/>
        <v>-0.24196620941756358</v>
      </c>
      <c r="AU4" s="162">
        <f t="shared" si="8"/>
        <v>-0.70711916125312724</v>
      </c>
      <c r="AV4" s="162">
        <f t="shared" si="9"/>
        <v>-1.3320420400235122</v>
      </c>
      <c r="AW4" s="162">
        <f t="shared" si="10"/>
        <v>-2.1915637988500971</v>
      </c>
      <c r="AX4" s="162">
        <f t="shared" si="11"/>
        <v>0.22217554034879106</v>
      </c>
      <c r="AY4" s="162">
        <f t="shared" si="12"/>
        <v>0.27779165415521678</v>
      </c>
      <c r="AZ4" s="162">
        <f t="shared" si="13"/>
        <v>1.2718032881864307</v>
      </c>
      <c r="BA4" s="162">
        <f t="shared" si="14"/>
        <v>1.6611160848314106</v>
      </c>
      <c r="BB4" s="162">
        <f t="shared" si="15"/>
        <v>1.1454030295354627</v>
      </c>
      <c r="BC4" s="162">
        <f t="shared" si="16"/>
        <v>1.2627024695635607</v>
      </c>
      <c r="BD4" s="162">
        <f t="shared" si="17"/>
        <v>1.1403470191894249</v>
      </c>
      <c r="BE4" s="162">
        <f t="shared" si="18"/>
        <v>0.85923284394966948</v>
      </c>
      <c r="BF4" s="162">
        <f t="shared" si="19"/>
        <v>0.62867877217030566</v>
      </c>
      <c r="BG4" s="162">
        <f t="shared" si="20"/>
        <v>0.41632633763667831</v>
      </c>
      <c r="BH4" s="162">
        <f t="shared" si="21"/>
        <v>0.22824275276403777</v>
      </c>
      <c r="BJ4" s="168">
        <f t="shared" ref="BJ4:BJ64" si="28">AVERAGE(BC4:BH4)</f>
        <v>0.75592169921227947</v>
      </c>
    </row>
    <row r="5" spans="1:62" x14ac:dyDescent="0.2">
      <c r="A5" s="160" t="s">
        <v>513</v>
      </c>
      <c r="B5" s="161" t="s">
        <v>749</v>
      </c>
      <c r="C5" s="161" t="s">
        <v>750</v>
      </c>
      <c r="D5" s="161"/>
      <c r="E5" s="162">
        <v>40.738999999999997</v>
      </c>
      <c r="F5" s="162">
        <v>42.814</v>
      </c>
      <c r="G5" s="162">
        <v>39.834000000000003</v>
      </c>
      <c r="H5" s="162">
        <v>47.566000000000003</v>
      </c>
      <c r="I5" s="162">
        <v>36.792000000000002</v>
      </c>
      <c r="J5" s="162">
        <v>37.212000000000003</v>
      </c>
      <c r="K5" s="162">
        <v>40.018999999999998</v>
      </c>
      <c r="L5" s="162">
        <v>39.109000000000002</v>
      </c>
      <c r="M5" s="162">
        <v>35.786000000000001</v>
      </c>
      <c r="N5" s="162">
        <v>33.305</v>
      </c>
      <c r="O5" s="162">
        <v>30.544</v>
      </c>
      <c r="P5" s="162">
        <v>28.597000000000001</v>
      </c>
      <c r="Q5" s="162">
        <v>32.526000000000003</v>
      </c>
      <c r="R5" s="162">
        <v>33.292000000000002</v>
      </c>
      <c r="S5" s="162">
        <v>29.869</v>
      </c>
      <c r="T5" s="162">
        <v>29.353000000000002</v>
      </c>
      <c r="U5" s="162">
        <v>28.091999999999999</v>
      </c>
      <c r="V5" s="162">
        <v>27.370999999999999</v>
      </c>
      <c r="W5" s="162">
        <v>27.033000000000001</v>
      </c>
      <c r="X5" s="162">
        <v>28.817</v>
      </c>
      <c r="Z5" s="163">
        <f t="shared" si="22"/>
        <v>37.009642857142858</v>
      </c>
      <c r="AA5" s="163">
        <f t="shared" si="23"/>
        <v>4.9445993858688828</v>
      </c>
      <c r="AB5" s="164">
        <f t="shared" si="0"/>
        <v>0.13360300192452615</v>
      </c>
      <c r="AC5" s="165"/>
      <c r="AD5" s="163">
        <f t="shared" si="24"/>
        <v>28.422499999999999</v>
      </c>
      <c r="AE5" s="166">
        <f t="shared" si="25"/>
        <v>-0.2320244723865402</v>
      </c>
      <c r="AF5" s="166">
        <f t="shared" si="1"/>
        <v>-9.8421470462014049E-2</v>
      </c>
      <c r="AG5" s="166">
        <f t="shared" si="26"/>
        <v>-0.36562747431106635</v>
      </c>
      <c r="AH5" s="167">
        <f t="shared" si="27"/>
        <v>-0.25874507277144543</v>
      </c>
      <c r="AK5" s="160" t="s">
        <v>513</v>
      </c>
      <c r="AL5" s="161" t="s">
        <v>749</v>
      </c>
      <c r="AM5" s="161" t="s">
        <v>750</v>
      </c>
      <c r="AN5" s="161"/>
      <c r="AO5" s="162">
        <f t="shared" si="2"/>
        <v>0.7542283715674174</v>
      </c>
      <c r="AP5" s="162">
        <f t="shared" si="3"/>
        <v>1.1738781425741693</v>
      </c>
      <c r="AQ5" s="162">
        <f t="shared" si="4"/>
        <v>0.57120039915242582</v>
      </c>
      <c r="AR5" s="162">
        <f t="shared" si="5"/>
        <v>2.1349266783930045</v>
      </c>
      <c r="AS5" s="162">
        <f t="shared" si="6"/>
        <v>-4.4016277186146785E-2</v>
      </c>
      <c r="AT5" s="162">
        <f t="shared" si="7"/>
        <v>4.0924881282689972E-2</v>
      </c>
      <c r="AU5" s="162">
        <f t="shared" si="8"/>
        <v>0.60861495704941238</v>
      </c>
      <c r="AV5" s="162">
        <f t="shared" si="9"/>
        <v>0.42457578036693416</v>
      </c>
      <c r="AW5" s="162">
        <f t="shared" si="10"/>
        <v>-0.24747057580435977</v>
      </c>
      <c r="AX5" s="162">
        <f t="shared" si="11"/>
        <v>-0.74923013333098665</v>
      </c>
      <c r="AY5" s="162">
        <f t="shared" si="12"/>
        <v>-1.3076171298368373</v>
      </c>
      <c r="AZ5" s="162">
        <f t="shared" si="13"/>
        <v>-1.7013800715959431</v>
      </c>
      <c r="BA5" s="162">
        <f t="shared" si="14"/>
        <v>-0.90677575820532774</v>
      </c>
      <c r="BB5" s="162">
        <f t="shared" si="15"/>
        <v>-0.75185926442645024</v>
      </c>
      <c r="BC5" s="162">
        <f t="shared" si="16"/>
        <v>-1.4441297059474674</v>
      </c>
      <c r="BD5" s="162">
        <f t="shared" si="17"/>
        <v>-1.5484859863520375</v>
      </c>
      <c r="BE5" s="162">
        <f t="shared" si="18"/>
        <v>-1.8035117026120446</v>
      </c>
      <c r="BF5" s="162">
        <f t="shared" si="19"/>
        <v>-1.9493273579835471</v>
      </c>
      <c r="BG5" s="162">
        <f t="shared" si="20"/>
        <v>-2.0176847664656101</v>
      </c>
      <c r="BH5" s="162">
        <f t="shared" si="21"/>
        <v>-1.6568870838265528</v>
      </c>
      <c r="BJ5" s="168">
        <f t="shared" si="28"/>
        <v>-1.7366711005312097</v>
      </c>
    </row>
    <row r="6" spans="1:62" x14ac:dyDescent="0.2">
      <c r="A6" s="160" t="s">
        <v>537</v>
      </c>
      <c r="B6" s="161" t="s">
        <v>749</v>
      </c>
      <c r="C6" s="161" t="s">
        <v>750</v>
      </c>
      <c r="D6" s="161"/>
      <c r="E6" s="162">
        <v>19.3</v>
      </c>
      <c r="F6" s="162">
        <v>21.863</v>
      </c>
      <c r="G6" s="162">
        <v>21.367999999999999</v>
      </c>
      <c r="H6" s="162">
        <v>21.05</v>
      </c>
      <c r="I6" s="162">
        <v>18.434000000000001</v>
      </c>
      <c r="J6" s="162">
        <v>22.213999999999999</v>
      </c>
      <c r="K6" s="162">
        <v>20.285</v>
      </c>
      <c r="L6" s="162">
        <v>19.779</v>
      </c>
      <c r="M6" s="162">
        <v>18.745000000000001</v>
      </c>
      <c r="N6" s="162">
        <v>19.731999999999999</v>
      </c>
      <c r="O6" s="162">
        <v>23.704999999999998</v>
      </c>
      <c r="P6" s="162">
        <v>24.042999999999999</v>
      </c>
      <c r="Q6" s="162">
        <v>21.050999999999998</v>
      </c>
      <c r="R6" s="162">
        <v>19.93</v>
      </c>
      <c r="S6" s="162">
        <v>20.074000000000002</v>
      </c>
      <c r="T6" s="162">
        <v>18.885000000000002</v>
      </c>
      <c r="U6" s="162">
        <v>18.527999999999999</v>
      </c>
      <c r="V6" s="162">
        <v>18.245000000000001</v>
      </c>
      <c r="W6" s="162">
        <v>17.221</v>
      </c>
      <c r="X6" s="162">
        <v>17.152999999999999</v>
      </c>
      <c r="Z6" s="163">
        <f t="shared" si="22"/>
        <v>20.821357142857142</v>
      </c>
      <c r="AA6" s="163">
        <f t="shared" si="23"/>
        <v>1.6432404661496851</v>
      </c>
      <c r="AB6" s="164">
        <f t="shared" si="0"/>
        <v>7.8920910624378102E-2</v>
      </c>
      <c r="AC6" s="165"/>
      <c r="AD6" s="163">
        <f t="shared" si="24"/>
        <v>18.350999999999999</v>
      </c>
      <c r="AE6" s="166">
        <f t="shared" si="25"/>
        <v>-0.11864534698232242</v>
      </c>
      <c r="AF6" s="166">
        <f t="shared" si="1"/>
        <v>-3.9724436357944315E-2</v>
      </c>
      <c r="AG6" s="166">
        <f t="shared" si="26"/>
        <v>-0.19756625760670052</v>
      </c>
      <c r="AH6" s="167">
        <f t="shared" si="27"/>
        <v>-0.13442952910719802</v>
      </c>
      <c r="AK6" s="160" t="s">
        <v>537</v>
      </c>
      <c r="AL6" s="161" t="s">
        <v>749</v>
      </c>
      <c r="AM6" s="161" t="s">
        <v>750</v>
      </c>
      <c r="AN6" s="161"/>
      <c r="AO6" s="162">
        <f t="shared" si="2"/>
        <v>-0.92582745751257489</v>
      </c>
      <c r="AP6" s="162">
        <f t="shared" si="3"/>
        <v>0.63389557316803125</v>
      </c>
      <c r="AQ6" s="162">
        <f t="shared" si="4"/>
        <v>0.33266151144860018</v>
      </c>
      <c r="AR6" s="162">
        <f t="shared" si="5"/>
        <v>0.13914144755611885</v>
      </c>
      <c r="AS6" s="162">
        <f t="shared" si="6"/>
        <v>-1.4528349271065681</v>
      </c>
      <c r="AT6" s="162">
        <f t="shared" si="7"/>
        <v>0.84749790784180867</v>
      </c>
      <c r="AU6" s="162">
        <f t="shared" si="8"/>
        <v>-0.32640210237391049</v>
      </c>
      <c r="AV6" s="162">
        <f t="shared" si="9"/>
        <v>-0.63433025435377288</v>
      </c>
      <c r="AW6" s="162">
        <f t="shared" si="10"/>
        <v>-1.2635747388343603</v>
      </c>
      <c r="AX6" s="162">
        <f t="shared" si="11"/>
        <v>-0.66293227637561813</v>
      </c>
      <c r="AY6" s="162">
        <f t="shared" si="12"/>
        <v>1.7548514149603356</v>
      </c>
      <c r="AZ6" s="162">
        <f t="shared" si="13"/>
        <v>1.9605425520536039</v>
      </c>
      <c r="BA6" s="162">
        <f t="shared" si="14"/>
        <v>0.13975000121615669</v>
      </c>
      <c r="BB6" s="162">
        <f t="shared" si="15"/>
        <v>-0.54243865168784577</v>
      </c>
      <c r="BC6" s="162">
        <f t="shared" si="16"/>
        <v>-0.45480692464219208</v>
      </c>
      <c r="BD6" s="162">
        <f t="shared" si="17"/>
        <v>-1.1783772264288646</v>
      </c>
      <c r="BE6" s="162">
        <f t="shared" si="18"/>
        <v>-1.3956308830628799</v>
      </c>
      <c r="BF6" s="162">
        <f t="shared" si="19"/>
        <v>-1.5678515688539871</v>
      </c>
      <c r="BG6" s="162">
        <f t="shared" si="20"/>
        <v>-2.1910105167341833</v>
      </c>
      <c r="BH6" s="162">
        <f t="shared" si="21"/>
        <v>-2.2323921656168535</v>
      </c>
      <c r="BJ6" s="168">
        <f t="shared" si="28"/>
        <v>-1.5033448808898264</v>
      </c>
    </row>
    <row r="7" spans="1:62" x14ac:dyDescent="0.2">
      <c r="A7" s="160" t="s">
        <v>536</v>
      </c>
      <c r="B7" s="161" t="s">
        <v>749</v>
      </c>
      <c r="C7" s="161" t="s">
        <v>750</v>
      </c>
      <c r="D7" s="161"/>
      <c r="E7" s="162">
        <v>27.613</v>
      </c>
      <c r="F7" s="162">
        <v>27.960999999999999</v>
      </c>
      <c r="G7" s="162">
        <v>29.437000000000001</v>
      </c>
      <c r="H7" s="162">
        <v>30.995000000000001</v>
      </c>
      <c r="I7" s="162">
        <v>31.922999999999998</v>
      </c>
      <c r="J7" s="162">
        <v>31.916</v>
      </c>
      <c r="K7" s="162">
        <v>32.155999999999999</v>
      </c>
      <c r="L7" s="162">
        <v>33.802999999999997</v>
      </c>
      <c r="M7" s="162">
        <v>34.348999999999997</v>
      </c>
      <c r="N7" s="162">
        <v>34.600999999999999</v>
      </c>
      <c r="O7" s="162">
        <v>35.366</v>
      </c>
      <c r="P7" s="162">
        <v>34.866999999999997</v>
      </c>
      <c r="Q7" s="162">
        <v>34.478000000000002</v>
      </c>
      <c r="R7" s="162">
        <v>33.844000000000001</v>
      </c>
      <c r="S7" s="162">
        <v>34.789000000000001</v>
      </c>
      <c r="T7" s="162">
        <v>35.314999999999998</v>
      </c>
      <c r="U7" s="162">
        <v>34.860999999999997</v>
      </c>
      <c r="V7" s="162">
        <v>34.822000000000003</v>
      </c>
      <c r="W7" s="162">
        <v>34.356000000000002</v>
      </c>
      <c r="X7" s="162">
        <v>34.435000000000002</v>
      </c>
      <c r="Z7" s="163">
        <f t="shared" si="22"/>
        <v>32.379214285714291</v>
      </c>
      <c r="AA7" s="163">
        <f t="shared" si="23"/>
        <v>2.475402310118251</v>
      </c>
      <c r="AB7" s="164">
        <f t="shared" si="0"/>
        <v>7.6450351397513633E-2</v>
      </c>
      <c r="AC7" s="165"/>
      <c r="AD7" s="163">
        <f t="shared" si="24"/>
        <v>34.762999999999998</v>
      </c>
      <c r="AE7" s="166">
        <f t="shared" si="25"/>
        <v>7.3620863472818543E-2</v>
      </c>
      <c r="AF7" s="166">
        <f t="shared" si="1"/>
        <v>0.15007121487033218</v>
      </c>
      <c r="AG7" s="166">
        <f t="shared" si="26"/>
        <v>-2.8294879246950899E-3</v>
      </c>
      <c r="AH7" s="167">
        <f t="shared" si="27"/>
        <v>5.8330793193315814E-2</v>
      </c>
      <c r="AK7" s="160" t="s">
        <v>536</v>
      </c>
      <c r="AL7" s="161" t="s">
        <v>749</v>
      </c>
      <c r="AM7" s="161" t="s">
        <v>750</v>
      </c>
      <c r="AN7" s="161"/>
      <c r="AO7" s="162">
        <f t="shared" si="2"/>
        <v>-1.9254301679497936</v>
      </c>
      <c r="AP7" s="162">
        <f t="shared" si="3"/>
        <v>-1.7848469590800504</v>
      </c>
      <c r="AQ7" s="162">
        <f t="shared" si="4"/>
        <v>-1.1885802455980332</v>
      </c>
      <c r="AR7" s="162">
        <f t="shared" si="5"/>
        <v>-0.55918760358923847</v>
      </c>
      <c r="AS7" s="162">
        <f t="shared" si="6"/>
        <v>-0.18429904660325649</v>
      </c>
      <c r="AT7" s="162">
        <f t="shared" si="7"/>
        <v>-0.18712686977017579</v>
      </c>
      <c r="AU7" s="162">
        <f t="shared" si="8"/>
        <v>-9.0172932618629076E-2</v>
      </c>
      <c r="AV7" s="162">
        <f t="shared" si="9"/>
        <v>0.57517346108386391</v>
      </c>
      <c r="AW7" s="162">
        <f t="shared" si="10"/>
        <v>0.79574366810363384</v>
      </c>
      <c r="AX7" s="162">
        <f t="shared" si="11"/>
        <v>0.89754530211275951</v>
      </c>
      <c r="AY7" s="162">
        <f t="shared" si="12"/>
        <v>1.2065859767833169</v>
      </c>
      <c r="AZ7" s="162">
        <f t="shared" si="13"/>
        <v>1.0050025824557238</v>
      </c>
      <c r="BA7" s="162">
        <f t="shared" si="14"/>
        <v>0.84785640932259254</v>
      </c>
      <c r="BB7" s="162">
        <f t="shared" si="15"/>
        <v>0.59173642534725479</v>
      </c>
      <c r="BC7" s="162">
        <f t="shared" si="16"/>
        <v>0.97349255288147263</v>
      </c>
      <c r="BD7" s="162">
        <f t="shared" si="17"/>
        <v>1.1859832651386124</v>
      </c>
      <c r="BE7" s="162">
        <f t="shared" si="18"/>
        <v>1.002578734026935</v>
      </c>
      <c r="BF7" s="162">
        <f t="shared" si="19"/>
        <v>0.98682371923981083</v>
      </c>
      <c r="BG7" s="162">
        <f t="shared" si="20"/>
        <v>0.79857149127055604</v>
      </c>
      <c r="BH7" s="162">
        <f t="shared" si="21"/>
        <v>0.8304854955829406</v>
      </c>
      <c r="BJ7" s="168">
        <f t="shared" si="28"/>
        <v>0.96298920969005453</v>
      </c>
    </row>
    <row r="8" spans="1:62" x14ac:dyDescent="0.2">
      <c r="A8" s="160" t="s">
        <v>520</v>
      </c>
      <c r="B8" s="161" t="s">
        <v>749</v>
      </c>
      <c r="C8" s="161" t="s">
        <v>750</v>
      </c>
      <c r="D8" s="161"/>
      <c r="E8" s="162">
        <v>17.895</v>
      </c>
      <c r="F8" s="162">
        <v>18.05</v>
      </c>
      <c r="G8" s="162">
        <v>20.085000000000001</v>
      </c>
      <c r="H8" s="162">
        <v>20.478999999999999</v>
      </c>
      <c r="I8" s="162">
        <v>20.867000000000001</v>
      </c>
      <c r="J8" s="162">
        <v>21.221</v>
      </c>
      <c r="K8" s="162">
        <v>22.088000000000001</v>
      </c>
      <c r="L8" s="162">
        <v>20.92</v>
      </c>
      <c r="M8" s="162">
        <v>22.204000000000001</v>
      </c>
      <c r="N8" s="162">
        <v>22.047999999999998</v>
      </c>
      <c r="O8" s="162">
        <v>21.494</v>
      </c>
      <c r="P8" s="162">
        <v>21.416</v>
      </c>
      <c r="Q8" s="162">
        <v>21.224</v>
      </c>
      <c r="R8" s="162">
        <v>21.370999999999999</v>
      </c>
      <c r="S8" s="162">
        <v>22.512</v>
      </c>
      <c r="T8" s="162">
        <v>22.733000000000001</v>
      </c>
      <c r="U8" s="162">
        <v>22.584</v>
      </c>
      <c r="V8" s="162">
        <v>22.689</v>
      </c>
      <c r="W8" s="162">
        <v>22.753</v>
      </c>
      <c r="X8" s="162">
        <v>22.667000000000002</v>
      </c>
      <c r="Z8" s="163">
        <f t="shared" si="22"/>
        <v>20.81157142857143</v>
      </c>
      <c r="AA8" s="163">
        <f t="shared" si="23"/>
        <v>1.291859662562115</v>
      </c>
      <c r="AB8" s="164">
        <f t="shared" si="0"/>
        <v>6.2074104639141717E-2</v>
      </c>
      <c r="AC8" s="165"/>
      <c r="AD8" s="163">
        <f t="shared" si="24"/>
        <v>22.656333333333333</v>
      </c>
      <c r="AE8" s="166">
        <f t="shared" si="25"/>
        <v>8.8641163455312075E-2</v>
      </c>
      <c r="AF8" s="166">
        <f t="shared" si="1"/>
        <v>0.15071526809445379</v>
      </c>
      <c r="AG8" s="166">
        <f t="shared" si="26"/>
        <v>2.6567058816170358E-2</v>
      </c>
      <c r="AH8" s="167">
        <f t="shared" si="27"/>
        <v>7.6226342527483726E-2</v>
      </c>
      <c r="AK8" s="160" t="s">
        <v>520</v>
      </c>
      <c r="AL8" s="161" t="s">
        <v>749</v>
      </c>
      <c r="AM8" s="161" t="s">
        <v>750</v>
      </c>
      <c r="AN8" s="161"/>
      <c r="AO8" s="162">
        <f t="shared" si="2"/>
        <v>-2.2576534534618586</v>
      </c>
      <c r="AP8" s="162">
        <f t="shared" si="3"/>
        <v>-2.1376713807244889</v>
      </c>
      <c r="AQ8" s="162">
        <f t="shared" si="4"/>
        <v>-0.56242287736613494</v>
      </c>
      <c r="AR8" s="162">
        <f t="shared" si="5"/>
        <v>-0.25743618924663175</v>
      </c>
      <c r="AS8" s="162">
        <f t="shared" si="6"/>
        <v>4.2906031541104839E-2</v>
      </c>
      <c r="AT8" s="162">
        <f t="shared" si="7"/>
        <v>0.31692960411548127</v>
      </c>
      <c r="AU8" s="162">
        <f t="shared" si="8"/>
        <v>0.98805513355611729</v>
      </c>
      <c r="AV8" s="162">
        <f t="shared" si="9"/>
        <v>8.3932159638399215E-2</v>
      </c>
      <c r="AW8" s="162">
        <f t="shared" si="10"/>
        <v>1.0778481686369863</v>
      </c>
      <c r="AX8" s="162">
        <f t="shared" si="11"/>
        <v>0.95709201801098787</v>
      </c>
      <c r="AY8" s="162">
        <f t="shared" si="12"/>
        <v>0.52825286771097524</v>
      </c>
      <c r="AZ8" s="162">
        <f t="shared" si="13"/>
        <v>0.46787479239797736</v>
      </c>
      <c r="BA8" s="162">
        <f t="shared" si="14"/>
        <v>0.31925183778136595</v>
      </c>
      <c r="BB8" s="162">
        <f t="shared" si="15"/>
        <v>0.43304128740970776</v>
      </c>
      <c r="BC8" s="162">
        <f t="shared" si="16"/>
        <v>1.316264158334467</v>
      </c>
      <c r="BD8" s="162">
        <f t="shared" si="17"/>
        <v>1.4873353717212956</v>
      </c>
      <c r="BE8" s="162">
        <f t="shared" si="18"/>
        <v>1.3719977663156955</v>
      </c>
      <c r="BF8" s="162">
        <f t="shared" si="19"/>
        <v>1.453275944621655</v>
      </c>
      <c r="BG8" s="162">
        <f t="shared" si="20"/>
        <v>1.5028169294938589</v>
      </c>
      <c r="BH8" s="162">
        <f t="shared" si="21"/>
        <v>1.4362462310718362</v>
      </c>
      <c r="BJ8" s="168">
        <f t="shared" si="28"/>
        <v>1.4279894002598015</v>
      </c>
    </row>
    <row r="9" spans="1:62" x14ac:dyDescent="0.2">
      <c r="A9" s="160" t="s">
        <v>519</v>
      </c>
      <c r="B9" s="161" t="s">
        <v>749</v>
      </c>
      <c r="C9" s="161" t="s">
        <v>750</v>
      </c>
      <c r="D9" s="161"/>
      <c r="E9" s="162">
        <v>25.239000000000001</v>
      </c>
      <c r="F9" s="162">
        <v>25.962</v>
      </c>
      <c r="G9" s="162">
        <v>28.405000000000001</v>
      </c>
      <c r="H9" s="162">
        <v>48.633000000000003</v>
      </c>
      <c r="I9" s="162">
        <v>40.359000000000002</v>
      </c>
      <c r="J9" s="162">
        <v>45.789000000000001</v>
      </c>
      <c r="K9" s="162">
        <v>44.594000000000001</v>
      </c>
      <c r="L9" s="162">
        <v>40.341999999999999</v>
      </c>
      <c r="M9" s="162">
        <v>39.423000000000002</v>
      </c>
      <c r="N9" s="162">
        <v>39.116999999999997</v>
      </c>
      <c r="O9" s="162">
        <v>33.866</v>
      </c>
      <c r="P9" s="162">
        <v>34.252000000000002</v>
      </c>
      <c r="Q9" s="162">
        <v>34.326000000000001</v>
      </c>
      <c r="R9" s="162">
        <v>38.228000000000002</v>
      </c>
      <c r="S9" s="162">
        <v>38.890999999999998</v>
      </c>
      <c r="T9" s="162">
        <v>37.779000000000003</v>
      </c>
      <c r="U9" s="162">
        <v>37.332999999999998</v>
      </c>
      <c r="V9" s="162">
        <v>35.978999999999999</v>
      </c>
      <c r="W9" s="162">
        <v>34.039000000000001</v>
      </c>
      <c r="X9" s="162">
        <v>32.746000000000002</v>
      </c>
      <c r="Z9" s="163">
        <f t="shared" si="22"/>
        <v>37.038214285714282</v>
      </c>
      <c r="AA9" s="163">
        <f t="shared" si="23"/>
        <v>6.8821216327792314</v>
      </c>
      <c r="AB9" s="164">
        <f t="shared" si="0"/>
        <v>0.18581137793766911</v>
      </c>
      <c r="AC9" s="165"/>
      <c r="AD9" s="163">
        <f t="shared" si="24"/>
        <v>36.127833333333335</v>
      </c>
      <c r="AE9" s="166">
        <f t="shared" si="25"/>
        <v>-2.4579504437180256E-2</v>
      </c>
      <c r="AF9" s="166">
        <f t="shared" si="1"/>
        <v>0.16123187350048884</v>
      </c>
      <c r="AG9" s="166">
        <f t="shared" si="26"/>
        <v>-0.21039088237484938</v>
      </c>
      <c r="AH9" s="167">
        <f t="shared" si="27"/>
        <v>-6.1741780024714074E-2</v>
      </c>
      <c r="AK9" s="160" t="s">
        <v>519</v>
      </c>
      <c r="AL9" s="161" t="s">
        <v>749</v>
      </c>
      <c r="AM9" s="161" t="s">
        <v>750</v>
      </c>
      <c r="AN9" s="161"/>
      <c r="AO9" s="162">
        <f t="shared" si="2"/>
        <v>-1.714473372501172</v>
      </c>
      <c r="AP9" s="162">
        <f t="shared" si="3"/>
        <v>-1.6094185596718866</v>
      </c>
      <c r="AQ9" s="162">
        <f t="shared" si="4"/>
        <v>-1.2544408172902199</v>
      </c>
      <c r="AR9" s="162">
        <f t="shared" si="5"/>
        <v>1.6847690774688266</v>
      </c>
      <c r="AS9" s="162">
        <f t="shared" si="6"/>
        <v>0.48252354309882706</v>
      </c>
      <c r="AT9" s="162">
        <f t="shared" si="7"/>
        <v>1.271524419534541</v>
      </c>
      <c r="AU9" s="162">
        <f t="shared" si="8"/>
        <v>1.09788610510716</v>
      </c>
      <c r="AV9" s="162">
        <f t="shared" si="9"/>
        <v>0.48005337460906472</v>
      </c>
      <c r="AW9" s="162">
        <f t="shared" si="10"/>
        <v>0.34651897213311283</v>
      </c>
      <c r="AX9" s="162">
        <f t="shared" si="11"/>
        <v>0.30205593931739788</v>
      </c>
      <c r="AY9" s="162">
        <f t="shared" si="12"/>
        <v>-0.46093551596141091</v>
      </c>
      <c r="AZ9" s="162">
        <f t="shared" si="13"/>
        <v>-0.40484816084093433</v>
      </c>
      <c r="BA9" s="162">
        <f t="shared" si="14"/>
        <v>-0.39409566270902985</v>
      </c>
      <c r="BB9" s="162">
        <f t="shared" si="15"/>
        <v>0.17288065770573191</v>
      </c>
      <c r="BC9" s="162">
        <f t="shared" si="16"/>
        <v>0.26921722880644566</v>
      </c>
      <c r="BD9" s="162">
        <f t="shared" si="17"/>
        <v>0.10763914877025603</v>
      </c>
      <c r="BE9" s="162">
        <f t="shared" si="18"/>
        <v>4.2833551921207712E-2</v>
      </c>
      <c r="BF9" s="162">
        <f t="shared" si="19"/>
        <v>-0.15390810308688732</v>
      </c>
      <c r="BG9" s="162">
        <f t="shared" si="20"/>
        <v>-0.43579791897736303</v>
      </c>
      <c r="BH9" s="162">
        <f t="shared" si="21"/>
        <v>-0.62367602822807711</v>
      </c>
      <c r="BJ9" s="168">
        <f t="shared" si="28"/>
        <v>-0.13228202013240301</v>
      </c>
    </row>
    <row r="10" spans="1:62" x14ac:dyDescent="0.2">
      <c r="A10" s="160" t="s">
        <v>19</v>
      </c>
      <c r="B10" s="161" t="s">
        <v>749</v>
      </c>
      <c r="C10" s="161" t="s">
        <v>750</v>
      </c>
      <c r="D10" s="161"/>
      <c r="E10" s="162">
        <v>27.837</v>
      </c>
      <c r="F10" s="162">
        <v>26.452999999999999</v>
      </c>
      <c r="G10" s="162">
        <v>24.937000000000001</v>
      </c>
      <c r="H10" s="162">
        <v>27.902999999999999</v>
      </c>
      <c r="I10" s="162">
        <v>20.052</v>
      </c>
      <c r="J10" s="162">
        <v>22.713999999999999</v>
      </c>
      <c r="K10" s="162">
        <v>26.271999999999998</v>
      </c>
      <c r="L10" s="162">
        <v>26.407</v>
      </c>
      <c r="M10" s="162">
        <v>24.603000000000002</v>
      </c>
      <c r="N10" s="162">
        <v>26.841999999999999</v>
      </c>
      <c r="O10" s="162">
        <v>18.163</v>
      </c>
      <c r="P10" s="162">
        <v>17.548999999999999</v>
      </c>
      <c r="Q10" s="162">
        <v>18.178999999999998</v>
      </c>
      <c r="R10" s="162">
        <v>21.654</v>
      </c>
      <c r="S10" s="162">
        <v>21.308</v>
      </c>
      <c r="T10" s="162">
        <v>21.323</v>
      </c>
      <c r="U10" s="162">
        <v>21.315000000000001</v>
      </c>
      <c r="V10" s="162">
        <v>20.606000000000002</v>
      </c>
      <c r="W10" s="162">
        <v>19.867999999999999</v>
      </c>
      <c r="X10" s="162">
        <v>18.283000000000001</v>
      </c>
      <c r="Z10" s="163">
        <f t="shared" si="22"/>
        <v>23.54035714285714</v>
      </c>
      <c r="AA10" s="163">
        <f t="shared" si="23"/>
        <v>3.6410731072651057</v>
      </c>
      <c r="AB10" s="164">
        <f t="shared" si="0"/>
        <v>0.15467365618834369</v>
      </c>
      <c r="AC10" s="165"/>
      <c r="AD10" s="163">
        <f t="shared" si="24"/>
        <v>20.450499999999998</v>
      </c>
      <c r="AE10" s="166">
        <f t="shared" si="25"/>
        <v>-0.1312578702228695</v>
      </c>
      <c r="AF10" s="166">
        <f t="shared" si="1"/>
        <v>2.3415785965474195E-2</v>
      </c>
      <c r="AG10" s="166">
        <f t="shared" si="26"/>
        <v>-0.28593152641121322</v>
      </c>
      <c r="AH10" s="167">
        <f t="shared" si="27"/>
        <v>-0.16219260146053824</v>
      </c>
      <c r="AK10" s="160" t="s">
        <v>19</v>
      </c>
      <c r="AL10" s="161" t="s">
        <v>749</v>
      </c>
      <c r="AM10" s="161" t="s">
        <v>750</v>
      </c>
      <c r="AN10" s="161"/>
      <c r="AO10" s="162">
        <f t="shared" si="2"/>
        <v>1.1800484995947165</v>
      </c>
      <c r="AP10" s="162">
        <f t="shared" si="3"/>
        <v>0.79994077881358805</v>
      </c>
      <c r="AQ10" s="162">
        <f t="shared" si="4"/>
        <v>0.38358000951865323</v>
      </c>
      <c r="AR10" s="162">
        <f t="shared" si="5"/>
        <v>1.1981750238516198</v>
      </c>
      <c r="AS10" s="162">
        <f t="shared" si="6"/>
        <v>-0.95805742979913022</v>
      </c>
      <c r="AT10" s="162">
        <f t="shared" si="7"/>
        <v>-0.22695428477068866</v>
      </c>
      <c r="AU10" s="162">
        <f t="shared" si="8"/>
        <v>0.75023015926056458</v>
      </c>
      <c r="AV10" s="162">
        <f t="shared" si="9"/>
        <v>0.7873071406951403</v>
      </c>
      <c r="AW10" s="162">
        <f t="shared" si="10"/>
        <v>0.29184881100644461</v>
      </c>
      <c r="AX10" s="162">
        <f t="shared" si="11"/>
        <v>0.90677741420654956</v>
      </c>
      <c r="AY10" s="162">
        <f t="shared" si="12"/>
        <v>-1.4768605255762626</v>
      </c>
      <c r="AZ10" s="162">
        <f t="shared" si="13"/>
        <v>-1.6454921300268501</v>
      </c>
      <c r="BA10" s="162">
        <f t="shared" si="14"/>
        <v>-1.4724662166654985</v>
      </c>
      <c r="BB10" s="162">
        <f t="shared" si="15"/>
        <v>-0.51807725010883565</v>
      </c>
      <c r="BC10" s="162">
        <f t="shared" si="16"/>
        <v>-0.61310418030411784</v>
      </c>
      <c r="BD10" s="162">
        <f t="shared" si="17"/>
        <v>-0.6089845157002759</v>
      </c>
      <c r="BE10" s="162">
        <f t="shared" si="18"/>
        <v>-0.61118167015565794</v>
      </c>
      <c r="BF10" s="162">
        <f t="shared" si="19"/>
        <v>-0.80590448376390922</v>
      </c>
      <c r="BG10" s="162">
        <f t="shared" si="20"/>
        <v>-1.0085919822729221</v>
      </c>
      <c r="BH10" s="162">
        <f t="shared" si="21"/>
        <v>-1.4439032087455286</v>
      </c>
      <c r="BJ10" s="168">
        <f t="shared" si="28"/>
        <v>-0.84861167349040201</v>
      </c>
    </row>
    <row r="11" spans="1:62" x14ac:dyDescent="0.2">
      <c r="A11" s="160" t="s">
        <v>482</v>
      </c>
      <c r="B11" s="161" t="s">
        <v>749</v>
      </c>
      <c r="C11" s="161" t="s">
        <v>750</v>
      </c>
      <c r="D11" s="161"/>
      <c r="E11" s="162">
        <v>9.3550000000000004</v>
      </c>
      <c r="F11" s="162">
        <v>9.5589999999999993</v>
      </c>
      <c r="G11" s="162">
        <v>9.2989999999999995</v>
      </c>
      <c r="H11" s="162">
        <v>9.7929999999999993</v>
      </c>
      <c r="I11" s="162">
        <v>9.4589999999999996</v>
      </c>
      <c r="J11" s="162">
        <v>10.023999999999999</v>
      </c>
      <c r="K11" s="162">
        <v>10.362</v>
      </c>
      <c r="L11" s="162">
        <v>11.246</v>
      </c>
      <c r="M11" s="162">
        <v>11.228999999999999</v>
      </c>
      <c r="N11" s="162">
        <v>10.92</v>
      </c>
      <c r="O11" s="162">
        <v>9.7940000000000005</v>
      </c>
      <c r="P11" s="162">
        <v>10.085000000000001</v>
      </c>
      <c r="Q11" s="162">
        <v>10.220000000000001</v>
      </c>
      <c r="R11" s="162">
        <v>10.106999999999999</v>
      </c>
      <c r="S11" s="162">
        <v>10.234999999999999</v>
      </c>
      <c r="T11" s="162">
        <v>10.223000000000001</v>
      </c>
      <c r="U11" s="162">
        <v>10.135999999999999</v>
      </c>
      <c r="V11" s="162">
        <v>10.172000000000001</v>
      </c>
      <c r="W11" s="162">
        <v>10.159000000000001</v>
      </c>
      <c r="X11" s="162">
        <v>10.112</v>
      </c>
      <c r="Z11" s="163">
        <f t="shared" si="22"/>
        <v>10.103714285714286</v>
      </c>
      <c r="AA11" s="163">
        <f t="shared" si="23"/>
        <v>0.62320203426353171</v>
      </c>
      <c r="AB11" s="164">
        <f t="shared" si="0"/>
        <v>6.1680488644129769E-2</v>
      </c>
      <c r="AC11" s="165"/>
      <c r="AD11" s="163">
        <f t="shared" si="24"/>
        <v>10.172833333333333</v>
      </c>
      <c r="AE11" s="166">
        <f t="shared" si="25"/>
        <v>6.8409542930934807E-3</v>
      </c>
      <c r="AF11" s="166">
        <f t="shared" si="1"/>
        <v>6.8521442937223245E-2</v>
      </c>
      <c r="AG11" s="166">
        <f t="shared" si="26"/>
        <v>-5.4839534351036286E-2</v>
      </c>
      <c r="AH11" s="167">
        <f t="shared" si="27"/>
        <v>-5.4951434357324719E-3</v>
      </c>
      <c r="AK11" s="160" t="s">
        <v>482</v>
      </c>
      <c r="AL11" s="161" t="s">
        <v>749</v>
      </c>
      <c r="AM11" s="161" t="s">
        <v>750</v>
      </c>
      <c r="AN11" s="161"/>
      <c r="AO11" s="162">
        <f t="shared" si="2"/>
        <v>-1.2013989758539185</v>
      </c>
      <c r="AP11" s="162">
        <f t="shared" si="3"/>
        <v>-0.8740572972583478</v>
      </c>
      <c r="AQ11" s="162">
        <f t="shared" si="4"/>
        <v>-1.2912574758605477</v>
      </c>
      <c r="AR11" s="162">
        <f t="shared" si="5"/>
        <v>-0.49857713651636759</v>
      </c>
      <c r="AS11" s="162">
        <f t="shared" si="6"/>
        <v>-1.0345189044130396</v>
      </c>
      <c r="AT11" s="162">
        <f t="shared" si="7"/>
        <v>-0.12791082398902826</v>
      </c>
      <c r="AU11" s="162">
        <f t="shared" si="8"/>
        <v>0.41444940819383375</v>
      </c>
      <c r="AV11" s="162">
        <f t="shared" si="9"/>
        <v>1.8329300154413155</v>
      </c>
      <c r="AW11" s="162">
        <f t="shared" si="10"/>
        <v>1.8056515422250157</v>
      </c>
      <c r="AX11" s="162">
        <f t="shared" si="11"/>
        <v>1.3098251761170172</v>
      </c>
      <c r="AY11" s="162">
        <f t="shared" si="12"/>
        <v>-0.49697252044481871</v>
      </c>
      <c r="AZ11" s="162">
        <f t="shared" si="13"/>
        <v>-3.0029243624663107E-2</v>
      </c>
      <c r="BA11" s="162">
        <f t="shared" si="14"/>
        <v>0.18659392603417133</v>
      </c>
      <c r="BB11" s="162">
        <f t="shared" si="15"/>
        <v>5.2723099493667651E-3</v>
      </c>
      <c r="BC11" s="162">
        <f t="shared" si="16"/>
        <v>0.21066316710737326</v>
      </c>
      <c r="BD11" s="162">
        <f t="shared" si="17"/>
        <v>0.19140777424881228</v>
      </c>
      <c r="BE11" s="162">
        <f t="shared" si="18"/>
        <v>5.1806176024227435E-2</v>
      </c>
      <c r="BF11" s="162">
        <f t="shared" si="19"/>
        <v>0.1095723545999189</v>
      </c>
      <c r="BG11" s="162">
        <f t="shared" si="20"/>
        <v>8.871234566980904E-2</v>
      </c>
      <c r="BH11" s="162">
        <f t="shared" si="21"/>
        <v>1.3295390307102641E-2</v>
      </c>
      <c r="BJ11" s="168">
        <f t="shared" si="28"/>
        <v>0.11090953465954061</v>
      </c>
    </row>
    <row r="12" spans="1:62" x14ac:dyDescent="0.2">
      <c r="A12" s="160" t="s">
        <v>531</v>
      </c>
      <c r="B12" s="161" t="s">
        <v>749</v>
      </c>
      <c r="C12" s="161" t="s">
        <v>750</v>
      </c>
      <c r="D12" s="161"/>
      <c r="E12" s="162">
        <v>39.581000000000003</v>
      </c>
      <c r="F12" s="162">
        <v>40.847000000000001</v>
      </c>
      <c r="G12" s="162">
        <v>42.756999999999998</v>
      </c>
      <c r="H12" s="162">
        <v>50.761000000000003</v>
      </c>
      <c r="I12" s="162">
        <v>44.470999999999997</v>
      </c>
      <c r="J12" s="162">
        <v>40.131999999999998</v>
      </c>
      <c r="K12" s="162">
        <v>37.488999999999997</v>
      </c>
      <c r="L12" s="162">
        <v>39.252000000000002</v>
      </c>
      <c r="M12" s="162">
        <v>39.831000000000003</v>
      </c>
      <c r="N12" s="162">
        <v>38.929000000000002</v>
      </c>
      <c r="O12" s="162">
        <v>38.805999999999997</v>
      </c>
      <c r="P12" s="162">
        <v>39.024000000000001</v>
      </c>
      <c r="Q12" s="162">
        <v>38.706000000000003</v>
      </c>
      <c r="R12" s="162">
        <v>39.92</v>
      </c>
      <c r="S12" s="162">
        <v>37.564999999999998</v>
      </c>
      <c r="T12" s="162">
        <v>36.869</v>
      </c>
      <c r="U12" s="162">
        <v>36.726999999999997</v>
      </c>
      <c r="V12" s="162">
        <v>36.668999999999997</v>
      </c>
      <c r="W12" s="162">
        <v>36.652000000000001</v>
      </c>
      <c r="X12" s="162">
        <v>36.722000000000001</v>
      </c>
      <c r="Z12" s="163">
        <f t="shared" si="22"/>
        <v>40.750428571428564</v>
      </c>
      <c r="AA12" s="163">
        <f t="shared" si="23"/>
        <v>3.2570328020253938</v>
      </c>
      <c r="AB12" s="164">
        <f t="shared" si="0"/>
        <v>7.9926344733193905E-2</v>
      </c>
      <c r="AC12" s="165"/>
      <c r="AD12" s="163">
        <f t="shared" si="24"/>
        <v>36.867333333333328</v>
      </c>
      <c r="AE12" s="166">
        <f t="shared" si="25"/>
        <v>-9.5289678519302728E-2</v>
      </c>
      <c r="AF12" s="166">
        <f t="shared" si="1"/>
        <v>-1.5363333786108824E-2</v>
      </c>
      <c r="AG12" s="166">
        <f t="shared" si="26"/>
        <v>-0.17521602325249663</v>
      </c>
      <c r="AH12" s="167">
        <f t="shared" si="27"/>
        <v>-0.11127494746594149</v>
      </c>
      <c r="AK12" s="160" t="s">
        <v>531</v>
      </c>
      <c r="AL12" s="161" t="s">
        <v>749</v>
      </c>
      <c r="AM12" s="161" t="s">
        <v>750</v>
      </c>
      <c r="AN12" s="161"/>
      <c r="AO12" s="162">
        <f t="shared" si="2"/>
        <v>-0.35904721951260338</v>
      </c>
      <c r="AP12" s="162">
        <f t="shared" si="3"/>
        <v>2.965012465068936E-2</v>
      </c>
      <c r="AQ12" s="162">
        <f t="shared" si="4"/>
        <v>0.61607344799341357</v>
      </c>
      <c r="AR12" s="162">
        <f t="shared" si="5"/>
        <v>3.0735249035092127</v>
      </c>
      <c r="AS12" s="162">
        <f t="shared" si="6"/>
        <v>1.1423192994119635</v>
      </c>
      <c r="AT12" s="162">
        <f t="shared" si="7"/>
        <v>-0.18987483670535807</v>
      </c>
      <c r="AU12" s="162">
        <f t="shared" si="8"/>
        <v>-1.0013496239277786</v>
      </c>
      <c r="AV12" s="162">
        <f t="shared" si="9"/>
        <v>-0.46005940452818295</v>
      </c>
      <c r="AW12" s="162">
        <f t="shared" si="10"/>
        <v>-0.28229024001748226</v>
      </c>
      <c r="AX12" s="162">
        <f t="shared" si="11"/>
        <v>-0.55922942203587955</v>
      </c>
      <c r="AY12" s="162">
        <f t="shared" si="12"/>
        <v>-0.59699385594748056</v>
      </c>
      <c r="AZ12" s="162">
        <f t="shared" si="13"/>
        <v>-0.5300617698277339</v>
      </c>
      <c r="BA12" s="162">
        <f t="shared" si="14"/>
        <v>-0.62769664774552725</v>
      </c>
      <c r="BB12" s="162">
        <f t="shared" si="15"/>
        <v>-0.25496475531721957</v>
      </c>
      <c r="BC12" s="162">
        <f t="shared" si="16"/>
        <v>-0.97801550216126165</v>
      </c>
      <c r="BD12" s="162">
        <f t="shared" si="17"/>
        <v>-1.1917069330756782</v>
      </c>
      <c r="BE12" s="162">
        <f t="shared" si="18"/>
        <v>-1.2353048974289078</v>
      </c>
      <c r="BF12" s="162">
        <f t="shared" si="19"/>
        <v>-1.253112516671776</v>
      </c>
      <c r="BG12" s="162">
        <f t="shared" si="20"/>
        <v>-1.2583319912774429</v>
      </c>
      <c r="BH12" s="162">
        <f t="shared" si="21"/>
        <v>-1.2368400370188088</v>
      </c>
      <c r="BJ12" s="168">
        <f t="shared" si="28"/>
        <v>-1.1922186462723126</v>
      </c>
    </row>
    <row r="13" spans="1:62" x14ac:dyDescent="0.2">
      <c r="A13" s="160" t="s">
        <v>521</v>
      </c>
      <c r="B13" s="161" t="s">
        <v>749</v>
      </c>
      <c r="C13" s="161" t="s">
        <v>750</v>
      </c>
      <c r="D13" s="161"/>
      <c r="E13" s="162">
        <v>17.241</v>
      </c>
      <c r="F13" s="162">
        <v>17.576000000000001</v>
      </c>
      <c r="G13" s="162">
        <v>21.911999999999999</v>
      </c>
      <c r="H13" s="162">
        <v>19.829000000000001</v>
      </c>
      <c r="I13" s="162">
        <v>20.166</v>
      </c>
      <c r="J13" s="162">
        <v>18.861999999999998</v>
      </c>
      <c r="K13" s="162">
        <v>18.786999999999999</v>
      </c>
      <c r="L13" s="162">
        <v>19.161000000000001</v>
      </c>
      <c r="M13" s="162">
        <v>18.489000000000001</v>
      </c>
      <c r="N13" s="162">
        <v>17.184999999999999</v>
      </c>
      <c r="O13" s="162">
        <v>17.298999999999999</v>
      </c>
      <c r="P13" s="162">
        <v>15.349</v>
      </c>
      <c r="Q13" s="162">
        <v>18.61</v>
      </c>
      <c r="R13" s="162">
        <v>18.609000000000002</v>
      </c>
      <c r="S13" s="162">
        <v>19.224</v>
      </c>
      <c r="T13" s="162">
        <v>19.361999999999998</v>
      </c>
      <c r="U13" s="162">
        <v>19.48</v>
      </c>
      <c r="V13" s="162">
        <v>19.48</v>
      </c>
      <c r="W13" s="162">
        <v>19.38</v>
      </c>
      <c r="X13" s="162">
        <v>19.37</v>
      </c>
      <c r="Z13" s="163">
        <f t="shared" si="22"/>
        <v>18.505357142857143</v>
      </c>
      <c r="AA13" s="163">
        <f t="shared" si="23"/>
        <v>1.5212039220462783</v>
      </c>
      <c r="AB13" s="164">
        <f t="shared" si="0"/>
        <v>8.2203434946049966E-2</v>
      </c>
      <c r="AC13" s="165"/>
      <c r="AD13" s="163">
        <f t="shared" si="24"/>
        <v>19.382666666666669</v>
      </c>
      <c r="AE13" s="166">
        <f t="shared" si="25"/>
        <v>4.7408408118627281E-2</v>
      </c>
      <c r="AF13" s="166">
        <f t="shared" si="1"/>
        <v>0.12961184306467724</v>
      </c>
      <c r="AG13" s="166">
        <f t="shared" si="26"/>
        <v>-3.4795026827422686E-2</v>
      </c>
      <c r="AH13" s="167">
        <f t="shared" si="27"/>
        <v>3.0967721129417286E-2</v>
      </c>
      <c r="AK13" s="160" t="s">
        <v>521</v>
      </c>
      <c r="AL13" s="161" t="s">
        <v>749</v>
      </c>
      <c r="AM13" s="161" t="s">
        <v>750</v>
      </c>
      <c r="AN13" s="161"/>
      <c r="AO13" s="162">
        <f t="shared" si="2"/>
        <v>-0.83115558968344483</v>
      </c>
      <c r="AP13" s="162">
        <f t="shared" si="3"/>
        <v>-0.61093527921424162</v>
      </c>
      <c r="AQ13" s="162">
        <f t="shared" si="4"/>
        <v>2.2394386497244505</v>
      </c>
      <c r="AR13" s="162">
        <f t="shared" si="5"/>
        <v>0.87012848044878333</v>
      </c>
      <c r="AS13" s="162">
        <f t="shared" si="6"/>
        <v>1.0916635390401899</v>
      </c>
      <c r="AT13" s="162">
        <f t="shared" si="7"/>
        <v>0.23444776336305384</v>
      </c>
      <c r="AU13" s="162">
        <f t="shared" si="8"/>
        <v>0.18514470878039702</v>
      </c>
      <c r="AV13" s="162">
        <f t="shared" si="9"/>
        <v>0.43100260763258291</v>
      </c>
      <c r="AW13" s="162">
        <f t="shared" si="10"/>
        <v>-1.0752761428026789E-2</v>
      </c>
      <c r="AX13" s="162">
        <f t="shared" si="11"/>
        <v>-0.86796853710516286</v>
      </c>
      <c r="AY13" s="162">
        <f t="shared" si="12"/>
        <v>-0.79302789413952324</v>
      </c>
      <c r="AZ13" s="162">
        <f t="shared" si="13"/>
        <v>-2.0749073132886124</v>
      </c>
      <c r="BA13" s="162">
        <f t="shared" si="14"/>
        <v>6.8789499965326087E-2</v>
      </c>
      <c r="BB13" s="162">
        <f t="shared" si="15"/>
        <v>6.813212590422553E-2</v>
      </c>
      <c r="BC13" s="162">
        <f t="shared" si="16"/>
        <v>0.47241717348201423</v>
      </c>
      <c r="BD13" s="162">
        <f t="shared" si="17"/>
        <v>0.56313479391410237</v>
      </c>
      <c r="BE13" s="162">
        <f t="shared" si="18"/>
        <v>0.64070493312415122</v>
      </c>
      <c r="BF13" s="162">
        <f t="shared" si="19"/>
        <v>0.64070493312415122</v>
      </c>
      <c r="BG13" s="162">
        <f t="shared" si="20"/>
        <v>0.5749675270139406</v>
      </c>
      <c r="BH13" s="162">
        <f t="shared" si="21"/>
        <v>0.56839378640292093</v>
      </c>
      <c r="BJ13" s="168">
        <f t="shared" si="28"/>
        <v>0.57672052451021349</v>
      </c>
    </row>
    <row r="14" spans="1:62" x14ac:dyDescent="0.2">
      <c r="A14" s="160" t="s">
        <v>515</v>
      </c>
      <c r="B14" s="161" t="s">
        <v>749</v>
      </c>
      <c r="C14" s="161" t="s">
        <v>750</v>
      </c>
      <c r="D14" s="161"/>
      <c r="E14" s="162">
        <v>17.234000000000002</v>
      </c>
      <c r="F14" s="162">
        <v>40.853999999999999</v>
      </c>
      <c r="G14" s="162">
        <v>20.045999999999999</v>
      </c>
      <c r="H14" s="162">
        <v>16.829000000000001</v>
      </c>
      <c r="I14" s="162">
        <v>19.523</v>
      </c>
      <c r="J14" s="162">
        <v>19.791</v>
      </c>
      <c r="K14" s="162">
        <v>20.696000000000002</v>
      </c>
      <c r="L14" s="162">
        <v>22.393000000000001</v>
      </c>
      <c r="M14" s="162">
        <v>24.417999999999999</v>
      </c>
      <c r="N14" s="162">
        <v>21.588000000000001</v>
      </c>
      <c r="O14" s="162">
        <v>20.736999999999998</v>
      </c>
      <c r="P14" s="162">
        <v>21.847000000000001</v>
      </c>
      <c r="Q14" s="162">
        <v>22.074000000000002</v>
      </c>
      <c r="R14" s="162">
        <v>22.8</v>
      </c>
      <c r="S14" s="162">
        <v>22.756</v>
      </c>
      <c r="T14" s="162">
        <v>23.001999999999999</v>
      </c>
      <c r="U14" s="162">
        <v>23.280999999999999</v>
      </c>
      <c r="V14" s="162">
        <v>23.648</v>
      </c>
      <c r="W14" s="162">
        <v>23.658000000000001</v>
      </c>
      <c r="X14" s="162">
        <v>23.693999999999999</v>
      </c>
      <c r="Z14" s="163">
        <f t="shared" si="22"/>
        <v>22.202142857142857</v>
      </c>
      <c r="AA14" s="163">
        <f t="shared" si="23"/>
        <v>5.5376888017751771</v>
      </c>
      <c r="AB14" s="164">
        <f t="shared" si="0"/>
        <v>0.24942136609996615</v>
      </c>
      <c r="AC14" s="165"/>
      <c r="AD14" s="163">
        <f t="shared" si="24"/>
        <v>23.339833333333331</v>
      </c>
      <c r="AE14" s="166">
        <f t="shared" si="25"/>
        <v>5.1242372572359959E-2</v>
      </c>
      <c r="AF14" s="166">
        <f t="shared" si="1"/>
        <v>0.3006637386723261</v>
      </c>
      <c r="AG14" s="166">
        <f t="shared" si="26"/>
        <v>-0.19817899352760621</v>
      </c>
      <c r="AH14" s="167">
        <f t="shared" si="27"/>
        <v>1.3580993523667276E-3</v>
      </c>
      <c r="AK14" s="160" t="s">
        <v>515</v>
      </c>
      <c r="AL14" s="161" t="s">
        <v>749</v>
      </c>
      <c r="AM14" s="161" t="s">
        <v>750</v>
      </c>
      <c r="AN14" s="161"/>
      <c r="AO14" s="162">
        <f t="shared" si="2"/>
        <v>-0.89715096585966569</v>
      </c>
      <c r="AP14" s="162">
        <f t="shared" si="3"/>
        <v>3.3681663615474475</v>
      </c>
      <c r="AQ14" s="162">
        <f t="shared" si="4"/>
        <v>-0.3893578953825787</v>
      </c>
      <c r="AR14" s="162">
        <f t="shared" si="5"/>
        <v>-0.97028616982240423</v>
      </c>
      <c r="AS14" s="162">
        <f t="shared" si="6"/>
        <v>-0.48380162790730014</v>
      </c>
      <c r="AT14" s="162">
        <f t="shared" si="7"/>
        <v>-0.43540598676652492</v>
      </c>
      <c r="AU14" s="162">
        <f t="shared" si="8"/>
        <v>-0.27198040754114633</v>
      </c>
      <c r="AV14" s="162">
        <f t="shared" si="9"/>
        <v>3.4465126100253679E-2</v>
      </c>
      <c r="AW14" s="162">
        <f t="shared" si="10"/>
        <v>0.40014114591394545</v>
      </c>
      <c r="AX14" s="162">
        <f t="shared" si="11"/>
        <v>-0.11090237807259667</v>
      </c>
      <c r="AY14" s="162">
        <f t="shared" si="12"/>
        <v>-0.26457659676961043</v>
      </c>
      <c r="AZ14" s="162">
        <f t="shared" si="13"/>
        <v>-6.4131963686549096E-2</v>
      </c>
      <c r="BA14" s="162">
        <f t="shared" si="14"/>
        <v>-2.3140133317310473E-2</v>
      </c>
      <c r="BB14" s="162">
        <f t="shared" si="15"/>
        <v>0.10796149156404264</v>
      </c>
      <c r="BC14" s="162">
        <f t="shared" si="16"/>
        <v>0.10001593854093023</v>
      </c>
      <c r="BD14" s="162">
        <f t="shared" si="17"/>
        <v>0.14443880317014887</v>
      </c>
      <c r="BE14" s="162">
        <f t="shared" si="18"/>
        <v>0.19482083256670199</v>
      </c>
      <c r="BF14" s="162">
        <f t="shared" si="19"/>
        <v>0.26109396800947993</v>
      </c>
      <c r="BG14" s="162">
        <f t="shared" si="20"/>
        <v>0.26289977551473298</v>
      </c>
      <c r="BH14" s="162">
        <f t="shared" si="21"/>
        <v>0.26940068253364269</v>
      </c>
      <c r="BJ14" s="168">
        <f t="shared" si="28"/>
        <v>0.20544500005593944</v>
      </c>
    </row>
    <row r="15" spans="1:62" x14ac:dyDescent="0.2">
      <c r="A15" s="160" t="s">
        <v>481</v>
      </c>
      <c r="B15" s="161" t="s">
        <v>749</v>
      </c>
      <c r="C15" s="161" t="s">
        <v>750</v>
      </c>
      <c r="D15" s="161"/>
      <c r="E15" s="162">
        <v>22.587</v>
      </c>
      <c r="F15" s="162">
        <v>26.55</v>
      </c>
      <c r="G15" s="162">
        <v>36.454999999999998</v>
      </c>
      <c r="H15" s="162">
        <v>38.457999999999998</v>
      </c>
      <c r="I15" s="162">
        <v>32.843000000000004</v>
      </c>
      <c r="J15" s="162">
        <v>37.207000000000001</v>
      </c>
      <c r="K15" s="162">
        <v>38.695999999999998</v>
      </c>
      <c r="L15" s="162">
        <v>33.75</v>
      </c>
      <c r="M15" s="162">
        <v>31.350999999999999</v>
      </c>
      <c r="N15" s="162">
        <v>28.143000000000001</v>
      </c>
      <c r="O15" s="162">
        <v>21.866</v>
      </c>
      <c r="P15" s="162">
        <v>14.968</v>
      </c>
      <c r="Q15" s="162">
        <v>14.023999999999999</v>
      </c>
      <c r="R15" s="162">
        <v>13.715</v>
      </c>
      <c r="S15" s="162">
        <v>13.637</v>
      </c>
      <c r="T15" s="162">
        <v>13.52</v>
      </c>
      <c r="U15" s="162">
        <v>13.372999999999999</v>
      </c>
      <c r="V15" s="162">
        <v>13.706</v>
      </c>
      <c r="W15" s="162">
        <v>13.680999999999999</v>
      </c>
      <c r="X15" s="162">
        <v>13.664999999999999</v>
      </c>
      <c r="Z15" s="163">
        <f t="shared" si="22"/>
        <v>27.900928571428569</v>
      </c>
      <c r="AA15" s="163">
        <f t="shared" si="23"/>
        <v>8.807104643932874</v>
      </c>
      <c r="AB15" s="164">
        <f t="shared" si="0"/>
        <v>0.31565632740093197</v>
      </c>
      <c r="AC15" s="165"/>
      <c r="AD15" s="163">
        <f t="shared" si="24"/>
        <v>13.597</v>
      </c>
      <c r="AE15" s="166">
        <f t="shared" si="25"/>
        <v>-0.51266854917783067</v>
      </c>
      <c r="AF15" s="166">
        <f t="shared" si="1"/>
        <v>-0.1970122217768987</v>
      </c>
      <c r="AG15" s="166">
        <f t="shared" si="26"/>
        <v>-0.82832487657876264</v>
      </c>
      <c r="AH15" s="167">
        <f t="shared" si="27"/>
        <v>-0.575799814658017</v>
      </c>
      <c r="AK15" s="160" t="s">
        <v>481</v>
      </c>
      <c r="AL15" s="161" t="s">
        <v>749</v>
      </c>
      <c r="AM15" s="161" t="s">
        <v>750</v>
      </c>
      <c r="AN15" s="161"/>
      <c r="AO15" s="162">
        <f t="shared" si="2"/>
        <v>-0.60336839248177676</v>
      </c>
      <c r="AP15" s="162">
        <f t="shared" si="3"/>
        <v>-0.15339077097933759</v>
      </c>
      <c r="AQ15" s="162">
        <f t="shared" si="4"/>
        <v>0.97126942104227676</v>
      </c>
      <c r="AR15" s="162">
        <f t="shared" si="5"/>
        <v>1.1986994427100501</v>
      </c>
      <c r="AS15" s="162">
        <f t="shared" si="6"/>
        <v>0.56114598706125041</v>
      </c>
      <c r="AT15" s="162">
        <f t="shared" si="7"/>
        <v>1.0566550307747611</v>
      </c>
      <c r="AU15" s="162">
        <f t="shared" si="8"/>
        <v>1.2257230798328309</v>
      </c>
      <c r="AV15" s="162">
        <f t="shared" si="9"/>
        <v>0.66413102433167948</v>
      </c>
      <c r="AW15" s="162">
        <f t="shared" si="10"/>
        <v>0.39173730392180023</v>
      </c>
      <c r="AX15" s="162">
        <f t="shared" si="11"/>
        <v>2.7485926233224947E-2</v>
      </c>
      <c r="AY15" s="162">
        <f t="shared" si="12"/>
        <v>-0.68523411670667167</v>
      </c>
      <c r="AZ15" s="162">
        <f t="shared" si="13"/>
        <v>-1.4684654144921434</v>
      </c>
      <c r="BA15" s="162">
        <f t="shared" si="14"/>
        <v>-1.5756516054329213</v>
      </c>
      <c r="BB15" s="162">
        <f t="shared" si="15"/>
        <v>-1.6107369158150191</v>
      </c>
      <c r="BC15" s="162">
        <f t="shared" si="16"/>
        <v>-1.6195934019308884</v>
      </c>
      <c r="BD15" s="162">
        <f t="shared" si="17"/>
        <v>-1.6328781311046925</v>
      </c>
      <c r="BE15" s="162">
        <f t="shared" si="18"/>
        <v>-1.6495692010922924</v>
      </c>
      <c r="BF15" s="162">
        <f t="shared" si="19"/>
        <v>-1.6117588180591578</v>
      </c>
      <c r="BG15" s="162">
        <f t="shared" si="20"/>
        <v>-1.6145974354039878</v>
      </c>
      <c r="BH15" s="162">
        <f t="shared" si="21"/>
        <v>-1.616414150504679</v>
      </c>
      <c r="BJ15" s="168">
        <f t="shared" si="28"/>
        <v>-1.6241351896826164</v>
      </c>
    </row>
    <row r="16" spans="1:62" x14ac:dyDescent="0.2">
      <c r="A16" s="160" t="s">
        <v>505</v>
      </c>
      <c r="B16" s="161" t="s">
        <v>749</v>
      </c>
      <c r="C16" s="161" t="s">
        <v>750</v>
      </c>
      <c r="D16" s="161"/>
      <c r="E16" s="162">
        <v>27.544</v>
      </c>
      <c r="F16" s="162">
        <v>28.277000000000001</v>
      </c>
      <c r="G16" s="162">
        <v>28.562000000000001</v>
      </c>
      <c r="H16" s="162">
        <v>28.7</v>
      </c>
      <c r="I16" s="162">
        <v>27.614000000000001</v>
      </c>
      <c r="J16" s="162">
        <v>28.635000000000002</v>
      </c>
      <c r="K16" s="162">
        <v>25.632000000000001</v>
      </c>
      <c r="L16" s="162">
        <v>24.402000000000001</v>
      </c>
      <c r="M16" s="162">
        <v>24.535</v>
      </c>
      <c r="N16" s="162">
        <v>22.875</v>
      </c>
      <c r="O16" s="162">
        <v>26.891999999999999</v>
      </c>
      <c r="P16" s="162">
        <v>26.605</v>
      </c>
      <c r="Q16" s="162">
        <v>28.484999999999999</v>
      </c>
      <c r="R16" s="162">
        <v>28.245000000000001</v>
      </c>
      <c r="S16" s="162">
        <v>31.187999999999999</v>
      </c>
      <c r="T16" s="162">
        <v>28.445</v>
      </c>
      <c r="U16" s="162">
        <v>27.928000000000001</v>
      </c>
      <c r="V16" s="162">
        <v>28.280999999999999</v>
      </c>
      <c r="W16" s="162">
        <v>28.436</v>
      </c>
      <c r="X16" s="162">
        <v>28.596</v>
      </c>
      <c r="Z16" s="163">
        <f t="shared" si="22"/>
        <v>26.928785714285713</v>
      </c>
      <c r="AA16" s="163">
        <f t="shared" si="23"/>
        <v>1.8101212737024568</v>
      </c>
      <c r="AB16" s="164">
        <f t="shared" si="0"/>
        <v>6.7218822746329329E-2</v>
      </c>
      <c r="AC16" s="165"/>
      <c r="AD16" s="163">
        <f t="shared" si="24"/>
        <v>28.812333333333331</v>
      </c>
      <c r="AE16" s="166">
        <f t="shared" si="25"/>
        <v>6.9945508833263031E-2</v>
      </c>
      <c r="AF16" s="166">
        <f t="shared" si="1"/>
        <v>0.13716433157959235</v>
      </c>
      <c r="AG16" s="166">
        <f t="shared" si="26"/>
        <v>2.7266860869337023E-3</v>
      </c>
      <c r="AH16" s="167">
        <f t="shared" si="27"/>
        <v>5.6501744283997166E-2</v>
      </c>
      <c r="AK16" s="160" t="s">
        <v>505</v>
      </c>
      <c r="AL16" s="161" t="s">
        <v>749</v>
      </c>
      <c r="AM16" s="161" t="s">
        <v>750</v>
      </c>
      <c r="AN16" s="161"/>
      <c r="AO16" s="162">
        <f t="shared" si="2"/>
        <v>0.33987462312727623</v>
      </c>
      <c r="AP16" s="162">
        <f t="shared" si="3"/>
        <v>0.74481986665822941</v>
      </c>
      <c r="AQ16" s="162">
        <f t="shared" si="4"/>
        <v>0.90226788085512111</v>
      </c>
      <c r="AR16" s="162">
        <f t="shared" si="5"/>
        <v>0.97850586667677286</v>
      </c>
      <c r="AS16" s="162">
        <f t="shared" si="6"/>
        <v>0.37854606521072343</v>
      </c>
      <c r="AT16" s="162">
        <f t="shared" si="7"/>
        <v>0.94259667045643047</v>
      </c>
      <c r="AU16" s="162">
        <f t="shared" si="8"/>
        <v>-0.71640819492344898</v>
      </c>
      <c r="AV16" s="162">
        <f t="shared" si="9"/>
        <v>-1.3959206772468762</v>
      </c>
      <c r="AW16" s="162">
        <f t="shared" si="10"/>
        <v>-1.3224449372883273</v>
      </c>
      <c r="AX16" s="162">
        <f t="shared" si="11"/>
        <v>-2.2395105638386434</v>
      </c>
      <c r="AY16" s="162">
        <f t="shared" si="12"/>
        <v>-2.032223742140277E-2</v>
      </c>
      <c r="AZ16" s="162">
        <f t="shared" si="13"/>
        <v>-0.17887514996353523</v>
      </c>
      <c r="BA16" s="162">
        <f t="shared" si="14"/>
        <v>0.85972929456332836</v>
      </c>
      <c r="BB16" s="162">
        <f t="shared" si="15"/>
        <v>0.72714149313436793</v>
      </c>
      <c r="BC16" s="162">
        <f t="shared" si="16"/>
        <v>2.3529994081570056</v>
      </c>
      <c r="BD16" s="162">
        <f t="shared" si="17"/>
        <v>0.83763132765850201</v>
      </c>
      <c r="BE16" s="162">
        <f t="shared" si="18"/>
        <v>0.55201510541361465</v>
      </c>
      <c r="BF16" s="162">
        <f t="shared" si="19"/>
        <v>0.7470296633487109</v>
      </c>
      <c r="BG16" s="162">
        <f t="shared" si="20"/>
        <v>0.83265928510491571</v>
      </c>
      <c r="BH16" s="162">
        <f t="shared" si="21"/>
        <v>0.92105115272422344</v>
      </c>
      <c r="BJ16" s="168">
        <f t="shared" si="28"/>
        <v>1.0405643237344955</v>
      </c>
    </row>
    <row r="17" spans="1:62" x14ac:dyDescent="0.2">
      <c r="A17" s="160" t="s">
        <v>488</v>
      </c>
      <c r="B17" s="161" t="s">
        <v>749</v>
      </c>
      <c r="C17" s="161" t="s">
        <v>750</v>
      </c>
      <c r="D17" s="161"/>
      <c r="E17" s="162">
        <v>16.797999999999998</v>
      </c>
      <c r="F17" s="162">
        <v>43.948999999999998</v>
      </c>
      <c r="G17" s="162">
        <v>18.523</v>
      </c>
      <c r="H17" s="162">
        <v>18.722000000000001</v>
      </c>
      <c r="I17" s="162">
        <v>15.677</v>
      </c>
      <c r="J17" s="162">
        <v>14.983000000000001</v>
      </c>
      <c r="K17" s="162">
        <v>16.254999999999999</v>
      </c>
      <c r="L17" s="162">
        <v>16.326000000000001</v>
      </c>
      <c r="M17" s="162">
        <v>16.317</v>
      </c>
      <c r="N17" s="162">
        <v>16.611999999999998</v>
      </c>
      <c r="O17" s="162">
        <v>16.478999999999999</v>
      </c>
      <c r="P17" s="162">
        <v>14.816000000000001</v>
      </c>
      <c r="Q17" s="162">
        <v>14.954000000000001</v>
      </c>
      <c r="R17" s="162">
        <v>15.782</v>
      </c>
      <c r="S17" s="162">
        <v>15.824999999999999</v>
      </c>
      <c r="T17" s="162">
        <v>15.863</v>
      </c>
      <c r="U17" s="162">
        <v>15.837999999999999</v>
      </c>
      <c r="V17" s="162">
        <v>15.856999999999999</v>
      </c>
      <c r="W17" s="162">
        <v>15.858000000000001</v>
      </c>
      <c r="X17" s="162">
        <v>15.925000000000001</v>
      </c>
      <c r="Z17" s="163">
        <f t="shared" si="22"/>
        <v>18.299499999999998</v>
      </c>
      <c r="AA17" s="163">
        <f t="shared" si="23"/>
        <v>7.2016283054598178</v>
      </c>
      <c r="AB17" s="164">
        <f t="shared" si="0"/>
        <v>0.39354235391457792</v>
      </c>
      <c r="AC17" s="165"/>
      <c r="AD17" s="163">
        <f t="shared" si="24"/>
        <v>15.860999999999999</v>
      </c>
      <c r="AE17" s="166">
        <f t="shared" si="25"/>
        <v>-0.13325500696740347</v>
      </c>
      <c r="AF17" s="166">
        <f t="shared" si="1"/>
        <v>0.26028734694717448</v>
      </c>
      <c r="AG17" s="166">
        <f t="shared" si="26"/>
        <v>-0.52679736088198137</v>
      </c>
      <c r="AH17" s="167">
        <f t="shared" si="27"/>
        <v>-0.21196347775031904</v>
      </c>
      <c r="AK17" s="160" t="s">
        <v>488</v>
      </c>
      <c r="AL17" s="161" t="s">
        <v>749</v>
      </c>
      <c r="AM17" s="161" t="s">
        <v>750</v>
      </c>
      <c r="AN17" s="161"/>
      <c r="AO17" s="162">
        <f t="shared" si="2"/>
        <v>-0.2084945148948687</v>
      </c>
      <c r="AP17" s="162">
        <f t="shared" si="3"/>
        <v>3.5616250814491739</v>
      </c>
      <c r="AQ17" s="162">
        <f t="shared" si="4"/>
        <v>3.103464807126436E-2</v>
      </c>
      <c r="AR17" s="162">
        <f t="shared" si="5"/>
        <v>5.8667287740980782E-2</v>
      </c>
      <c r="AS17" s="162">
        <f t="shared" si="6"/>
        <v>-0.36415375645141052</v>
      </c>
      <c r="AT17" s="162">
        <f t="shared" si="7"/>
        <v>-0.46052085158097339</v>
      </c>
      <c r="AU17" s="162">
        <f t="shared" si="8"/>
        <v>-0.28389412967203392</v>
      </c>
      <c r="AV17" s="162">
        <f t="shared" si="9"/>
        <v>-0.27403524818183345</v>
      </c>
      <c r="AW17" s="162">
        <f t="shared" si="10"/>
        <v>-0.2752849655538307</v>
      </c>
      <c r="AX17" s="162">
        <f t="shared" si="11"/>
        <v>-0.2343220072494778</v>
      </c>
      <c r="AY17" s="162">
        <f t="shared" si="12"/>
        <v>-0.25279005285788098</v>
      </c>
      <c r="AZ17" s="162">
        <f t="shared" si="13"/>
        <v>-0.48371005170581061</v>
      </c>
      <c r="BA17" s="162">
        <f t="shared" si="14"/>
        <v>-0.46454771866851996</v>
      </c>
      <c r="BB17" s="162">
        <f t="shared" si="15"/>
        <v>-0.3495737204447763</v>
      </c>
      <c r="BC17" s="162">
        <f t="shared" si="16"/>
        <v>-0.34360284855634526</v>
      </c>
      <c r="BD17" s="162">
        <f t="shared" si="17"/>
        <v>-0.33832626409680144</v>
      </c>
      <c r="BE17" s="162">
        <f t="shared" si="18"/>
        <v>-0.34179770124123815</v>
      </c>
      <c r="BF17" s="162">
        <f t="shared" si="19"/>
        <v>-0.33915940901146624</v>
      </c>
      <c r="BG17" s="162">
        <f t="shared" si="20"/>
        <v>-0.33902055152568861</v>
      </c>
      <c r="BH17" s="162">
        <f t="shared" si="21"/>
        <v>-0.32971709997859822</v>
      </c>
      <c r="BJ17" s="168">
        <f t="shared" si="28"/>
        <v>-0.33860397906835632</v>
      </c>
    </row>
    <row r="18" spans="1:62" x14ac:dyDescent="0.2">
      <c r="A18" s="160" t="s">
        <v>500</v>
      </c>
      <c r="B18" s="161" t="s">
        <v>749</v>
      </c>
      <c r="C18" s="161" t="s">
        <v>750</v>
      </c>
      <c r="D18" s="161"/>
      <c r="E18" s="162">
        <v>19.925999999999998</v>
      </c>
      <c r="F18" s="162">
        <v>18.678999999999998</v>
      </c>
      <c r="G18" s="162">
        <v>20.311</v>
      </c>
      <c r="H18" s="162">
        <v>23.507000000000001</v>
      </c>
      <c r="I18" s="162">
        <v>23.623000000000001</v>
      </c>
      <c r="J18" s="162">
        <v>29.164999999999999</v>
      </c>
      <c r="K18" s="162">
        <v>23.564</v>
      </c>
      <c r="L18" s="162">
        <v>28.664000000000001</v>
      </c>
      <c r="M18" s="162">
        <v>42.968000000000004</v>
      </c>
      <c r="N18" s="162">
        <v>23.798999999999999</v>
      </c>
      <c r="O18" s="162">
        <v>31.911999999999999</v>
      </c>
      <c r="P18" s="162">
        <v>23.475000000000001</v>
      </c>
      <c r="Q18" s="162">
        <v>28.614999999999998</v>
      </c>
      <c r="R18" s="162">
        <v>28.347999999999999</v>
      </c>
      <c r="S18" s="162">
        <v>28.507000000000001</v>
      </c>
      <c r="T18" s="162">
        <v>28.545999999999999</v>
      </c>
      <c r="U18" s="162">
        <v>28.552</v>
      </c>
      <c r="V18" s="162">
        <v>28.536000000000001</v>
      </c>
      <c r="W18" s="162">
        <v>28.637</v>
      </c>
      <c r="X18" s="162">
        <v>28.684999999999999</v>
      </c>
      <c r="Z18" s="163">
        <f t="shared" si="22"/>
        <v>26.182571428571435</v>
      </c>
      <c r="AA18" s="163">
        <f t="shared" si="23"/>
        <v>5.9984408892678251</v>
      </c>
      <c r="AB18" s="164">
        <f t="shared" si="0"/>
        <v>0.22910052611265272</v>
      </c>
      <c r="AC18" s="165"/>
      <c r="AD18" s="163">
        <f t="shared" si="24"/>
        <v>28.577166666666667</v>
      </c>
      <c r="AE18" s="166">
        <f t="shared" si="25"/>
        <v>9.1457603567621948E-2</v>
      </c>
      <c r="AF18" s="166">
        <f t="shared" si="1"/>
        <v>0.32055812968027464</v>
      </c>
      <c r="AG18" s="166">
        <f t="shared" si="26"/>
        <v>-0.13764292254503077</v>
      </c>
      <c r="AH18" s="167">
        <f t="shared" si="27"/>
        <v>4.5637498345091405E-2</v>
      </c>
      <c r="AK18" s="160" t="s">
        <v>500</v>
      </c>
      <c r="AL18" s="161" t="s">
        <v>749</v>
      </c>
      <c r="AM18" s="161" t="s">
        <v>750</v>
      </c>
      <c r="AN18" s="161"/>
      <c r="AO18" s="162">
        <f t="shared" si="2"/>
        <v>-1.0430329387367057</v>
      </c>
      <c r="AP18" s="162">
        <f t="shared" si="3"/>
        <v>-1.2509202919706239</v>
      </c>
      <c r="AQ18" s="162">
        <f t="shared" si="4"/>
        <v>-0.97884959391308168</v>
      </c>
      <c r="AR18" s="162">
        <f t="shared" si="5"/>
        <v>-0.44604447688372845</v>
      </c>
      <c r="AS18" s="162">
        <f t="shared" si="6"/>
        <v>-0.42670611844336404</v>
      </c>
      <c r="AT18" s="162">
        <f t="shared" si="7"/>
        <v>0.49720062704370527</v>
      </c>
      <c r="AU18" s="162">
        <f t="shared" si="8"/>
        <v>-0.43654200765010132</v>
      </c>
      <c r="AV18" s="162">
        <f t="shared" si="9"/>
        <v>0.4136789237797176</v>
      </c>
      <c r="AW18" s="162">
        <f t="shared" si="10"/>
        <v>2.7982985714605269</v>
      </c>
      <c r="AX18" s="162">
        <f t="shared" si="11"/>
        <v>-0.3973651608097078</v>
      </c>
      <c r="AY18" s="162">
        <f t="shared" si="12"/>
        <v>0.95515296010992323</v>
      </c>
      <c r="AZ18" s="162">
        <f t="shared" si="13"/>
        <v>-0.45137919645348418</v>
      </c>
      <c r="BA18" s="162">
        <f t="shared" si="14"/>
        <v>0.40551013443852862</v>
      </c>
      <c r="BB18" s="162">
        <f t="shared" si="15"/>
        <v>0.36099856802837937</v>
      </c>
      <c r="BC18" s="162">
        <f t="shared" si="16"/>
        <v>0.38750545589060353</v>
      </c>
      <c r="BD18" s="162">
        <f t="shared" si="17"/>
        <v>0.39400714536624298</v>
      </c>
      <c r="BE18" s="162">
        <f t="shared" si="18"/>
        <v>0.39500740528557221</v>
      </c>
      <c r="BF18" s="162">
        <f t="shared" si="19"/>
        <v>0.39234004550069468</v>
      </c>
      <c r="BG18" s="162">
        <f t="shared" si="20"/>
        <v>0.40917775414273599</v>
      </c>
      <c r="BH18" s="162">
        <f t="shared" si="21"/>
        <v>0.41717983349736931</v>
      </c>
      <c r="BJ18" s="168">
        <f t="shared" si="28"/>
        <v>0.39920293994720307</v>
      </c>
    </row>
    <row r="19" spans="1:62" x14ac:dyDescent="0.2">
      <c r="A19" s="160" t="s">
        <v>512</v>
      </c>
      <c r="B19" s="161" t="s">
        <v>749</v>
      </c>
      <c r="C19" s="161" t="s">
        <v>750</v>
      </c>
      <c r="D19" s="161"/>
      <c r="E19" s="162">
        <v>35.173999999999999</v>
      </c>
      <c r="F19" s="162">
        <v>33.884</v>
      </c>
      <c r="G19" s="162">
        <v>34.682000000000002</v>
      </c>
      <c r="H19" s="162">
        <v>41.366999999999997</v>
      </c>
      <c r="I19" s="162">
        <v>38.097000000000001</v>
      </c>
      <c r="J19" s="162">
        <v>35.939</v>
      </c>
      <c r="K19" s="162">
        <v>33.837000000000003</v>
      </c>
      <c r="L19" s="162">
        <v>34.323999999999998</v>
      </c>
      <c r="M19" s="162">
        <v>31.702000000000002</v>
      </c>
      <c r="N19" s="162">
        <v>30.942</v>
      </c>
      <c r="O19" s="162">
        <v>37.219000000000001</v>
      </c>
      <c r="P19" s="162">
        <v>33.595999999999997</v>
      </c>
      <c r="Q19" s="162">
        <v>32.201000000000001</v>
      </c>
      <c r="R19" s="162">
        <v>30.158999999999999</v>
      </c>
      <c r="S19" s="162">
        <v>28.895</v>
      </c>
      <c r="T19" s="162">
        <v>28.195</v>
      </c>
      <c r="U19" s="162">
        <v>27.626000000000001</v>
      </c>
      <c r="V19" s="162">
        <v>27.123000000000001</v>
      </c>
      <c r="W19" s="162">
        <v>26.686</v>
      </c>
      <c r="X19" s="162">
        <v>26.286999999999999</v>
      </c>
      <c r="Z19" s="163">
        <f t="shared" si="22"/>
        <v>34.508785714285715</v>
      </c>
      <c r="AA19" s="163">
        <f t="shared" si="23"/>
        <v>2.8825728383455198</v>
      </c>
      <c r="AB19" s="164">
        <f t="shared" si="0"/>
        <v>8.353156388091082E-2</v>
      </c>
      <c r="AC19" s="165"/>
      <c r="AD19" s="163">
        <f t="shared" si="24"/>
        <v>27.468666666666667</v>
      </c>
      <c r="AE19" s="166">
        <f t="shared" si="25"/>
        <v>-0.20400946894821123</v>
      </c>
      <c r="AF19" s="166">
        <f t="shared" si="1"/>
        <v>-0.12047790506730041</v>
      </c>
      <c r="AG19" s="166">
        <f t="shared" si="26"/>
        <v>-0.28754103282912202</v>
      </c>
      <c r="AH19" s="167">
        <f t="shared" si="27"/>
        <v>-0.22071578172439338</v>
      </c>
      <c r="AK19" s="160" t="s">
        <v>512</v>
      </c>
      <c r="AL19" s="161" t="s">
        <v>749</v>
      </c>
      <c r="AM19" s="161" t="s">
        <v>750</v>
      </c>
      <c r="AN19" s="161"/>
      <c r="AO19" s="162">
        <f t="shared" si="2"/>
        <v>0.23077102401897706</v>
      </c>
      <c r="AP19" s="162">
        <f t="shared" si="3"/>
        <v>-0.21674585494405615</v>
      </c>
      <c r="AQ19" s="162">
        <f t="shared" si="4"/>
        <v>6.0090167856332657E-2</v>
      </c>
      <c r="AR19" s="162">
        <f t="shared" si="5"/>
        <v>2.3791989553508111</v>
      </c>
      <c r="AS19" s="162">
        <f t="shared" si="6"/>
        <v>1.2447957040259134</v>
      </c>
      <c r="AT19" s="162">
        <f t="shared" si="7"/>
        <v>0.49615894061333438</v>
      </c>
      <c r="AU19" s="162">
        <f t="shared" si="8"/>
        <v>-0.23305073347991759</v>
      </c>
      <c r="AV19" s="162">
        <f t="shared" si="9"/>
        <v>-6.4104438863642407E-2</v>
      </c>
      <c r="AW19" s="162">
        <f t="shared" si="10"/>
        <v>-0.97370851377920231</v>
      </c>
      <c r="AX19" s="162">
        <f t="shared" si="11"/>
        <v>-1.2373618688271917</v>
      </c>
      <c r="AY19" s="162">
        <f t="shared" si="12"/>
        <v>0.94020669648363164</v>
      </c>
      <c r="AZ19" s="162">
        <f t="shared" si="13"/>
        <v>-0.31665660001487428</v>
      </c>
      <c r="BA19" s="162">
        <f t="shared" si="14"/>
        <v>-0.80059927145164167</v>
      </c>
      <c r="BB19" s="162">
        <f t="shared" si="15"/>
        <v>-1.5089942069884752</v>
      </c>
      <c r="BC19" s="162">
        <f t="shared" si="16"/>
        <v>-1.9474913659103932</v>
      </c>
      <c r="BD19" s="162">
        <f t="shared" si="17"/>
        <v>-2.1903299824019613</v>
      </c>
      <c r="BE19" s="162">
        <f t="shared" si="18"/>
        <v>-2.3877230863786791</v>
      </c>
      <c r="BF19" s="162">
        <f t="shared" si="19"/>
        <v>-2.5622199779433346</v>
      </c>
      <c r="BG19" s="162">
        <f t="shared" si="20"/>
        <v>-2.7138206570959285</v>
      </c>
      <c r="BH19" s="162">
        <f t="shared" si="21"/>
        <v>-2.8522386684961232</v>
      </c>
      <c r="BJ19" s="168">
        <f t="shared" si="28"/>
        <v>-2.4423039563710698</v>
      </c>
    </row>
    <row r="20" spans="1:62" x14ac:dyDescent="0.2">
      <c r="A20" s="160" t="s">
        <v>231</v>
      </c>
      <c r="B20" s="161" t="s">
        <v>749</v>
      </c>
      <c r="C20" s="161" t="s">
        <v>750</v>
      </c>
      <c r="D20" s="161"/>
      <c r="E20" s="162">
        <v>23.623000000000001</v>
      </c>
      <c r="F20" s="162">
        <v>27.186</v>
      </c>
      <c r="G20" s="162">
        <v>26.361999999999998</v>
      </c>
      <c r="H20" s="162">
        <v>26.638999999999999</v>
      </c>
      <c r="I20" s="162">
        <v>26.331</v>
      </c>
      <c r="J20" s="162">
        <v>23.911000000000001</v>
      </c>
      <c r="K20" s="162">
        <v>20.948</v>
      </c>
      <c r="L20" s="162">
        <v>20.831</v>
      </c>
      <c r="M20" s="162">
        <v>21.693999999999999</v>
      </c>
      <c r="N20" s="162">
        <v>24.387</v>
      </c>
      <c r="O20" s="162">
        <v>22.03</v>
      </c>
      <c r="P20" s="162">
        <v>20.263999999999999</v>
      </c>
      <c r="Q20" s="162">
        <v>21.760999999999999</v>
      </c>
      <c r="R20" s="162">
        <v>20.641999999999999</v>
      </c>
      <c r="S20" s="162">
        <v>20.222999999999999</v>
      </c>
      <c r="T20" s="162">
        <v>19.739999999999998</v>
      </c>
      <c r="U20" s="162">
        <v>19.760999999999999</v>
      </c>
      <c r="V20" s="162">
        <v>19.869</v>
      </c>
      <c r="W20" s="162">
        <v>19.844999999999999</v>
      </c>
      <c r="X20" s="162">
        <v>19.835999999999999</v>
      </c>
      <c r="Z20" s="163">
        <f t="shared" si="22"/>
        <v>23.32921428571429</v>
      </c>
      <c r="AA20" s="163">
        <f t="shared" si="23"/>
        <v>2.4043231057698029</v>
      </c>
      <c r="AB20" s="164">
        <f t="shared" si="0"/>
        <v>0.10306061217167083</v>
      </c>
      <c r="AC20" s="165"/>
      <c r="AD20" s="163">
        <f t="shared" si="24"/>
        <v>19.878999999999998</v>
      </c>
      <c r="AE20" s="166">
        <f t="shared" si="25"/>
        <v>-0.14789243407254571</v>
      </c>
      <c r="AF20" s="166">
        <f t="shared" si="1"/>
        <v>-4.4831821900874883E-2</v>
      </c>
      <c r="AG20" s="166">
        <f t="shared" si="26"/>
        <v>-0.25095304624421655</v>
      </c>
      <c r="AH20" s="167">
        <f t="shared" si="27"/>
        <v>-0.16850455650687987</v>
      </c>
      <c r="AK20" s="160" t="s">
        <v>231</v>
      </c>
      <c r="AL20" s="161" t="s">
        <v>749</v>
      </c>
      <c r="AM20" s="161" t="s">
        <v>750</v>
      </c>
      <c r="AN20" s="161"/>
      <c r="AO20" s="162">
        <f t="shared" si="2"/>
        <v>0.12219061305890853</v>
      </c>
      <c r="AP20" s="162">
        <f t="shared" si="3"/>
        <v>1.6041045835438434</v>
      </c>
      <c r="AQ20" s="162">
        <f t="shared" si="4"/>
        <v>1.2613885825111213</v>
      </c>
      <c r="AR20" s="162">
        <f t="shared" si="5"/>
        <v>1.3765977236349856</v>
      </c>
      <c r="AS20" s="162">
        <f t="shared" si="6"/>
        <v>1.2484951407246965</v>
      </c>
      <c r="AT20" s="162">
        <f t="shared" si="7"/>
        <v>0.2419748464295686</v>
      </c>
      <c r="AU20" s="162">
        <f t="shared" si="8"/>
        <v>-0.99038863786649234</v>
      </c>
      <c r="AV20" s="162">
        <f t="shared" si="9"/>
        <v>-1.0390509826733234</v>
      </c>
      <c r="AW20" s="162">
        <f t="shared" si="10"/>
        <v>-0.68011420003832512</v>
      </c>
      <c r="AX20" s="162">
        <f t="shared" si="11"/>
        <v>0.43995156547274228</v>
      </c>
      <c r="AY20" s="162">
        <f t="shared" si="12"/>
        <v>-0.54036592777255432</v>
      </c>
      <c r="AZ20" s="162">
        <f t="shared" si="13"/>
        <v>-1.2748761921218101</v>
      </c>
      <c r="BA20" s="162">
        <f t="shared" si="14"/>
        <v>-0.65224772908056738</v>
      </c>
      <c r="BB20" s="162">
        <f t="shared" si="15"/>
        <v>-1.117659385822819</v>
      </c>
      <c r="BC20" s="162">
        <f t="shared" si="16"/>
        <v>-1.29192880867805</v>
      </c>
      <c r="BD20" s="162">
        <f t="shared" si="17"/>
        <v>-1.4928169500600945</v>
      </c>
      <c r="BE20" s="162">
        <f t="shared" si="18"/>
        <v>-1.4840826830434837</v>
      </c>
      <c r="BF20" s="162">
        <f t="shared" si="19"/>
        <v>-1.4391635955294859</v>
      </c>
      <c r="BG20" s="162">
        <f t="shared" si="20"/>
        <v>-1.4491456149770414</v>
      </c>
      <c r="BH20" s="162">
        <f t="shared" si="21"/>
        <v>-1.4528888722698745</v>
      </c>
      <c r="BJ20" s="168">
        <f t="shared" si="28"/>
        <v>-1.4350044207596717</v>
      </c>
    </row>
    <row r="21" spans="1:62" x14ac:dyDescent="0.2">
      <c r="A21" s="160" t="s">
        <v>514</v>
      </c>
      <c r="B21" s="161" t="s">
        <v>749</v>
      </c>
      <c r="C21" s="161" t="s">
        <v>750</v>
      </c>
      <c r="D21" s="161"/>
      <c r="E21" s="162">
        <v>35.289000000000001</v>
      </c>
      <c r="F21" s="162">
        <v>27.081</v>
      </c>
      <c r="G21" s="162">
        <v>24.282</v>
      </c>
      <c r="H21" s="162">
        <v>21.003</v>
      </c>
      <c r="I21" s="162">
        <v>15.909000000000001</v>
      </c>
      <c r="J21" s="162">
        <v>18.106999999999999</v>
      </c>
      <c r="K21" s="162">
        <v>17.802</v>
      </c>
      <c r="L21" s="162">
        <v>15.324999999999999</v>
      </c>
      <c r="M21" s="162">
        <v>15.281000000000001</v>
      </c>
      <c r="N21" s="162">
        <v>15.23</v>
      </c>
      <c r="O21" s="162">
        <v>14.83</v>
      </c>
      <c r="P21" s="162">
        <v>14.868</v>
      </c>
      <c r="Q21" s="162">
        <v>14.739000000000001</v>
      </c>
      <c r="R21" s="162">
        <v>15.124000000000001</v>
      </c>
      <c r="S21" s="162">
        <v>14.897</v>
      </c>
      <c r="T21" s="162">
        <v>13.311</v>
      </c>
      <c r="U21" s="162">
        <v>13.114000000000001</v>
      </c>
      <c r="V21" s="162">
        <v>12.952</v>
      </c>
      <c r="W21" s="162">
        <v>12.814</v>
      </c>
      <c r="X21" s="162">
        <v>12.7</v>
      </c>
      <c r="Z21" s="163">
        <f t="shared" si="22"/>
        <v>18.919285714285714</v>
      </c>
      <c r="AA21" s="163">
        <f t="shared" si="23"/>
        <v>5.8763001531402326</v>
      </c>
      <c r="AB21" s="164">
        <f t="shared" si="0"/>
        <v>0.31059841485998135</v>
      </c>
      <c r="AC21" s="165"/>
      <c r="AD21" s="163">
        <f t="shared" si="24"/>
        <v>13.298</v>
      </c>
      <c r="AE21" s="166">
        <f t="shared" si="25"/>
        <v>-0.297119341563786</v>
      </c>
      <c r="AF21" s="166">
        <f t="shared" si="1"/>
        <v>1.3479073296195354E-2</v>
      </c>
      <c r="AG21" s="166">
        <f t="shared" si="26"/>
        <v>-0.60771775642376735</v>
      </c>
      <c r="AH21" s="167">
        <f t="shared" si="27"/>
        <v>-0.35923902453578227</v>
      </c>
      <c r="AK21" s="160" t="s">
        <v>514</v>
      </c>
      <c r="AL21" s="161" t="s">
        <v>749</v>
      </c>
      <c r="AM21" s="161" t="s">
        <v>750</v>
      </c>
      <c r="AN21" s="161"/>
      <c r="AO21" s="162">
        <f t="shared" si="2"/>
        <v>2.7857178597261556</v>
      </c>
      <c r="AP21" s="162">
        <f t="shared" si="3"/>
        <v>1.3889205917013534</v>
      </c>
      <c r="AQ21" s="162">
        <f t="shared" si="4"/>
        <v>0.91260047069728201</v>
      </c>
      <c r="AR21" s="162">
        <f t="shared" si="5"/>
        <v>0.35459629893152611</v>
      </c>
      <c r="AS21" s="162">
        <f t="shared" si="6"/>
        <v>-0.51227568977684845</v>
      </c>
      <c r="AT21" s="162">
        <f t="shared" si="7"/>
        <v>-0.138230807330636</v>
      </c>
      <c r="AU21" s="162">
        <f t="shared" si="8"/>
        <v>-0.19013421458545618</v>
      </c>
      <c r="AV21" s="162">
        <f t="shared" si="9"/>
        <v>-0.61165795153689795</v>
      </c>
      <c r="AW21" s="162">
        <f t="shared" si="10"/>
        <v>-0.61914565619005213</v>
      </c>
      <c r="AX21" s="162">
        <f t="shared" si="11"/>
        <v>-0.62782458658348106</v>
      </c>
      <c r="AY21" s="162">
        <f t="shared" si="12"/>
        <v>-0.69589462888488474</v>
      </c>
      <c r="AZ21" s="162">
        <f t="shared" si="13"/>
        <v>-0.6894279748662514</v>
      </c>
      <c r="BA21" s="162">
        <f t="shared" si="14"/>
        <v>-0.71138056350845391</v>
      </c>
      <c r="BB21" s="162">
        <f t="shared" si="15"/>
        <v>-0.64586314779335308</v>
      </c>
      <c r="BC21" s="162">
        <f t="shared" si="16"/>
        <v>-0.68449289679939962</v>
      </c>
      <c r="BD21" s="162">
        <f t="shared" si="17"/>
        <v>-0.95439061452446483</v>
      </c>
      <c r="BE21" s="162">
        <f t="shared" si="18"/>
        <v>-0.98791511035790602</v>
      </c>
      <c r="BF21" s="162">
        <f t="shared" si="19"/>
        <v>-1.0154834774899746</v>
      </c>
      <c r="BG21" s="162">
        <f t="shared" si="20"/>
        <v>-1.0389676420839589</v>
      </c>
      <c r="BH21" s="162">
        <f t="shared" si="21"/>
        <v>-1.0583676041398589</v>
      </c>
      <c r="BJ21" s="168">
        <f t="shared" si="28"/>
        <v>-0.95660289089926043</v>
      </c>
    </row>
    <row r="22" spans="1:62" x14ac:dyDescent="0.2">
      <c r="A22" s="160" t="s">
        <v>527</v>
      </c>
      <c r="B22" s="161" t="s">
        <v>749</v>
      </c>
      <c r="C22" s="161" t="s">
        <v>750</v>
      </c>
      <c r="D22" s="161"/>
      <c r="E22" s="162">
        <v>18.768000000000001</v>
      </c>
      <c r="F22" s="162">
        <v>18.279</v>
      </c>
      <c r="G22" s="162">
        <v>16.954000000000001</v>
      </c>
      <c r="H22" s="162">
        <v>15.874000000000001</v>
      </c>
      <c r="I22" s="162">
        <v>16.181000000000001</v>
      </c>
      <c r="J22" s="162">
        <v>17.161999999999999</v>
      </c>
      <c r="K22" s="162">
        <v>16.620999999999999</v>
      </c>
      <c r="L22" s="162">
        <v>15.476000000000001</v>
      </c>
      <c r="M22" s="162">
        <v>15.824999999999999</v>
      </c>
      <c r="N22" s="162">
        <v>14.901</v>
      </c>
      <c r="O22" s="162">
        <v>15.379</v>
      </c>
      <c r="P22" s="162">
        <v>15.884</v>
      </c>
      <c r="Q22" s="162">
        <v>14.957000000000001</v>
      </c>
      <c r="R22" s="162">
        <v>13.057</v>
      </c>
      <c r="S22" s="162">
        <v>13.744</v>
      </c>
      <c r="T22" s="162">
        <v>13.081</v>
      </c>
      <c r="U22" s="162">
        <v>13.015000000000001</v>
      </c>
      <c r="V22" s="162">
        <v>13.101000000000001</v>
      </c>
      <c r="W22" s="162">
        <v>13.31</v>
      </c>
      <c r="X22" s="162">
        <v>13.656000000000001</v>
      </c>
      <c r="Z22" s="163">
        <f t="shared" si="22"/>
        <v>16.094142857142852</v>
      </c>
      <c r="AA22" s="163">
        <f t="shared" si="23"/>
        <v>1.3909765252791115</v>
      </c>
      <c r="AB22" s="164">
        <f t="shared" si="0"/>
        <v>8.6427499595716134E-2</v>
      </c>
      <c r="AC22" s="165"/>
      <c r="AD22" s="163">
        <f t="shared" si="24"/>
        <v>13.317833333333335</v>
      </c>
      <c r="AE22" s="166">
        <f t="shared" si="25"/>
        <v>-0.17250434201143833</v>
      </c>
      <c r="AF22" s="166">
        <f t="shared" si="1"/>
        <v>-8.6076842415722193E-2</v>
      </c>
      <c r="AG22" s="166">
        <f t="shared" si="26"/>
        <v>-0.25893184160715443</v>
      </c>
      <c r="AH22" s="167">
        <f t="shared" si="27"/>
        <v>-0.18978984193058154</v>
      </c>
      <c r="AK22" s="160" t="s">
        <v>527</v>
      </c>
      <c r="AL22" s="161" t="s">
        <v>749</v>
      </c>
      <c r="AM22" s="161" t="s">
        <v>750</v>
      </c>
      <c r="AN22" s="161"/>
      <c r="AO22" s="162">
        <f t="shared" si="2"/>
        <v>1.9222877555899913</v>
      </c>
      <c r="AP22" s="162">
        <f t="shared" si="3"/>
        <v>1.5707361721426154</v>
      </c>
      <c r="AQ22" s="162">
        <f t="shared" si="4"/>
        <v>0.61816797568500326</v>
      </c>
      <c r="AR22" s="162">
        <f t="shared" si="5"/>
        <v>-0.1582649693521451</v>
      </c>
      <c r="AS22" s="162">
        <f t="shared" si="6"/>
        <v>6.2443284468600126E-2</v>
      </c>
      <c r="AT22" s="162">
        <f t="shared" si="7"/>
        <v>0.7677032095440085</v>
      </c>
      <c r="AU22" s="162">
        <f t="shared" si="8"/>
        <v>0.37876781763188117</v>
      </c>
      <c r="AV22" s="162">
        <f t="shared" si="9"/>
        <v>-0.44439488798620508</v>
      </c>
      <c r="AW22" s="162">
        <f t="shared" si="10"/>
        <v>-0.19349201963623885</v>
      </c>
      <c r="AX22" s="162">
        <f t="shared" si="11"/>
        <v>-0.85777353927913202</v>
      </c>
      <c r="AY22" s="162">
        <f t="shared" si="12"/>
        <v>-0.51413006916083881</v>
      </c>
      <c r="AZ22" s="162">
        <f t="shared" si="13"/>
        <v>-0.1510757754166161</v>
      </c>
      <c r="BA22" s="162">
        <f t="shared" si="14"/>
        <v>-0.81751405324016813</v>
      </c>
      <c r="BB22" s="162">
        <f t="shared" si="15"/>
        <v>-2.1834609009907071</v>
      </c>
      <c r="BC22" s="162">
        <f t="shared" si="16"/>
        <v>-1.6895632776198548</v>
      </c>
      <c r="BD22" s="162">
        <f t="shared" si="17"/>
        <v>-2.166206835545438</v>
      </c>
      <c r="BE22" s="162">
        <f t="shared" si="18"/>
        <v>-2.2136555155199296</v>
      </c>
      <c r="BF22" s="162">
        <f t="shared" si="19"/>
        <v>-2.1518284476743785</v>
      </c>
      <c r="BG22" s="162">
        <f t="shared" si="20"/>
        <v>-2.0015742944218196</v>
      </c>
      <c r="BH22" s="162">
        <f t="shared" si="21"/>
        <v>-1.7528281842525109</v>
      </c>
      <c r="BJ22" s="168">
        <f t="shared" si="28"/>
        <v>-1.9959427591723218</v>
      </c>
    </row>
    <row r="23" spans="1:62" x14ac:dyDescent="0.2">
      <c r="A23" s="160" t="s">
        <v>494</v>
      </c>
      <c r="B23" s="161" t="s">
        <v>749</v>
      </c>
      <c r="C23" s="161" t="s">
        <v>750</v>
      </c>
      <c r="D23" s="161"/>
      <c r="E23" s="162">
        <v>9.9339999999999993</v>
      </c>
      <c r="F23" s="162">
        <v>11.035</v>
      </c>
      <c r="G23" s="162">
        <v>9.9369999999999994</v>
      </c>
      <c r="H23" s="162">
        <v>10.459</v>
      </c>
      <c r="I23" s="162">
        <v>11.356999999999999</v>
      </c>
      <c r="J23" s="162">
        <v>10.837</v>
      </c>
      <c r="K23" s="162">
        <v>15.106</v>
      </c>
      <c r="L23" s="162">
        <v>17.530999999999999</v>
      </c>
      <c r="M23" s="162">
        <v>14.765000000000001</v>
      </c>
      <c r="N23" s="162">
        <v>16.971</v>
      </c>
      <c r="O23" s="162">
        <v>14.81</v>
      </c>
      <c r="P23" s="162">
        <v>15.821999999999999</v>
      </c>
      <c r="Q23" s="162">
        <v>15.173</v>
      </c>
      <c r="R23" s="162">
        <v>15.432</v>
      </c>
      <c r="S23" s="162">
        <v>15.59</v>
      </c>
      <c r="T23" s="162">
        <v>16.408999999999999</v>
      </c>
      <c r="U23" s="162">
        <v>16.876000000000001</v>
      </c>
      <c r="V23" s="162">
        <v>17.167000000000002</v>
      </c>
      <c r="W23" s="162">
        <v>17.212</v>
      </c>
      <c r="X23" s="162">
        <v>16.931000000000001</v>
      </c>
      <c r="Z23" s="163">
        <f t="shared" si="22"/>
        <v>13.512071428571428</v>
      </c>
      <c r="AA23" s="163">
        <f t="shared" si="23"/>
        <v>2.6529338063005383</v>
      </c>
      <c r="AB23" s="164">
        <f t="shared" si="0"/>
        <v>0.1963380537414034</v>
      </c>
      <c r="AC23" s="165"/>
      <c r="AD23" s="163">
        <f t="shared" si="24"/>
        <v>16.697500000000002</v>
      </c>
      <c r="AE23" s="166">
        <f t="shared" si="25"/>
        <v>0.23574687184475276</v>
      </c>
      <c r="AF23" s="166">
        <f t="shared" si="1"/>
        <v>0.43208492558615619</v>
      </c>
      <c r="AG23" s="166">
        <f t="shared" si="26"/>
        <v>3.9408818103349369E-2</v>
      </c>
      <c r="AH23" s="167">
        <f t="shared" si="27"/>
        <v>0.19647926109647207</v>
      </c>
      <c r="AK23" s="160" t="s">
        <v>494</v>
      </c>
      <c r="AL23" s="161" t="s">
        <v>749</v>
      </c>
      <c r="AM23" s="161" t="s">
        <v>750</v>
      </c>
      <c r="AN23" s="161"/>
      <c r="AO23" s="162">
        <f t="shared" si="2"/>
        <v>-1.3487224672073426</v>
      </c>
      <c r="AP23" s="162">
        <f t="shared" si="3"/>
        <v>-0.93371022778199386</v>
      </c>
      <c r="AQ23" s="162">
        <f t="shared" si="4"/>
        <v>-1.3475916436666742</v>
      </c>
      <c r="AR23" s="162">
        <f t="shared" si="5"/>
        <v>-1.1508283475903507</v>
      </c>
      <c r="AS23" s="162">
        <f t="shared" si="6"/>
        <v>-0.81233516775023928</v>
      </c>
      <c r="AT23" s="162">
        <f t="shared" si="7"/>
        <v>-1.0083445814661167</v>
      </c>
      <c r="AU23" s="162">
        <f t="shared" si="8"/>
        <v>0.60081731690519358</v>
      </c>
      <c r="AV23" s="162">
        <f t="shared" si="9"/>
        <v>1.5148996789455837</v>
      </c>
      <c r="AW23" s="162">
        <f t="shared" si="10"/>
        <v>0.4722803744492049</v>
      </c>
      <c r="AX23" s="162">
        <f t="shared" si="11"/>
        <v>1.303812618020793</v>
      </c>
      <c r="AY23" s="162">
        <f t="shared" si="12"/>
        <v>0.48924272755923276</v>
      </c>
      <c r="AZ23" s="162">
        <f t="shared" si="13"/>
        <v>0.87070720194474782</v>
      </c>
      <c r="BA23" s="162">
        <f t="shared" si="14"/>
        <v>0.626072375980124</v>
      </c>
      <c r="BB23" s="162">
        <f t="shared" si="15"/>
        <v>0.72370014165784013</v>
      </c>
      <c r="BC23" s="162">
        <f t="shared" si="16"/>
        <v>0.78325684813304886</v>
      </c>
      <c r="BD23" s="162">
        <f t="shared" si="17"/>
        <v>1.0919716747355557</v>
      </c>
      <c r="BE23" s="162">
        <f t="shared" si="18"/>
        <v>1.2680032058996236</v>
      </c>
      <c r="BF23" s="162">
        <f t="shared" si="19"/>
        <v>1.3776930893444705</v>
      </c>
      <c r="BG23" s="162">
        <f t="shared" si="20"/>
        <v>1.3946554424544977</v>
      </c>
      <c r="BH23" s="162">
        <f t="shared" si="21"/>
        <v>1.2887349708118796</v>
      </c>
      <c r="BJ23" s="168">
        <f t="shared" si="28"/>
        <v>1.2007192052298461</v>
      </c>
    </row>
    <row r="24" spans="1:62" x14ac:dyDescent="0.2">
      <c r="A24" s="160" t="s">
        <v>503</v>
      </c>
      <c r="B24" s="161" t="s">
        <v>749</v>
      </c>
      <c r="C24" s="161" t="s">
        <v>750</v>
      </c>
      <c r="D24" s="161"/>
      <c r="E24" s="162">
        <v>16.573</v>
      </c>
      <c r="F24" s="162">
        <v>16.324000000000002</v>
      </c>
      <c r="G24" s="162">
        <v>16.119</v>
      </c>
      <c r="H24" s="162">
        <v>23.065999999999999</v>
      </c>
      <c r="I24" s="162">
        <v>24.971</v>
      </c>
      <c r="J24" s="162">
        <v>20.268999999999998</v>
      </c>
      <c r="K24" s="162">
        <v>16.791</v>
      </c>
      <c r="L24" s="162">
        <v>11.510999999999999</v>
      </c>
      <c r="M24" s="162">
        <v>11.396000000000001</v>
      </c>
      <c r="N24" s="162">
        <v>22.085999999999999</v>
      </c>
      <c r="O24" s="162">
        <v>20.164000000000001</v>
      </c>
      <c r="P24" s="162">
        <v>16.024999999999999</v>
      </c>
      <c r="Q24" s="162">
        <v>18.277000000000001</v>
      </c>
      <c r="R24" s="162">
        <v>16.747</v>
      </c>
      <c r="S24" s="162">
        <v>18.488</v>
      </c>
      <c r="T24" s="162">
        <v>19.062000000000001</v>
      </c>
      <c r="U24" s="162">
        <v>19.757000000000001</v>
      </c>
      <c r="V24" s="162">
        <v>20.268999999999998</v>
      </c>
      <c r="W24" s="162">
        <v>20.943999999999999</v>
      </c>
      <c r="X24" s="162">
        <v>21.457999999999998</v>
      </c>
      <c r="Z24" s="163">
        <f t="shared" si="22"/>
        <v>17.879928571428572</v>
      </c>
      <c r="AA24" s="163">
        <f t="shared" si="23"/>
        <v>3.795640891945947</v>
      </c>
      <c r="AB24" s="164">
        <f t="shared" si="0"/>
        <v>0.21228501427076354</v>
      </c>
      <c r="AC24" s="165"/>
      <c r="AD24" s="163">
        <f t="shared" si="24"/>
        <v>19.996333333333332</v>
      </c>
      <c r="AE24" s="166">
        <f t="shared" si="25"/>
        <v>0.11836762957133358</v>
      </c>
      <c r="AF24" s="166">
        <f t="shared" si="1"/>
        <v>0.33065264384209714</v>
      </c>
      <c r="AG24" s="166">
        <f t="shared" si="26"/>
        <v>-9.3917384699429965E-2</v>
      </c>
      <c r="AH24" s="167">
        <f t="shared" si="27"/>
        <v>7.5910626717180879E-2</v>
      </c>
      <c r="AK24" s="160" t="s">
        <v>503</v>
      </c>
      <c r="AL24" s="161" t="s">
        <v>749</v>
      </c>
      <c r="AM24" s="161" t="s">
        <v>750</v>
      </c>
      <c r="AN24" s="161"/>
      <c r="AO24" s="162">
        <f t="shared" si="2"/>
        <v>-0.34432355658349328</v>
      </c>
      <c r="AP24" s="162">
        <f t="shared" si="3"/>
        <v>-0.40992512614407983</v>
      </c>
      <c r="AQ24" s="162">
        <f t="shared" si="4"/>
        <v>-0.46393445048110965</v>
      </c>
      <c r="AR24" s="162">
        <f t="shared" si="5"/>
        <v>1.3663229942473918</v>
      </c>
      <c r="AS24" s="162">
        <f t="shared" si="6"/>
        <v>1.8682145204036893</v>
      </c>
      <c r="AT24" s="162">
        <f t="shared" si="7"/>
        <v>0.62942504219533768</v>
      </c>
      <c r="AU24" s="162">
        <f t="shared" si="8"/>
        <v>-0.28688925070314014</v>
      </c>
      <c r="AV24" s="162">
        <f t="shared" si="9"/>
        <v>-1.6779586775300426</v>
      </c>
      <c r="AW24" s="162">
        <f t="shared" si="10"/>
        <v>-1.708256591182522</v>
      </c>
      <c r="AX24" s="162">
        <f t="shared" si="11"/>
        <v>1.1081320779045198</v>
      </c>
      <c r="AY24" s="162">
        <f t="shared" si="12"/>
        <v>0.60176172973003073</v>
      </c>
      <c r="AZ24" s="162">
        <f t="shared" si="13"/>
        <v>-0.48869970164052828</v>
      </c>
      <c r="BA24" s="162">
        <f t="shared" si="14"/>
        <v>0.10461248571064347</v>
      </c>
      <c r="BB24" s="162">
        <f t="shared" si="15"/>
        <v>-0.29848149592669776</v>
      </c>
      <c r="BC24" s="162">
        <f t="shared" si="16"/>
        <v>0.16020257075997571</v>
      </c>
      <c r="BD24" s="162">
        <f t="shared" si="17"/>
        <v>0.31142867890365833</v>
      </c>
      <c r="BE24" s="162">
        <f t="shared" si="18"/>
        <v>0.49453346141212373</v>
      </c>
      <c r="BF24" s="162">
        <f t="shared" si="19"/>
        <v>0.62942504219533768</v>
      </c>
      <c r="BG24" s="162">
        <f t="shared" si="20"/>
        <v>0.80726062232945883</v>
      </c>
      <c r="BH24" s="162">
        <f t="shared" si="21"/>
        <v>0.94267912335010784</v>
      </c>
      <c r="BJ24" s="168">
        <f t="shared" si="28"/>
        <v>0.55758824982511035</v>
      </c>
    </row>
    <row r="25" spans="1:62" x14ac:dyDescent="0.2">
      <c r="A25" s="160" t="s">
        <v>539</v>
      </c>
      <c r="B25" s="161" t="s">
        <v>749</v>
      </c>
      <c r="C25" s="161" t="s">
        <v>750</v>
      </c>
      <c r="D25" s="161"/>
      <c r="E25" s="162">
        <v>28.486999999999998</v>
      </c>
      <c r="F25" s="162">
        <v>29.727</v>
      </c>
      <c r="G25" s="162">
        <v>28.27</v>
      </c>
      <c r="H25" s="162">
        <v>27.675000000000001</v>
      </c>
      <c r="I25" s="162">
        <v>29.306999999999999</v>
      </c>
      <c r="J25" s="162">
        <v>28.192</v>
      </c>
      <c r="K25" s="162">
        <v>27.619</v>
      </c>
      <c r="L25" s="162">
        <v>26.600999999999999</v>
      </c>
      <c r="M25" s="162">
        <v>26.85</v>
      </c>
      <c r="N25" s="162">
        <v>25.78</v>
      </c>
      <c r="O25" s="162">
        <v>28.099</v>
      </c>
      <c r="P25" s="162">
        <v>28.106000000000002</v>
      </c>
      <c r="Q25" s="162">
        <v>30.291</v>
      </c>
      <c r="R25" s="162">
        <v>30.957000000000001</v>
      </c>
      <c r="S25" s="162">
        <v>31.747</v>
      </c>
      <c r="T25" s="162">
        <v>30.988</v>
      </c>
      <c r="U25" s="162">
        <v>30.405000000000001</v>
      </c>
      <c r="V25" s="162">
        <v>30.213999999999999</v>
      </c>
      <c r="W25" s="162">
        <v>30.081</v>
      </c>
      <c r="X25" s="162">
        <v>29.675999999999998</v>
      </c>
      <c r="Z25" s="163">
        <f t="shared" si="22"/>
        <v>28.282928571428567</v>
      </c>
      <c r="AA25" s="163">
        <f t="shared" si="23"/>
        <v>1.372939623284168</v>
      </c>
      <c r="AB25" s="164">
        <f t="shared" si="0"/>
        <v>4.8543050264996689E-2</v>
      </c>
      <c r="AC25" s="165"/>
      <c r="AD25" s="163">
        <f t="shared" si="24"/>
        <v>30.5185</v>
      </c>
      <c r="AE25" s="166">
        <f t="shared" si="25"/>
        <v>7.9043138086831943E-2</v>
      </c>
      <c r="AF25" s="166">
        <f t="shared" si="1"/>
        <v>0.12758618835182864</v>
      </c>
      <c r="AG25" s="166">
        <f t="shared" si="26"/>
        <v>3.0500087821835255E-2</v>
      </c>
      <c r="AH25" s="167">
        <f t="shared" si="27"/>
        <v>6.933452803383261E-2</v>
      </c>
      <c r="AK25" s="160" t="s">
        <v>539</v>
      </c>
      <c r="AL25" s="161" t="s">
        <v>749</v>
      </c>
      <c r="AM25" s="161" t="s">
        <v>750</v>
      </c>
      <c r="AN25" s="161"/>
      <c r="AO25" s="162">
        <f t="shared" si="2"/>
        <v>0.14863831235584737</v>
      </c>
      <c r="AP25" s="162">
        <f t="shared" si="3"/>
        <v>1.0518098568071867</v>
      </c>
      <c r="AQ25" s="162">
        <f t="shared" si="4"/>
        <v>-9.4167079231358558E-3</v>
      </c>
      <c r="AR25" s="162">
        <f t="shared" si="5"/>
        <v>-0.44279337643002697</v>
      </c>
      <c r="AS25" s="162">
        <f t="shared" si="6"/>
        <v>0.74589691433173233</v>
      </c>
      <c r="AT25" s="162">
        <f t="shared" si="7"/>
        <v>-6.6229111525719572E-2</v>
      </c>
      <c r="AU25" s="162">
        <f t="shared" si="8"/>
        <v>-0.48358176876008813</v>
      </c>
      <c r="AV25" s="162">
        <f t="shared" si="9"/>
        <v>-1.225056472188687</v>
      </c>
      <c r="AW25" s="162">
        <f t="shared" si="10"/>
        <v>-1.0436937991496666</v>
      </c>
      <c r="AX25" s="162">
        <f t="shared" si="11"/>
        <v>-1.8230434383133214</v>
      </c>
      <c r="AY25" s="162">
        <f t="shared" si="12"/>
        <v>-0.13396697735956989</v>
      </c>
      <c r="AZ25" s="162">
        <f t="shared" si="13"/>
        <v>-0.1288684283183113</v>
      </c>
      <c r="BA25" s="162">
        <f t="shared" si="14"/>
        <v>1.4626072367027954</v>
      </c>
      <c r="BB25" s="162">
        <f t="shared" si="15"/>
        <v>1.9476977597710141</v>
      </c>
      <c r="BC25" s="162">
        <f t="shared" si="16"/>
        <v>2.5231054372843658</v>
      </c>
      <c r="BD25" s="162">
        <f t="shared" si="17"/>
        <v>1.9702770483822967</v>
      </c>
      <c r="BE25" s="162">
        <f t="shared" si="18"/>
        <v>1.5456407496604188</v>
      </c>
      <c r="BF25" s="162">
        <f t="shared" si="19"/>
        <v>1.4065231972489609</v>
      </c>
      <c r="BG25" s="162">
        <f t="shared" si="20"/>
        <v>1.309650765465068</v>
      </c>
      <c r="BH25" s="162">
        <f t="shared" si="21"/>
        <v>1.0146632852208803</v>
      </c>
      <c r="BJ25" s="168">
        <f t="shared" si="28"/>
        <v>1.6283100805436652</v>
      </c>
    </row>
    <row r="26" spans="1:62" x14ac:dyDescent="0.2">
      <c r="A26" s="160" t="s">
        <v>483</v>
      </c>
      <c r="B26" s="161" t="s">
        <v>749</v>
      </c>
      <c r="C26" s="161" t="s">
        <v>750</v>
      </c>
      <c r="D26" s="161"/>
      <c r="E26" s="162">
        <v>19.062000000000001</v>
      </c>
      <c r="F26" s="162">
        <v>20.338000000000001</v>
      </c>
      <c r="G26" s="162">
        <v>21.962</v>
      </c>
      <c r="H26" s="162">
        <v>19.707999999999998</v>
      </c>
      <c r="I26" s="162">
        <v>18.518000000000001</v>
      </c>
      <c r="J26" s="162">
        <v>18.821000000000002</v>
      </c>
      <c r="K26" s="162">
        <v>19.291</v>
      </c>
      <c r="L26" s="162">
        <v>19.814</v>
      </c>
      <c r="M26" s="162">
        <v>19.600000000000001</v>
      </c>
      <c r="N26" s="162">
        <v>19.149000000000001</v>
      </c>
      <c r="O26" s="162">
        <v>19.853999999999999</v>
      </c>
      <c r="P26" s="162">
        <v>20.151</v>
      </c>
      <c r="Q26" s="162">
        <v>19.817</v>
      </c>
      <c r="R26" s="162">
        <v>20.603000000000002</v>
      </c>
      <c r="S26" s="162">
        <v>20.352</v>
      </c>
      <c r="T26" s="162">
        <v>20.395</v>
      </c>
      <c r="U26" s="162">
        <v>20.425999999999998</v>
      </c>
      <c r="V26" s="162">
        <v>20.457000000000001</v>
      </c>
      <c r="W26" s="162">
        <v>20.488</v>
      </c>
      <c r="X26" s="162">
        <v>20.518999999999998</v>
      </c>
      <c r="Z26" s="163">
        <f t="shared" si="22"/>
        <v>19.763428571428573</v>
      </c>
      <c r="AA26" s="163">
        <f t="shared" si="23"/>
        <v>0.82783406845693341</v>
      </c>
      <c r="AB26" s="164">
        <f t="shared" si="0"/>
        <v>4.1887168790829626E-2</v>
      </c>
      <c r="AC26" s="165"/>
      <c r="AD26" s="163">
        <f t="shared" si="24"/>
        <v>20.439499999999999</v>
      </c>
      <c r="AE26" s="166">
        <f t="shared" si="25"/>
        <v>3.420820563233664E-2</v>
      </c>
      <c r="AF26" s="166">
        <f t="shared" si="1"/>
        <v>7.6095374423166273E-2</v>
      </c>
      <c r="AG26" s="166">
        <f t="shared" si="26"/>
        <v>-7.6789631584929866E-3</v>
      </c>
      <c r="AH26" s="167">
        <f t="shared" si="27"/>
        <v>2.5830771874170714E-2</v>
      </c>
      <c r="AK26" s="160" t="s">
        <v>483</v>
      </c>
      <c r="AL26" s="161" t="s">
        <v>749</v>
      </c>
      <c r="AM26" s="161" t="s">
        <v>750</v>
      </c>
      <c r="AN26" s="161"/>
      <c r="AO26" s="162">
        <f t="shared" si="2"/>
        <v>-0.84730575625622795</v>
      </c>
      <c r="AP26" s="162">
        <f t="shared" si="3"/>
        <v>0.69406593720214704</v>
      </c>
      <c r="AQ26" s="162">
        <f t="shared" si="4"/>
        <v>2.6558117288764413</v>
      </c>
      <c r="AR26" s="162">
        <f t="shared" si="5"/>
        <v>-6.6956137154263892E-2</v>
      </c>
      <c r="AS26" s="162">
        <f t="shared" si="6"/>
        <v>-1.5044422776052537</v>
      </c>
      <c r="AT26" s="162">
        <f t="shared" si="7"/>
        <v>-1.1384268989862185</v>
      </c>
      <c r="AU26" s="162">
        <f t="shared" si="8"/>
        <v>-0.57068027208540761</v>
      </c>
      <c r="AV26" s="162">
        <f t="shared" si="9"/>
        <v>6.1088846785070219E-2</v>
      </c>
      <c r="AW26" s="162">
        <f t="shared" si="10"/>
        <v>-0.19741706418678731</v>
      </c>
      <c r="AX26" s="162">
        <f t="shared" si="11"/>
        <v>-0.74221223170224815</v>
      </c>
      <c r="AY26" s="162">
        <f t="shared" si="12"/>
        <v>0.10940770864896809</v>
      </c>
      <c r="AZ26" s="162">
        <f t="shared" si="13"/>
        <v>0.46817525798841825</v>
      </c>
      <c r="BA26" s="162">
        <f t="shared" si="14"/>
        <v>6.4712761424862777E-2</v>
      </c>
      <c r="BB26" s="162">
        <f t="shared" si="15"/>
        <v>1.0141783970504781</v>
      </c>
      <c r="BC26" s="162">
        <f t="shared" si="16"/>
        <v>0.71097753885451087</v>
      </c>
      <c r="BD26" s="162">
        <f t="shared" si="17"/>
        <v>0.76292031535820126</v>
      </c>
      <c r="BE26" s="162">
        <f t="shared" si="18"/>
        <v>0.80036743330272153</v>
      </c>
      <c r="BF26" s="162">
        <f t="shared" si="19"/>
        <v>0.83781455124724602</v>
      </c>
      <c r="BG26" s="162">
        <f t="shared" si="20"/>
        <v>0.87526166919176629</v>
      </c>
      <c r="BH26" s="162">
        <f t="shared" si="21"/>
        <v>0.91270878713628645</v>
      </c>
      <c r="BJ26" s="168">
        <f t="shared" si="28"/>
        <v>0.81667504918178857</v>
      </c>
    </row>
    <row r="27" spans="1:62" x14ac:dyDescent="0.2">
      <c r="A27" s="160" t="s">
        <v>489</v>
      </c>
      <c r="B27" s="161" t="s">
        <v>749</v>
      </c>
      <c r="C27" s="161" t="s">
        <v>750</v>
      </c>
      <c r="D27" s="161"/>
      <c r="E27" s="162">
        <v>17.86</v>
      </c>
      <c r="F27" s="162">
        <v>18.867999999999999</v>
      </c>
      <c r="G27" s="162">
        <v>17.782</v>
      </c>
      <c r="H27" s="162">
        <v>19.448</v>
      </c>
      <c r="I27" s="162">
        <v>15.382</v>
      </c>
      <c r="J27" s="162">
        <v>15.644</v>
      </c>
      <c r="K27" s="162">
        <v>17.010000000000002</v>
      </c>
      <c r="L27" s="162">
        <v>17.248999999999999</v>
      </c>
      <c r="M27" s="162">
        <v>16.864000000000001</v>
      </c>
      <c r="N27" s="162">
        <v>16.460999999999999</v>
      </c>
      <c r="O27" s="162">
        <v>14.875</v>
      </c>
      <c r="P27" s="162">
        <v>14.337999999999999</v>
      </c>
      <c r="Q27" s="162">
        <v>14.055999999999999</v>
      </c>
      <c r="R27" s="162">
        <v>14.891999999999999</v>
      </c>
      <c r="S27" s="162">
        <v>14.903</v>
      </c>
      <c r="T27" s="162">
        <v>15</v>
      </c>
      <c r="U27" s="162">
        <v>15.018000000000001</v>
      </c>
      <c r="V27" s="162">
        <v>15.064</v>
      </c>
      <c r="W27" s="162">
        <v>15.067</v>
      </c>
      <c r="X27" s="162">
        <v>15.034000000000001</v>
      </c>
      <c r="Z27" s="163">
        <f t="shared" si="22"/>
        <v>16.480642857142861</v>
      </c>
      <c r="AA27" s="163">
        <f t="shared" si="23"/>
        <v>1.6168190378086253</v>
      </c>
      <c r="AB27" s="164">
        <f t="shared" si="0"/>
        <v>9.8104124446085017E-2</v>
      </c>
      <c r="AC27" s="165"/>
      <c r="AD27" s="163">
        <f t="shared" si="24"/>
        <v>15.014333333333333</v>
      </c>
      <c r="AE27" s="166">
        <f t="shared" si="25"/>
        <v>-8.8971621830517128E-2</v>
      </c>
      <c r="AF27" s="166">
        <f t="shared" si="1"/>
        <v>9.132502615567889E-3</v>
      </c>
      <c r="AG27" s="166">
        <f t="shared" si="26"/>
        <v>-0.18707574627660215</v>
      </c>
      <c r="AH27" s="167">
        <f t="shared" si="27"/>
        <v>-0.10859244671973413</v>
      </c>
      <c r="AK27" s="160" t="s">
        <v>489</v>
      </c>
      <c r="AL27" s="161" t="s">
        <v>749</v>
      </c>
      <c r="AM27" s="161" t="s">
        <v>750</v>
      </c>
      <c r="AN27" s="161"/>
      <c r="AO27" s="162">
        <f t="shared" si="2"/>
        <v>0.8531301961453065</v>
      </c>
      <c r="AP27" s="162">
        <f t="shared" si="3"/>
        <v>1.4765765908427637</v>
      </c>
      <c r="AQ27" s="162">
        <f t="shared" si="4"/>
        <v>0.80488732036514643</v>
      </c>
      <c r="AR27" s="162">
        <f t="shared" si="5"/>
        <v>1.8353056671567782</v>
      </c>
      <c r="AS27" s="162">
        <f t="shared" si="6"/>
        <v>-0.67950885748594347</v>
      </c>
      <c r="AT27" s="162">
        <f t="shared" si="7"/>
        <v>-0.51746227473719919</v>
      </c>
      <c r="AU27" s="162">
        <f t="shared" si="8"/>
        <v>0.3274065498230469</v>
      </c>
      <c r="AV27" s="162">
        <f t="shared" si="9"/>
        <v>0.47522766920071619</v>
      </c>
      <c r="AW27" s="162">
        <f t="shared" si="10"/>
        <v>0.23710578233710511</v>
      </c>
      <c r="AX27" s="162">
        <f t="shared" si="11"/>
        <v>-1.2149075860391774E-2</v>
      </c>
      <c r="AY27" s="162">
        <f t="shared" si="12"/>
        <v>-0.99308755005698601</v>
      </c>
      <c r="AZ27" s="162">
        <f t="shared" si="13"/>
        <v>-1.3252211948511678</v>
      </c>
      <c r="BA27" s="162">
        <f t="shared" si="14"/>
        <v>-1.4996377457486709</v>
      </c>
      <c r="BB27" s="162">
        <f t="shared" si="15"/>
        <v>-0.98257307713054109</v>
      </c>
      <c r="BC27" s="162">
        <f t="shared" si="16"/>
        <v>-0.97576959464872304</v>
      </c>
      <c r="BD27" s="162">
        <f t="shared" si="17"/>
        <v>-0.91577524912724173</v>
      </c>
      <c r="BE27" s="162">
        <f t="shared" si="18"/>
        <v>-0.90464227779335815</v>
      </c>
      <c r="BF27" s="162">
        <f t="shared" si="19"/>
        <v>-0.8761913510512126</v>
      </c>
      <c r="BG27" s="162">
        <f t="shared" si="20"/>
        <v>-0.87433585582889872</v>
      </c>
      <c r="BH27" s="162">
        <f t="shared" si="21"/>
        <v>-0.8947463032743509</v>
      </c>
      <c r="BJ27" s="168">
        <f t="shared" si="28"/>
        <v>-0.90691010528729754</v>
      </c>
    </row>
    <row r="28" spans="1:62" x14ac:dyDescent="0.2">
      <c r="A28" s="160" t="s">
        <v>477</v>
      </c>
      <c r="B28" s="161" t="s">
        <v>749</v>
      </c>
      <c r="C28" s="161" t="s">
        <v>750</v>
      </c>
      <c r="D28" s="161"/>
      <c r="E28" s="162">
        <v>33.290999999999997</v>
      </c>
      <c r="F28" s="162">
        <v>32.353000000000002</v>
      </c>
      <c r="G28" s="162">
        <v>32.314</v>
      </c>
      <c r="H28" s="162">
        <v>30.077000000000002</v>
      </c>
      <c r="I28" s="162">
        <v>26.466999999999999</v>
      </c>
      <c r="J28" s="162">
        <v>24.856000000000002</v>
      </c>
      <c r="K28" s="162">
        <v>26.306000000000001</v>
      </c>
      <c r="L28" s="162">
        <v>22.69</v>
      </c>
      <c r="M28" s="162">
        <v>23.805</v>
      </c>
      <c r="N28" s="162">
        <v>27.489000000000001</v>
      </c>
      <c r="O28" s="162">
        <v>24.731000000000002</v>
      </c>
      <c r="P28" s="162">
        <v>25.2</v>
      </c>
      <c r="Q28" s="162">
        <v>25.687000000000001</v>
      </c>
      <c r="R28" s="162">
        <v>26.02</v>
      </c>
      <c r="S28" s="162">
        <v>26.457000000000001</v>
      </c>
      <c r="T28" s="162">
        <v>26.623999999999999</v>
      </c>
      <c r="U28" s="162">
        <v>26.84</v>
      </c>
      <c r="V28" s="162">
        <v>26.956</v>
      </c>
      <c r="W28" s="162">
        <v>26.469000000000001</v>
      </c>
      <c r="X28" s="162">
        <v>26.303000000000001</v>
      </c>
      <c r="Z28" s="163">
        <f t="shared" si="22"/>
        <v>27.234714285714286</v>
      </c>
      <c r="AA28" s="163">
        <f t="shared" si="23"/>
        <v>3.2800803654913113</v>
      </c>
      <c r="AB28" s="164">
        <f t="shared" si="0"/>
        <v>0.12043748030842559</v>
      </c>
      <c r="AC28" s="165"/>
      <c r="AD28" s="163">
        <f t="shared" si="24"/>
        <v>26.608166666666666</v>
      </c>
      <c r="AE28" s="166">
        <f t="shared" si="25"/>
        <v>-2.3005477952682998E-2</v>
      </c>
      <c r="AF28" s="166">
        <f t="shared" si="1"/>
        <v>9.7432002355742592E-2</v>
      </c>
      <c r="AG28" s="166">
        <f t="shared" si="26"/>
        <v>-0.14344295826110859</v>
      </c>
      <c r="AH28" s="167">
        <f t="shared" si="27"/>
        <v>-4.7092974014368114E-2</v>
      </c>
      <c r="AK28" s="160" t="s">
        <v>477</v>
      </c>
      <c r="AL28" s="161" t="s">
        <v>749</v>
      </c>
      <c r="AM28" s="161" t="s">
        <v>750</v>
      </c>
      <c r="AN28" s="161"/>
      <c r="AO28" s="162">
        <f t="shared" si="2"/>
        <v>1.846383331945759</v>
      </c>
      <c r="AP28" s="162">
        <f t="shared" si="3"/>
        <v>1.5604147288992005</v>
      </c>
      <c r="AQ28" s="162">
        <f t="shared" si="4"/>
        <v>1.5485247763205052</v>
      </c>
      <c r="AR28" s="162">
        <f t="shared" si="5"/>
        <v>0.86652929122972255</v>
      </c>
      <c r="AS28" s="162">
        <f t="shared" si="6"/>
        <v>-0.23405349874691087</v>
      </c>
      <c r="AT28" s="162">
        <f t="shared" si="7"/>
        <v>-0.72520000142069252</v>
      </c>
      <c r="AU28" s="162">
        <f t="shared" si="8"/>
        <v>-0.28313766195639434</v>
      </c>
      <c r="AV28" s="162">
        <f t="shared" si="9"/>
        <v>-1.3855496754066723</v>
      </c>
      <c r="AW28" s="162">
        <f t="shared" si="10"/>
        <v>-1.0456189798875741</v>
      </c>
      <c r="AX28" s="162">
        <f t="shared" si="11"/>
        <v>7.7524232930684889E-2</v>
      </c>
      <c r="AY28" s="162">
        <f t="shared" si="12"/>
        <v>-0.76330882378830445</v>
      </c>
      <c r="AZ28" s="162">
        <f t="shared" si="13"/>
        <v>-0.62032452226502521</v>
      </c>
      <c r="BA28" s="162">
        <f t="shared" si="14"/>
        <v>-0.47185255032080858</v>
      </c>
      <c r="BB28" s="162">
        <f t="shared" si="15"/>
        <v>-0.37033064753349088</v>
      </c>
      <c r="BC28" s="162">
        <f t="shared" si="16"/>
        <v>-0.23710220453631922</v>
      </c>
      <c r="BD28" s="162">
        <f t="shared" si="17"/>
        <v>-0.18618881785319027</v>
      </c>
      <c r="BE28" s="162">
        <f t="shared" si="18"/>
        <v>-0.12033677280195652</v>
      </c>
      <c r="BF28" s="162">
        <f t="shared" si="19"/>
        <v>-8.4971785644812767E-2</v>
      </c>
      <c r="BG28" s="162">
        <f t="shared" si="20"/>
        <v>-0.23344375758902833</v>
      </c>
      <c r="BH28" s="162">
        <f t="shared" si="21"/>
        <v>-0.28405227369321706</v>
      </c>
      <c r="BJ28" s="168">
        <f t="shared" si="28"/>
        <v>-0.19101593535308736</v>
      </c>
    </row>
    <row r="29" spans="1:62" x14ac:dyDescent="0.2">
      <c r="A29" s="160" t="s">
        <v>517</v>
      </c>
      <c r="B29" s="161" t="s">
        <v>749</v>
      </c>
      <c r="C29" s="161" t="s">
        <v>750</v>
      </c>
      <c r="D29" s="161"/>
      <c r="E29" s="162">
        <v>28.084</v>
      </c>
      <c r="F29" s="162">
        <v>27.452000000000002</v>
      </c>
      <c r="G29" s="162">
        <v>28.838999999999999</v>
      </c>
      <c r="H29" s="162">
        <v>28.295000000000002</v>
      </c>
      <c r="I29" s="162">
        <v>22.141999999999999</v>
      </c>
      <c r="J29" s="162">
        <v>23.943000000000001</v>
      </c>
      <c r="K29" s="162">
        <v>27.045000000000002</v>
      </c>
      <c r="L29" s="162">
        <v>26.343</v>
      </c>
      <c r="M29" s="162">
        <v>24.754000000000001</v>
      </c>
      <c r="N29" s="162">
        <v>23.742000000000001</v>
      </c>
      <c r="O29" s="162">
        <v>16.611000000000001</v>
      </c>
      <c r="P29" s="162">
        <v>16.125</v>
      </c>
      <c r="Q29" s="162">
        <v>20.298999999999999</v>
      </c>
      <c r="R29" s="162">
        <v>20.376999999999999</v>
      </c>
      <c r="S29" s="162">
        <v>21.231000000000002</v>
      </c>
      <c r="T29" s="162">
        <v>21.678999999999998</v>
      </c>
      <c r="U29" s="162">
        <v>21.492000000000001</v>
      </c>
      <c r="V29" s="162">
        <v>21.43</v>
      </c>
      <c r="W29" s="162">
        <v>21.559000000000001</v>
      </c>
      <c r="X29" s="162">
        <v>21.719000000000001</v>
      </c>
      <c r="Z29" s="163">
        <f t="shared" si="22"/>
        <v>23.860785714285715</v>
      </c>
      <c r="AA29" s="163">
        <f t="shared" si="23"/>
        <v>4.0749725709606679</v>
      </c>
      <c r="AB29" s="164">
        <f t="shared" si="0"/>
        <v>0.17078115615115461</v>
      </c>
      <c r="AC29" s="165"/>
      <c r="AD29" s="163">
        <f t="shared" si="24"/>
        <v>21.518333333333331</v>
      </c>
      <c r="AE29" s="166">
        <f t="shared" si="25"/>
        <v>-9.8171636466687348E-2</v>
      </c>
      <c r="AF29" s="166">
        <f t="shared" si="1"/>
        <v>7.2609519684467258E-2</v>
      </c>
      <c r="AG29" s="166">
        <f t="shared" si="26"/>
        <v>-0.26895279261784194</v>
      </c>
      <c r="AH29" s="167">
        <f t="shared" si="27"/>
        <v>-0.13232786769691826</v>
      </c>
      <c r="AK29" s="160" t="s">
        <v>517</v>
      </c>
      <c r="AL29" s="161" t="s">
        <v>749</v>
      </c>
      <c r="AM29" s="161" t="s">
        <v>750</v>
      </c>
      <c r="AN29" s="161"/>
      <c r="AO29" s="162">
        <f t="shared" si="2"/>
        <v>1.0363785797749969</v>
      </c>
      <c r="AP29" s="162">
        <f t="shared" si="3"/>
        <v>0.8812855112955188</v>
      </c>
      <c r="AQ29" s="162">
        <f t="shared" si="4"/>
        <v>1.2216559005060195</v>
      </c>
      <c r="AR29" s="162">
        <f t="shared" si="5"/>
        <v>1.0881580694097601</v>
      </c>
      <c r="AS29" s="162">
        <f t="shared" si="6"/>
        <v>-0.42179074444187353</v>
      </c>
      <c r="AT29" s="162">
        <f t="shared" si="7"/>
        <v>2.0175420639679198E-2</v>
      </c>
      <c r="AU29" s="162">
        <f t="shared" si="8"/>
        <v>0.78140753839813293</v>
      </c>
      <c r="AV29" s="162">
        <f t="shared" si="9"/>
        <v>0.60913644018200275</v>
      </c>
      <c r="AW29" s="162">
        <f t="shared" si="10"/>
        <v>0.21919516516002283</v>
      </c>
      <c r="AX29" s="162">
        <f t="shared" si="11"/>
        <v>-2.915006474699056E-2</v>
      </c>
      <c r="AY29" s="162">
        <f t="shared" si="12"/>
        <v>-1.7791004940621207</v>
      </c>
      <c r="AZ29" s="162">
        <f t="shared" si="13"/>
        <v>-1.8983651005194415</v>
      </c>
      <c r="BA29" s="162">
        <f t="shared" si="14"/>
        <v>-0.87406372736541649</v>
      </c>
      <c r="BB29" s="162">
        <f t="shared" si="15"/>
        <v>-0.8549224942302911</v>
      </c>
      <c r="BC29" s="162">
        <f t="shared" si="16"/>
        <v>-0.6453505314431468</v>
      </c>
      <c r="BD29" s="162">
        <f t="shared" si="17"/>
        <v>-0.53541114112858046</v>
      </c>
      <c r="BE29" s="162">
        <f t="shared" si="18"/>
        <v>-0.58130102056791921</v>
      </c>
      <c r="BF29" s="162">
        <f t="shared" si="19"/>
        <v>-0.59651584690609627</v>
      </c>
      <c r="BG29" s="162">
        <f t="shared" si="20"/>
        <v>-0.56485919210569602</v>
      </c>
      <c r="BH29" s="162">
        <f t="shared" si="21"/>
        <v>-0.52559512413620768</v>
      </c>
      <c r="BJ29" s="168">
        <f t="shared" si="28"/>
        <v>-0.57483880938127441</v>
      </c>
    </row>
    <row r="30" spans="1:62" x14ac:dyDescent="0.2">
      <c r="A30" s="160" t="s">
        <v>511</v>
      </c>
      <c r="B30" s="161" t="s">
        <v>749</v>
      </c>
      <c r="C30" s="161" t="s">
        <v>750</v>
      </c>
      <c r="D30" s="161"/>
      <c r="E30" s="162">
        <v>20.042000000000002</v>
      </c>
      <c r="F30" s="162">
        <v>19.329000000000001</v>
      </c>
      <c r="G30" s="162">
        <v>19.677</v>
      </c>
      <c r="H30" s="162">
        <v>19.446999999999999</v>
      </c>
      <c r="I30" s="162">
        <v>18.794</v>
      </c>
      <c r="J30" s="162">
        <v>19.800999999999998</v>
      </c>
      <c r="K30" s="162">
        <v>19.454999999999998</v>
      </c>
      <c r="L30" s="162">
        <v>19.143999999999998</v>
      </c>
      <c r="M30" s="162">
        <v>19.7</v>
      </c>
      <c r="N30" s="162">
        <v>19.760000000000002</v>
      </c>
      <c r="O30" s="162">
        <v>19.105</v>
      </c>
      <c r="P30" s="162">
        <v>18.725999999999999</v>
      </c>
      <c r="Q30" s="162">
        <v>17.940000000000001</v>
      </c>
      <c r="R30" s="162">
        <v>18.295999999999999</v>
      </c>
      <c r="S30" s="162">
        <v>18.658000000000001</v>
      </c>
      <c r="T30" s="162">
        <v>19.727</v>
      </c>
      <c r="U30" s="162">
        <v>19.853000000000002</v>
      </c>
      <c r="V30" s="162">
        <v>19.728999999999999</v>
      </c>
      <c r="W30" s="162">
        <v>19.562000000000001</v>
      </c>
      <c r="X30" s="162">
        <v>19.594999999999999</v>
      </c>
      <c r="Z30" s="163">
        <f t="shared" si="22"/>
        <v>19.229714285714287</v>
      </c>
      <c r="AA30" s="163">
        <f t="shared" si="23"/>
        <v>0.58542395243245093</v>
      </c>
      <c r="AB30" s="164">
        <f t="shared" si="0"/>
        <v>3.0443715581742217E-2</v>
      </c>
      <c r="AC30" s="165"/>
      <c r="AD30" s="163">
        <f t="shared" si="24"/>
        <v>19.520666666666667</v>
      </c>
      <c r="AE30" s="166">
        <f t="shared" si="25"/>
        <v>1.5130353817504591E-2</v>
      </c>
      <c r="AF30" s="166">
        <f t="shared" si="1"/>
        <v>4.5574069399246811E-2</v>
      </c>
      <c r="AG30" s="166">
        <f t="shared" si="26"/>
        <v>-1.5313361764237626E-2</v>
      </c>
      <c r="AH30" s="167">
        <f t="shared" si="27"/>
        <v>9.041610701156149E-3</v>
      </c>
      <c r="AK30" s="160" t="s">
        <v>511</v>
      </c>
      <c r="AL30" s="161" t="s">
        <v>749</v>
      </c>
      <c r="AM30" s="161" t="s">
        <v>750</v>
      </c>
      <c r="AN30" s="161"/>
      <c r="AO30" s="162">
        <f t="shared" si="2"/>
        <v>1.3875170479626724</v>
      </c>
      <c r="AP30" s="162">
        <f t="shared" si="3"/>
        <v>0.1695962624576236</v>
      </c>
      <c r="AQ30" s="162">
        <f t="shared" si="4"/>
        <v>0.76403726295657892</v>
      </c>
      <c r="AR30" s="162">
        <f t="shared" si="5"/>
        <v>0.37115959021301465</v>
      </c>
      <c r="AS30" s="162">
        <f t="shared" si="6"/>
        <v>-0.74427136761979629</v>
      </c>
      <c r="AT30" s="162">
        <f t="shared" si="7"/>
        <v>0.97584957347919377</v>
      </c>
      <c r="AU30" s="162">
        <f t="shared" si="8"/>
        <v>0.38482490056931101</v>
      </c>
      <c r="AV30" s="162">
        <f t="shared" si="9"/>
        <v>-0.14641403953176838</v>
      </c>
      <c r="AW30" s="162">
        <f t="shared" si="10"/>
        <v>0.80332503023093482</v>
      </c>
      <c r="AX30" s="162">
        <f t="shared" si="11"/>
        <v>0.90581485790317262</v>
      </c>
      <c r="AY30" s="162">
        <f t="shared" si="12"/>
        <v>-0.21303242751871693</v>
      </c>
      <c r="AZ30" s="162">
        <f t="shared" si="13"/>
        <v>-0.86042650564833056</v>
      </c>
      <c r="BA30" s="162">
        <f t="shared" si="14"/>
        <v>-2.2030432481545921</v>
      </c>
      <c r="BB30" s="162">
        <f t="shared" si="15"/>
        <v>-1.5949369372993403</v>
      </c>
      <c r="BC30" s="162">
        <f t="shared" si="16"/>
        <v>-0.97658164367685873</v>
      </c>
      <c r="BD30" s="162">
        <f t="shared" si="17"/>
        <v>0.84944545268344185</v>
      </c>
      <c r="BE30" s="162">
        <f t="shared" si="18"/>
        <v>1.0646740907951353</v>
      </c>
      <c r="BF30" s="162">
        <f t="shared" si="19"/>
        <v>0.85286178027251436</v>
      </c>
      <c r="BG30" s="162">
        <f t="shared" si="20"/>
        <v>0.56759842658479986</v>
      </c>
      <c r="BH30" s="162">
        <f t="shared" si="21"/>
        <v>0.62396783180452464</v>
      </c>
      <c r="BJ30" s="168">
        <f t="shared" si="28"/>
        <v>0.49699432307725955</v>
      </c>
    </row>
    <row r="31" spans="1:62" x14ac:dyDescent="0.2">
      <c r="A31" s="160" t="s">
        <v>21</v>
      </c>
      <c r="B31" s="161" t="s">
        <v>749</v>
      </c>
      <c r="C31" s="161" t="s">
        <v>750</v>
      </c>
      <c r="D31" s="161"/>
      <c r="E31" s="162">
        <v>22.858000000000001</v>
      </c>
      <c r="F31" s="162">
        <v>25.53</v>
      </c>
      <c r="G31" s="162">
        <v>24.22</v>
      </c>
      <c r="H31" s="162">
        <v>24.378</v>
      </c>
      <c r="I31" s="162">
        <v>23.936</v>
      </c>
      <c r="J31" s="162">
        <v>21.699000000000002</v>
      </c>
      <c r="K31" s="162">
        <v>22.791</v>
      </c>
      <c r="L31" s="162">
        <v>21.689</v>
      </c>
      <c r="M31" s="162">
        <v>20.097000000000001</v>
      </c>
      <c r="N31" s="162">
        <v>22.523</v>
      </c>
      <c r="O31" s="162">
        <v>19.158000000000001</v>
      </c>
      <c r="P31" s="162">
        <v>19.364999999999998</v>
      </c>
      <c r="Q31" s="162">
        <v>21.766999999999999</v>
      </c>
      <c r="R31" s="162">
        <v>20.632999999999999</v>
      </c>
      <c r="S31" s="162">
        <v>21.738</v>
      </c>
      <c r="T31" s="162">
        <v>23.312999999999999</v>
      </c>
      <c r="U31" s="162">
        <v>23.625</v>
      </c>
      <c r="V31" s="162">
        <v>23.94</v>
      </c>
      <c r="W31" s="162">
        <v>24.286000000000001</v>
      </c>
      <c r="X31" s="162">
        <v>24.033999999999999</v>
      </c>
      <c r="Z31" s="163">
        <f t="shared" si="22"/>
        <v>22.188857142857142</v>
      </c>
      <c r="AA31" s="163">
        <f t="shared" si="23"/>
        <v>1.8647139519103137</v>
      </c>
      <c r="AB31" s="164">
        <f t="shared" si="0"/>
        <v>8.4038305348709111E-2</v>
      </c>
      <c r="AC31" s="165"/>
      <c r="AD31" s="163">
        <f t="shared" si="24"/>
        <v>23.489333333333335</v>
      </c>
      <c r="AE31" s="166">
        <f t="shared" si="25"/>
        <v>5.8609426438838992E-2</v>
      </c>
      <c r="AF31" s="166">
        <f t="shared" si="1"/>
        <v>0.14264773178754811</v>
      </c>
      <c r="AG31" s="166">
        <f t="shared" si="26"/>
        <v>-2.5428878909870119E-2</v>
      </c>
      <c r="AH31" s="167">
        <f t="shared" si="27"/>
        <v>4.1801765369097167E-2</v>
      </c>
      <c r="AK31" s="160" t="s">
        <v>21</v>
      </c>
      <c r="AL31" s="161" t="s">
        <v>749</v>
      </c>
      <c r="AM31" s="161" t="s">
        <v>750</v>
      </c>
      <c r="AN31" s="161"/>
      <c r="AO31" s="162">
        <f t="shared" si="2"/>
        <v>0.35884477426543238</v>
      </c>
      <c r="AP31" s="162">
        <f t="shared" si="3"/>
        <v>1.791772327181878</v>
      </c>
      <c r="AQ31" s="162">
        <f t="shared" si="4"/>
        <v>1.0892517080499369</v>
      </c>
      <c r="AR31" s="162">
        <f t="shared" si="5"/>
        <v>1.1739832025711945</v>
      </c>
      <c r="AS31" s="162">
        <f t="shared" si="6"/>
        <v>0.93694952802438713</v>
      </c>
      <c r="AT31" s="162">
        <f t="shared" si="7"/>
        <v>-0.26269827731771084</v>
      </c>
      <c r="AU31" s="162">
        <f t="shared" si="8"/>
        <v>0.32291433038616513</v>
      </c>
      <c r="AV31" s="162">
        <f t="shared" si="9"/>
        <v>-0.26806103013551275</v>
      </c>
      <c r="AW31" s="162">
        <f t="shared" si="10"/>
        <v>-1.1218112787294421</v>
      </c>
      <c r="AX31" s="162">
        <f t="shared" si="11"/>
        <v>0.17919255486909613</v>
      </c>
      <c r="AY31" s="162">
        <f t="shared" si="12"/>
        <v>-1.6253737683209624</v>
      </c>
      <c r="AZ31" s="162">
        <f t="shared" si="13"/>
        <v>-1.5143647849924817</v>
      </c>
      <c r="BA31" s="162">
        <f t="shared" si="14"/>
        <v>-0.22623155815666474</v>
      </c>
      <c r="BB31" s="162">
        <f t="shared" si="15"/>
        <v>-0.83436772769530598</v>
      </c>
      <c r="BC31" s="162">
        <f t="shared" si="16"/>
        <v>-0.24178354132828778</v>
      </c>
      <c r="BD31" s="162">
        <f t="shared" si="17"/>
        <v>0.60285002747538008</v>
      </c>
      <c r="BE31" s="162">
        <f t="shared" si="18"/>
        <v>0.770167915390774</v>
      </c>
      <c r="BF31" s="162">
        <f t="shared" si="19"/>
        <v>0.93909462915150832</v>
      </c>
      <c r="BG31" s="162">
        <f t="shared" si="20"/>
        <v>1.1246458766474252</v>
      </c>
      <c r="BH31" s="162">
        <f t="shared" si="21"/>
        <v>0.98950450563883707</v>
      </c>
      <c r="BJ31" s="168">
        <f t="shared" si="28"/>
        <v>0.69741323549593937</v>
      </c>
    </row>
    <row r="32" spans="1:62" x14ac:dyDescent="0.2">
      <c r="A32" s="160" t="s">
        <v>496</v>
      </c>
      <c r="B32" s="161" t="s">
        <v>749</v>
      </c>
      <c r="C32" s="161" t="s">
        <v>750</v>
      </c>
      <c r="D32" s="161"/>
      <c r="E32" s="162">
        <v>42.100999999999999</v>
      </c>
      <c r="F32" s="162">
        <v>52.347999999999999</v>
      </c>
      <c r="G32" s="162">
        <v>53.267000000000003</v>
      </c>
      <c r="H32" s="162">
        <v>57.183999999999997</v>
      </c>
      <c r="I32" s="162">
        <v>57.49</v>
      </c>
      <c r="J32" s="162">
        <v>47.128</v>
      </c>
      <c r="K32" s="162">
        <v>46.552</v>
      </c>
      <c r="L32" s="162">
        <v>58.189</v>
      </c>
      <c r="M32" s="162">
        <v>52.292000000000002</v>
      </c>
      <c r="N32" s="162">
        <v>49.813000000000002</v>
      </c>
      <c r="O32" s="162">
        <v>47.213999999999999</v>
      </c>
      <c r="P32" s="162">
        <v>40.936</v>
      </c>
      <c r="Q32" s="162">
        <v>43.558</v>
      </c>
      <c r="R32" s="162">
        <v>41.401000000000003</v>
      </c>
      <c r="S32" s="162">
        <v>41.747999999999998</v>
      </c>
      <c r="T32" s="162">
        <v>42.021000000000001</v>
      </c>
      <c r="U32" s="162">
        <v>41.966000000000001</v>
      </c>
      <c r="V32" s="162">
        <v>42.093000000000004</v>
      </c>
      <c r="W32" s="162">
        <v>42.036999999999999</v>
      </c>
      <c r="X32" s="162">
        <v>42.052</v>
      </c>
      <c r="Z32" s="163">
        <f t="shared" si="22"/>
        <v>49.248071428571428</v>
      </c>
      <c r="AA32" s="163">
        <f t="shared" si="23"/>
        <v>5.8322998216127324</v>
      </c>
      <c r="AB32" s="164">
        <f t="shared" si="0"/>
        <v>0.11842696886256351</v>
      </c>
      <c r="AC32" s="165"/>
      <c r="AD32" s="163">
        <f t="shared" si="24"/>
        <v>41.986166666666669</v>
      </c>
      <c r="AE32" s="166">
        <f t="shared" si="25"/>
        <v>-0.1474556170679151</v>
      </c>
      <c r="AF32" s="166">
        <f t="shared" si="1"/>
        <v>-2.9028648205351587E-2</v>
      </c>
      <c r="AG32" s="166">
        <f t="shared" si="26"/>
        <v>-0.26588258593047864</v>
      </c>
      <c r="AH32" s="167">
        <f t="shared" si="27"/>
        <v>-0.17114101084042782</v>
      </c>
      <c r="AK32" s="160" t="s">
        <v>496</v>
      </c>
      <c r="AL32" s="161" t="s">
        <v>749</v>
      </c>
      <c r="AM32" s="161" t="s">
        <v>750</v>
      </c>
      <c r="AN32" s="161"/>
      <c r="AO32" s="162">
        <f t="shared" si="2"/>
        <v>-1.2254293584301947</v>
      </c>
      <c r="AP32" s="162">
        <f t="shared" si="3"/>
        <v>0.53151049607243717</v>
      </c>
      <c r="AQ32" s="162">
        <f t="shared" si="4"/>
        <v>0.68908127057111246</v>
      </c>
      <c r="AR32" s="162">
        <f t="shared" si="5"/>
        <v>1.3606859753712295</v>
      </c>
      <c r="AS32" s="162">
        <f t="shared" si="6"/>
        <v>1.4131524138876552</v>
      </c>
      <c r="AT32" s="162">
        <f t="shared" si="7"/>
        <v>-0.36350521979598638</v>
      </c>
      <c r="AU32" s="162">
        <f t="shared" si="8"/>
        <v>-0.46226557465043322</v>
      </c>
      <c r="AV32" s="162">
        <f t="shared" si="9"/>
        <v>1.5330022195183115</v>
      </c>
      <c r="AW32" s="162">
        <f t="shared" si="10"/>
        <v>0.52190879490603315</v>
      </c>
      <c r="AX32" s="162">
        <f t="shared" si="11"/>
        <v>9.6862059343231999E-2</v>
      </c>
      <c r="AY32" s="162">
        <f t="shared" si="12"/>
        <v>-0.34875975014757965</v>
      </c>
      <c r="AZ32" s="162">
        <f t="shared" si="13"/>
        <v>-1.4251790344812891</v>
      </c>
      <c r="BA32" s="162">
        <f t="shared" si="14"/>
        <v>-0.97561366915427628</v>
      </c>
      <c r="BB32" s="162">
        <f t="shared" si="15"/>
        <v>-1.3454506230102508</v>
      </c>
      <c r="BC32" s="162">
        <f t="shared" si="16"/>
        <v>-1.2859543675684235</v>
      </c>
      <c r="BD32" s="162">
        <f t="shared" si="17"/>
        <v>-1.2391460743822009</v>
      </c>
      <c r="BE32" s="162">
        <f t="shared" si="18"/>
        <v>-1.2485763165992052</v>
      </c>
      <c r="BF32" s="162">
        <f t="shared" si="19"/>
        <v>-1.2268010300253946</v>
      </c>
      <c r="BG32" s="162">
        <f t="shared" si="20"/>
        <v>-1.2364027311917998</v>
      </c>
      <c r="BH32" s="162">
        <f t="shared" si="21"/>
        <v>-1.2338308469507986</v>
      </c>
      <c r="BJ32" s="168">
        <f t="shared" si="28"/>
        <v>-1.2451185611196371</v>
      </c>
    </row>
    <row r="33" spans="1:62" x14ac:dyDescent="0.2">
      <c r="A33" s="160" t="s">
        <v>540</v>
      </c>
      <c r="B33" s="161" t="s">
        <v>749</v>
      </c>
      <c r="C33" s="161" t="s">
        <v>750</v>
      </c>
      <c r="D33" s="161"/>
      <c r="E33" s="162">
        <v>60.41</v>
      </c>
      <c r="F33" s="162">
        <v>62.960999999999999</v>
      </c>
      <c r="G33" s="162">
        <v>62.28</v>
      </c>
      <c r="H33" s="162">
        <v>80.688000000000002</v>
      </c>
      <c r="I33" s="162">
        <v>65.608999999999995</v>
      </c>
      <c r="J33" s="162">
        <v>70.391000000000005</v>
      </c>
      <c r="K33" s="162">
        <v>42.414000000000001</v>
      </c>
      <c r="L33" s="162">
        <v>74.248000000000005</v>
      </c>
      <c r="M33" s="162">
        <v>82.98</v>
      </c>
      <c r="N33" s="162">
        <v>69.305000000000007</v>
      </c>
      <c r="O33" s="162">
        <v>51.218000000000004</v>
      </c>
      <c r="P33" s="162">
        <v>31.742999999999999</v>
      </c>
      <c r="Q33" s="162">
        <v>51.8</v>
      </c>
      <c r="R33" s="162">
        <v>70.296999999999997</v>
      </c>
      <c r="S33" s="162">
        <v>81.387</v>
      </c>
      <c r="T33" s="162">
        <v>75.299000000000007</v>
      </c>
      <c r="U33" s="162">
        <v>67.933000000000007</v>
      </c>
      <c r="V33" s="162">
        <v>62.341000000000001</v>
      </c>
      <c r="W33" s="162">
        <v>56.822000000000003</v>
      </c>
      <c r="X33" s="162">
        <v>50.238</v>
      </c>
      <c r="Z33" s="163">
        <f t="shared" si="22"/>
        <v>62.596000000000004</v>
      </c>
      <c r="AA33" s="163">
        <f t="shared" si="23"/>
        <v>13.79181488627008</v>
      </c>
      <c r="AB33" s="164">
        <f t="shared" si="0"/>
        <v>0.22033061036280399</v>
      </c>
      <c r="AC33" s="165"/>
      <c r="AD33" s="163">
        <f t="shared" si="24"/>
        <v>65.67</v>
      </c>
      <c r="AE33" s="166">
        <f t="shared" si="25"/>
        <v>4.9108569237650931E-2</v>
      </c>
      <c r="AF33" s="166">
        <f t="shared" si="1"/>
        <v>0.26943917960045494</v>
      </c>
      <c r="AG33" s="166">
        <f t="shared" si="26"/>
        <v>-0.17122204112515305</v>
      </c>
      <c r="AH33" s="167">
        <f t="shared" si="27"/>
        <v>5.0424471650901415E-3</v>
      </c>
      <c r="AK33" s="160" t="s">
        <v>540</v>
      </c>
      <c r="AL33" s="161" t="s">
        <v>749</v>
      </c>
      <c r="AM33" s="161" t="s">
        <v>750</v>
      </c>
      <c r="AN33" s="161"/>
      <c r="AO33" s="162">
        <f t="shared" si="2"/>
        <v>-0.15849980717013515</v>
      </c>
      <c r="AP33" s="162">
        <f t="shared" si="3"/>
        <v>2.6464972377446629E-2</v>
      </c>
      <c r="AQ33" s="162">
        <f t="shared" si="4"/>
        <v>-2.2912140469241966E-2</v>
      </c>
      <c r="AR33" s="162">
        <f t="shared" si="5"/>
        <v>1.3117925486377291</v>
      </c>
      <c r="AS33" s="162">
        <f t="shared" si="6"/>
        <v>0.21846290896780157</v>
      </c>
      <c r="AT33" s="162">
        <f t="shared" si="7"/>
        <v>0.56519030049917651</v>
      </c>
      <c r="AU33" s="162">
        <f t="shared" si="8"/>
        <v>-1.4633317055387272</v>
      </c>
      <c r="AV33" s="162">
        <f t="shared" si="9"/>
        <v>0.84484892641647247</v>
      </c>
      <c r="AW33" s="162">
        <f t="shared" si="10"/>
        <v>1.477978073813369</v>
      </c>
      <c r="AX33" s="162">
        <f t="shared" si="11"/>
        <v>0.48644794432956712</v>
      </c>
      <c r="AY33" s="162">
        <f t="shared" si="12"/>
        <v>-0.82498207043997795</v>
      </c>
      <c r="AZ33" s="162">
        <f t="shared" si="13"/>
        <v>-2.2370514870174585</v>
      </c>
      <c r="BA33" s="162">
        <f t="shared" si="14"/>
        <v>-0.78278312818333695</v>
      </c>
      <c r="BB33" s="162">
        <f t="shared" si="15"/>
        <v>0.55837466377731282</v>
      </c>
      <c r="BC33" s="162">
        <f t="shared" si="16"/>
        <v>1.3624747834098807</v>
      </c>
      <c r="BD33" s="162">
        <f t="shared" si="17"/>
        <v>0.92105354550879259</v>
      </c>
      <c r="BE33" s="162">
        <f t="shared" si="18"/>
        <v>0.38696865089982119</v>
      </c>
      <c r="BF33" s="162">
        <f t="shared" si="19"/>
        <v>-1.8489227277394663E-2</v>
      </c>
      <c r="BG33" s="162">
        <f t="shared" si="20"/>
        <v>-0.41865411097912053</v>
      </c>
      <c r="BH33" s="162">
        <f t="shared" si="21"/>
        <v>-0.89603870860408252</v>
      </c>
      <c r="BJ33" s="168">
        <f t="shared" si="28"/>
        <v>0.22288582215964939</v>
      </c>
    </row>
    <row r="34" spans="1:62" x14ac:dyDescent="0.2">
      <c r="A34" s="160" t="s">
        <v>501</v>
      </c>
      <c r="B34" s="161" t="s">
        <v>749</v>
      </c>
      <c r="C34" s="161" t="s">
        <v>750</v>
      </c>
      <c r="D34" s="161"/>
      <c r="E34" s="162">
        <v>18.462</v>
      </c>
      <c r="F34" s="162">
        <v>20.962</v>
      </c>
      <c r="G34" s="162">
        <v>15.996</v>
      </c>
      <c r="H34" s="162">
        <v>15.938000000000001</v>
      </c>
      <c r="I34" s="162">
        <v>11.525</v>
      </c>
      <c r="J34" s="162">
        <v>13.173</v>
      </c>
      <c r="K34" s="162">
        <v>11.675000000000001</v>
      </c>
      <c r="L34" s="162">
        <v>10.83</v>
      </c>
      <c r="M34" s="162">
        <v>10.897</v>
      </c>
      <c r="N34" s="162">
        <v>12.43</v>
      </c>
      <c r="O34" s="162">
        <v>11.879</v>
      </c>
      <c r="P34" s="162">
        <v>14.8</v>
      </c>
      <c r="Q34" s="162">
        <v>14.755000000000001</v>
      </c>
      <c r="R34" s="162">
        <v>14.917999999999999</v>
      </c>
      <c r="S34" s="162">
        <v>15.881</v>
      </c>
      <c r="T34" s="162">
        <v>15.007</v>
      </c>
      <c r="U34" s="162">
        <v>14.776999999999999</v>
      </c>
      <c r="V34" s="162">
        <v>14.818</v>
      </c>
      <c r="W34" s="162">
        <v>15.048</v>
      </c>
      <c r="X34" s="162">
        <v>15.175000000000001</v>
      </c>
      <c r="Z34" s="163">
        <f t="shared" si="22"/>
        <v>14.16</v>
      </c>
      <c r="AA34" s="163">
        <f t="shared" si="23"/>
        <v>2.8867842464781241</v>
      </c>
      <c r="AB34" s="164">
        <f t="shared" si="0"/>
        <v>0.20386894396031949</v>
      </c>
      <c r="AC34" s="165"/>
      <c r="AD34" s="163">
        <f t="shared" si="24"/>
        <v>15.117666666666665</v>
      </c>
      <c r="AE34" s="166">
        <f t="shared" si="25"/>
        <v>6.7631826741996096E-2</v>
      </c>
      <c r="AF34" s="166">
        <f t="shared" si="1"/>
        <v>0.2715007707023156</v>
      </c>
      <c r="AG34" s="166">
        <f t="shared" si="26"/>
        <v>-0.13623711721832338</v>
      </c>
      <c r="AH34" s="167">
        <f t="shared" si="27"/>
        <v>2.6858037949932197E-2</v>
      </c>
      <c r="AK34" s="160" t="s">
        <v>501</v>
      </c>
      <c r="AL34" s="161" t="s">
        <v>749</v>
      </c>
      <c r="AM34" s="161" t="s">
        <v>750</v>
      </c>
      <c r="AN34" s="161"/>
      <c r="AO34" s="162">
        <f t="shared" si="2"/>
        <v>1.4902395304562293</v>
      </c>
      <c r="AP34" s="162">
        <f t="shared" si="3"/>
        <v>2.3562550641941593</v>
      </c>
      <c r="AQ34" s="162">
        <f t="shared" si="4"/>
        <v>0.63600180797713568</v>
      </c>
      <c r="AR34" s="162">
        <f t="shared" si="5"/>
        <v>0.61591024759441582</v>
      </c>
      <c r="AS34" s="162">
        <f t="shared" si="6"/>
        <v>-0.91278037255977784</v>
      </c>
      <c r="AT34" s="162">
        <f t="shared" si="7"/>
        <v>-0.34190293271973471</v>
      </c>
      <c r="AU34" s="162">
        <f t="shared" si="8"/>
        <v>-0.86081944053550197</v>
      </c>
      <c r="AV34" s="162">
        <f t="shared" si="9"/>
        <v>-1.1535326909389225</v>
      </c>
      <c r="AW34" s="162">
        <f t="shared" si="10"/>
        <v>-1.1303234746347459</v>
      </c>
      <c r="AX34" s="162">
        <f t="shared" si="11"/>
        <v>-0.59928274934664749</v>
      </c>
      <c r="AY34" s="162">
        <f t="shared" si="12"/>
        <v>-0.79015257298248731</v>
      </c>
      <c r="AZ34" s="162">
        <f t="shared" si="13"/>
        <v>0.22169997663691021</v>
      </c>
      <c r="BA34" s="162">
        <f t="shared" si="14"/>
        <v>0.20611169702962751</v>
      </c>
      <c r="BB34" s="162">
        <f t="shared" si="15"/>
        <v>0.26257590982933998</v>
      </c>
      <c r="BC34" s="162">
        <f t="shared" si="16"/>
        <v>0.59616509342519086</v>
      </c>
      <c r="BD34" s="162">
        <f t="shared" si="17"/>
        <v>0.29340606283041043</v>
      </c>
      <c r="BE34" s="162">
        <f t="shared" si="18"/>
        <v>0.21373263372652074</v>
      </c>
      <c r="BF34" s="162">
        <f t="shared" si="19"/>
        <v>0.22793528847982292</v>
      </c>
      <c r="BG34" s="162">
        <f t="shared" si="20"/>
        <v>0.30760871758371261</v>
      </c>
      <c r="BH34" s="162">
        <f t="shared" si="21"/>
        <v>0.35160230669759968</v>
      </c>
      <c r="BJ34" s="168">
        <f t="shared" si="28"/>
        <v>0.33174168379054286</v>
      </c>
    </row>
    <row r="35" spans="1:62" x14ac:dyDescent="0.2">
      <c r="A35" s="160" t="s">
        <v>524</v>
      </c>
      <c r="B35" s="161" t="s">
        <v>749</v>
      </c>
      <c r="C35" s="161" t="s">
        <v>750</v>
      </c>
      <c r="D35" s="161"/>
      <c r="E35" s="162">
        <v>24.21</v>
      </c>
      <c r="F35" s="162">
        <v>28.422999999999998</v>
      </c>
      <c r="G35" s="162">
        <v>28.259</v>
      </c>
      <c r="H35" s="162">
        <v>28.074999999999999</v>
      </c>
      <c r="I35" s="162">
        <v>26.911000000000001</v>
      </c>
      <c r="J35" s="162">
        <v>31.817</v>
      </c>
      <c r="K35" s="162">
        <v>21.945</v>
      </c>
      <c r="L35" s="162">
        <v>27.146999999999998</v>
      </c>
      <c r="M35" s="162">
        <v>28.276</v>
      </c>
      <c r="N35" s="162">
        <v>24.986000000000001</v>
      </c>
      <c r="O35" s="162">
        <v>24.722000000000001</v>
      </c>
      <c r="P35" s="162">
        <v>23.677</v>
      </c>
      <c r="Q35" s="162">
        <v>25.248000000000001</v>
      </c>
      <c r="R35" s="162">
        <v>23.533000000000001</v>
      </c>
      <c r="S35" s="162">
        <v>27.016999999999999</v>
      </c>
      <c r="T35" s="162">
        <v>25.300999999999998</v>
      </c>
      <c r="U35" s="162">
        <v>25.466999999999999</v>
      </c>
      <c r="V35" s="162">
        <v>25.762</v>
      </c>
      <c r="W35" s="162">
        <v>25.952999999999999</v>
      </c>
      <c r="X35" s="162">
        <v>25.931999999999999</v>
      </c>
      <c r="Z35" s="163">
        <f t="shared" si="22"/>
        <v>26.230642857142858</v>
      </c>
      <c r="AA35" s="163">
        <f t="shared" si="23"/>
        <v>2.5362318958628038</v>
      </c>
      <c r="AB35" s="164">
        <f t="shared" ref="AB35:AB64" si="29">AA35/Z35</f>
        <v>9.6689658338745724E-2</v>
      </c>
      <c r="AC35" s="165"/>
      <c r="AD35" s="163">
        <f t="shared" si="24"/>
        <v>25.905333333333331</v>
      </c>
      <c r="AE35" s="166">
        <f t="shared" si="25"/>
        <v>-1.240188910280334E-2</v>
      </c>
      <c r="AF35" s="166">
        <f t="shared" ref="AF35:AF64" si="30">AE35+AB35</f>
        <v>8.4287769235942389E-2</v>
      </c>
      <c r="AG35" s="166">
        <f t="shared" ref="AG35:AG64" si="31">AE35-AB35</f>
        <v>-0.10909154744154906</v>
      </c>
      <c r="AH35" s="167">
        <f t="shared" si="27"/>
        <v>-3.1739820770552485E-2</v>
      </c>
      <c r="AK35" s="160" t="s">
        <v>524</v>
      </c>
      <c r="AL35" s="161" t="s">
        <v>749</v>
      </c>
      <c r="AM35" s="161" t="s">
        <v>750</v>
      </c>
      <c r="AN35" s="161"/>
      <c r="AO35" s="162">
        <f t="shared" ref="AO35:AO64" si="32">STANDARDIZE(E35,$Z35,$AA35)</f>
        <v>-0.79671060853662667</v>
      </c>
      <c r="AP35" s="162">
        <f t="shared" ref="AP35:AP64" si="33">STANDARDIZE(F35,$Z35,$AA35)</f>
        <v>0.86441509801741534</v>
      </c>
      <c r="AQ35" s="162">
        <f t="shared" ref="AQ35:AQ64" si="34">STANDARDIZE(G35,$Z35,$AA35)</f>
        <v>0.79975224117553079</v>
      </c>
      <c r="AR35" s="162">
        <f t="shared" ref="AR35:AR64" si="35">STANDARDIZE(H35,$Z35,$AA35)</f>
        <v>0.7272036700846346</v>
      </c>
      <c r="AS35" s="162">
        <f t="shared" ref="AS35:AS64" si="36">STANDARDIZE(I35,$Z35,$AA35)</f>
        <v>0.26825510079222953</v>
      </c>
      <c r="AT35" s="162">
        <f t="shared" ref="AT35:AT64" si="37">STANDARDIZE(J35,$Z35,$AA35)</f>
        <v>2.2026208060744827</v>
      </c>
      <c r="AU35" s="162">
        <f t="shared" ref="AU35:AU64" si="38">STANDARDIZE(K35,$Z35,$AA35)</f>
        <v>-1.6897677472370558</v>
      </c>
      <c r="AV35" s="162">
        <f t="shared" ref="AV35:AV64" si="39">STANDARDIZE(L35,$Z35,$AA35)</f>
        <v>0.36130652893055121</v>
      </c>
      <c r="AW35" s="162">
        <f t="shared" ref="AW35:AW64" si="40">STANDARDIZE(M35,$Z35,$AA35)</f>
        <v>0.80645509828718942</v>
      </c>
      <c r="AX35" s="162">
        <f t="shared" ref="AX35:AX64" si="41">STANDARDIZE(N35,$Z35,$AA35)</f>
        <v>-0.49074489567502277</v>
      </c>
      <c r="AY35" s="162">
        <f t="shared" ref="AY35:AY64" si="42">STANDARDIZE(O35,$Z35,$AA35)</f>
        <v>-0.59483632376195994</v>
      </c>
      <c r="AZ35" s="162">
        <f t="shared" ref="AZ35:AZ64" si="43">STANDARDIZE(P35,$Z35,$AA35)</f>
        <v>-1.0068648932727546</v>
      </c>
      <c r="BA35" s="162">
        <f t="shared" ref="BA35:BA64" si="44">STANDARDIZE(Q35,$Z35,$AA35)</f>
        <v>-0.38744203901298624</v>
      </c>
      <c r="BB35" s="162">
        <f t="shared" ref="BB35:BB64" si="45">STANDARDIZE(R35,$Z35,$AA35)</f>
        <v>-1.0636420358656289</v>
      </c>
      <c r="BC35" s="162">
        <f t="shared" ref="BC35:BC64" si="46">STANDARDIZE(S35,$Z35,$AA35)</f>
        <v>0.31004938631198392</v>
      </c>
      <c r="BD35" s="162">
        <f t="shared" ref="BD35:BD64" si="47">STANDARDIZE(T35,$Z35,$AA35)</f>
        <v>-0.36654489625310971</v>
      </c>
      <c r="BE35" s="162">
        <f t="shared" ref="BE35:BE64" si="48">STANDARDIZE(U35,$Z35,$AA35)</f>
        <v>-0.30109346798632319</v>
      </c>
      <c r="BF35" s="162">
        <f t="shared" ref="BF35:BF64" si="49">STANDARDIZE(V35,$Z35,$AA35)</f>
        <v>-0.18477918281341893</v>
      </c>
      <c r="BG35" s="162">
        <f t="shared" ref="BG35:BG64" si="50">STANDARDIZE(W35,$Z35,$AA35)</f>
        <v>-0.10947061173536993</v>
      </c>
      <c r="BH35" s="162">
        <f t="shared" ref="BH35:BH64" si="51">STANDARDIZE(X35,$Z35,$AA35)</f>
        <v>-0.11775061169683118</v>
      </c>
      <c r="BJ35" s="168">
        <f t="shared" si="28"/>
        <v>-0.12826489736217817</v>
      </c>
    </row>
    <row r="36" spans="1:62" x14ac:dyDescent="0.2">
      <c r="A36" s="160" t="s">
        <v>486</v>
      </c>
      <c r="B36" s="161" t="s">
        <v>749</v>
      </c>
      <c r="C36" s="161" t="s">
        <v>750</v>
      </c>
      <c r="D36" s="161"/>
      <c r="E36" s="162">
        <v>22.013000000000002</v>
      </c>
      <c r="F36" s="162">
        <v>23.298999999999999</v>
      </c>
      <c r="G36" s="162">
        <v>23.649000000000001</v>
      </c>
      <c r="H36" s="162">
        <v>23.849</v>
      </c>
      <c r="I36" s="162">
        <v>25.364999999999998</v>
      </c>
      <c r="J36" s="162">
        <v>22.602</v>
      </c>
      <c r="K36" s="162">
        <v>23.853999999999999</v>
      </c>
      <c r="L36" s="162">
        <v>25.763000000000002</v>
      </c>
      <c r="M36" s="162">
        <v>24.646999999999998</v>
      </c>
      <c r="N36" s="162">
        <v>23.66</v>
      </c>
      <c r="O36" s="162">
        <v>22.515000000000001</v>
      </c>
      <c r="P36" s="162">
        <v>20.399999999999999</v>
      </c>
      <c r="Q36" s="162">
        <v>19.431999999999999</v>
      </c>
      <c r="R36" s="162">
        <v>19.344999999999999</v>
      </c>
      <c r="S36" s="162">
        <v>19.952000000000002</v>
      </c>
      <c r="T36" s="162">
        <v>17.771999999999998</v>
      </c>
      <c r="U36" s="162">
        <v>17.645</v>
      </c>
      <c r="V36" s="162">
        <v>17.632000000000001</v>
      </c>
      <c r="W36" s="162">
        <v>17.532</v>
      </c>
      <c r="X36" s="162">
        <v>17.513999999999999</v>
      </c>
      <c r="Z36" s="163">
        <f t="shared" si="22"/>
        <v>22.88521428571428</v>
      </c>
      <c r="AA36" s="163">
        <f t="shared" si="23"/>
        <v>1.9340798542596584</v>
      </c>
      <c r="AB36" s="164">
        <f t="shared" si="29"/>
        <v>8.4512202075685883E-2</v>
      </c>
      <c r="AC36" s="165"/>
      <c r="AD36" s="163">
        <f t="shared" si="24"/>
        <v>18.007833333333334</v>
      </c>
      <c r="AE36" s="166">
        <f t="shared" si="25"/>
        <v>-0.21312367415434563</v>
      </c>
      <c r="AF36" s="166">
        <f t="shared" si="30"/>
        <v>-0.12861147207865975</v>
      </c>
      <c r="AG36" s="166">
        <f t="shared" si="31"/>
        <v>-0.29763587623003152</v>
      </c>
      <c r="AH36" s="167">
        <f t="shared" si="27"/>
        <v>-0.2300261145694828</v>
      </c>
      <c r="AK36" s="160" t="s">
        <v>486</v>
      </c>
      <c r="AL36" s="161" t="s">
        <v>749</v>
      </c>
      <c r="AM36" s="161" t="s">
        <v>750</v>
      </c>
      <c r="AN36" s="161"/>
      <c r="AO36" s="162">
        <f t="shared" si="32"/>
        <v>-0.45097118601038899</v>
      </c>
      <c r="AP36" s="162">
        <f t="shared" si="33"/>
        <v>0.21394448288905388</v>
      </c>
      <c r="AQ36" s="162">
        <f t="shared" si="34"/>
        <v>0.39490908951020964</v>
      </c>
      <c r="AR36" s="162">
        <f t="shared" si="35"/>
        <v>0.49831743615086932</v>
      </c>
      <c r="AS36" s="162">
        <f t="shared" si="36"/>
        <v>1.2821527036870715</v>
      </c>
      <c r="AT36" s="162">
        <f t="shared" si="37"/>
        <v>-0.14643360515364592</v>
      </c>
      <c r="AU36" s="162">
        <f t="shared" si="38"/>
        <v>0.50090264481688529</v>
      </c>
      <c r="AV36" s="162">
        <f t="shared" si="39"/>
        <v>1.4879353135019866</v>
      </c>
      <c r="AW36" s="162">
        <f t="shared" si="40"/>
        <v>0.91091673924710193</v>
      </c>
      <c r="AX36" s="162">
        <f t="shared" si="41"/>
        <v>0.40059654857544558</v>
      </c>
      <c r="AY36" s="162">
        <f t="shared" si="42"/>
        <v>-0.1914162359423329</v>
      </c>
      <c r="AZ36" s="162">
        <f t="shared" si="43"/>
        <v>-1.2849595016673139</v>
      </c>
      <c r="BA36" s="162">
        <f t="shared" si="44"/>
        <v>-1.7854558994081084</v>
      </c>
      <c r="BB36" s="162">
        <f t="shared" si="45"/>
        <v>-1.8304385301967954</v>
      </c>
      <c r="BC36" s="162">
        <f t="shared" si="46"/>
        <v>-1.5165941981423907</v>
      </c>
      <c r="BD36" s="162">
        <f t="shared" si="47"/>
        <v>-2.6437451765255866</v>
      </c>
      <c r="BE36" s="162">
        <f t="shared" si="48"/>
        <v>-2.7094094766424051</v>
      </c>
      <c r="BF36" s="162">
        <f t="shared" si="49"/>
        <v>-2.7161310191740471</v>
      </c>
      <c r="BG36" s="162">
        <f t="shared" si="50"/>
        <v>-2.767835192494378</v>
      </c>
      <c r="BH36" s="162">
        <f t="shared" si="51"/>
        <v>-2.7771419436920377</v>
      </c>
      <c r="BJ36" s="168">
        <f t="shared" si="28"/>
        <v>-2.5218095011118074</v>
      </c>
    </row>
    <row r="37" spans="1:62" x14ac:dyDescent="0.2">
      <c r="A37" s="160" t="s">
        <v>499</v>
      </c>
      <c r="B37" s="161" t="s">
        <v>749</v>
      </c>
      <c r="C37" s="161" t="s">
        <v>750</v>
      </c>
      <c r="D37" s="161"/>
      <c r="E37" s="162">
        <v>30.742999999999999</v>
      </c>
      <c r="F37" s="162">
        <v>30.277000000000001</v>
      </c>
      <c r="G37" s="162">
        <v>31.501999999999999</v>
      </c>
      <c r="H37" s="162">
        <v>25.498999999999999</v>
      </c>
      <c r="I37" s="162">
        <v>19.056999999999999</v>
      </c>
      <c r="J37" s="162">
        <v>19.593</v>
      </c>
      <c r="K37" s="162">
        <v>23.13</v>
      </c>
      <c r="L37" s="162">
        <v>22.753</v>
      </c>
      <c r="M37" s="162">
        <v>22.974</v>
      </c>
      <c r="N37" s="162">
        <v>26.448</v>
      </c>
      <c r="O37" s="162">
        <v>27.085000000000001</v>
      </c>
      <c r="P37" s="162">
        <v>27.303000000000001</v>
      </c>
      <c r="Q37" s="162">
        <v>26.922000000000001</v>
      </c>
      <c r="R37" s="162">
        <v>27.233000000000001</v>
      </c>
      <c r="S37" s="162">
        <v>25.986000000000001</v>
      </c>
      <c r="T37" s="162">
        <v>26.027999999999999</v>
      </c>
      <c r="U37" s="162">
        <v>25.917000000000002</v>
      </c>
      <c r="V37" s="162">
        <v>25.725000000000001</v>
      </c>
      <c r="W37" s="162">
        <v>25.561</v>
      </c>
      <c r="X37" s="162">
        <v>25.449000000000002</v>
      </c>
      <c r="Z37" s="163">
        <f t="shared" si="22"/>
        <v>25.751357142857142</v>
      </c>
      <c r="AA37" s="163">
        <f t="shared" si="23"/>
        <v>3.7137183062482411</v>
      </c>
      <c r="AB37" s="164">
        <f t="shared" si="29"/>
        <v>0.14421446938296006</v>
      </c>
      <c r="AC37" s="165"/>
      <c r="AD37" s="163">
        <f t="shared" si="24"/>
        <v>25.777666666666672</v>
      </c>
      <c r="AE37" s="166">
        <f t="shared" si="25"/>
        <v>1.021675233020797E-3</v>
      </c>
      <c r="AF37" s="166">
        <f t="shared" si="30"/>
        <v>0.14523614461598086</v>
      </c>
      <c r="AG37" s="166">
        <f t="shared" si="31"/>
        <v>-0.14319279414993927</v>
      </c>
      <c r="AH37" s="167">
        <f t="shared" si="27"/>
        <v>-2.7821218643571212E-2</v>
      </c>
      <c r="AK37" s="160" t="s">
        <v>499</v>
      </c>
      <c r="AL37" s="161" t="s">
        <v>749</v>
      </c>
      <c r="AM37" s="161" t="s">
        <v>750</v>
      </c>
      <c r="AN37" s="161"/>
      <c r="AO37" s="162">
        <f t="shared" si="32"/>
        <v>1.3441091772481879</v>
      </c>
      <c r="AP37" s="162">
        <f t="shared" si="33"/>
        <v>1.2186284698892145</v>
      </c>
      <c r="AQ37" s="162">
        <f t="shared" si="34"/>
        <v>1.5484865525388773</v>
      </c>
      <c r="AR37" s="162">
        <f t="shared" si="35"/>
        <v>-6.7952688396574978E-2</v>
      </c>
      <c r="AS37" s="162">
        <f t="shared" si="36"/>
        <v>-1.8026022952774985</v>
      </c>
      <c r="AT37" s="162">
        <f t="shared" si="37"/>
        <v>-1.6582725546242576</v>
      </c>
      <c r="AU37" s="162">
        <f t="shared" si="38"/>
        <v>-0.70585782945539322</v>
      </c>
      <c r="AV37" s="162">
        <f t="shared" si="39"/>
        <v>-0.80737333734022809</v>
      </c>
      <c r="AW37" s="162">
        <f t="shared" si="40"/>
        <v>-0.74786424651118677</v>
      </c>
      <c r="AX37" s="162">
        <f t="shared" si="41"/>
        <v>0.18758634869283811</v>
      </c>
      <c r="AY37" s="162">
        <f t="shared" si="42"/>
        <v>0.35911255167066314</v>
      </c>
      <c r="AZ37" s="162">
        <f t="shared" si="43"/>
        <v>0.41781382678709306</v>
      </c>
      <c r="BA37" s="162">
        <f t="shared" si="44"/>
        <v>0.3152212312854426</v>
      </c>
      <c r="BB37" s="162">
        <f t="shared" si="45"/>
        <v>0.39896479349282649</v>
      </c>
      <c r="BC37" s="162">
        <f t="shared" si="46"/>
        <v>6.3182728950679432E-2</v>
      </c>
      <c r="BD37" s="162">
        <f t="shared" si="47"/>
        <v>7.4492148927238794E-2</v>
      </c>
      <c r="BE37" s="162">
        <f t="shared" si="48"/>
        <v>4.4602967560617018E-2</v>
      </c>
      <c r="BF37" s="162">
        <f t="shared" si="49"/>
        <v>-7.0972380465139347E-3</v>
      </c>
      <c r="BG37" s="162">
        <f t="shared" si="50"/>
        <v>-5.1257830335938649E-2</v>
      </c>
      <c r="BH37" s="162">
        <f t="shared" si="51"/>
        <v>-8.1416283606764561E-2</v>
      </c>
      <c r="BJ37" s="168">
        <f t="shared" si="28"/>
        <v>7.0844155748863479E-3</v>
      </c>
    </row>
    <row r="38" spans="1:62" x14ac:dyDescent="0.2">
      <c r="A38" s="160" t="s">
        <v>485</v>
      </c>
      <c r="B38" s="161" t="s">
        <v>749</v>
      </c>
      <c r="C38" s="161" t="s">
        <v>750</v>
      </c>
      <c r="D38" s="161"/>
      <c r="E38" s="162">
        <v>18.87</v>
      </c>
      <c r="F38" s="162">
        <v>49.853999999999999</v>
      </c>
      <c r="G38" s="162">
        <v>18.704999999999998</v>
      </c>
      <c r="H38" s="162">
        <v>16.981999999999999</v>
      </c>
      <c r="I38" s="162">
        <v>19.114999999999998</v>
      </c>
      <c r="J38" s="162">
        <v>17.693999999999999</v>
      </c>
      <c r="K38" s="162">
        <v>17.145</v>
      </c>
      <c r="L38" s="162">
        <v>14.574999999999999</v>
      </c>
      <c r="M38" s="162">
        <v>17.387</v>
      </c>
      <c r="N38" s="162">
        <v>17.131</v>
      </c>
      <c r="O38" s="162">
        <v>19.117000000000001</v>
      </c>
      <c r="P38" s="162">
        <v>18.321000000000002</v>
      </c>
      <c r="Q38" s="162">
        <v>20.048999999999999</v>
      </c>
      <c r="R38" s="162">
        <v>15.439</v>
      </c>
      <c r="S38" s="162">
        <v>20.45</v>
      </c>
      <c r="T38" s="162">
        <v>20.959</v>
      </c>
      <c r="U38" s="162">
        <v>21.138999999999999</v>
      </c>
      <c r="V38" s="162">
        <v>21.367000000000001</v>
      </c>
      <c r="W38" s="162">
        <v>21.672999999999998</v>
      </c>
      <c r="X38" s="162">
        <v>21.956</v>
      </c>
      <c r="Z38" s="163">
        <f t="shared" si="22"/>
        <v>20.027428571428572</v>
      </c>
      <c r="AA38" s="163">
        <f t="shared" si="23"/>
        <v>8.3941234777184235</v>
      </c>
      <c r="AB38" s="164">
        <f t="shared" si="29"/>
        <v>0.41913136515656357</v>
      </c>
      <c r="AC38" s="165"/>
      <c r="AD38" s="163">
        <f t="shared" si="24"/>
        <v>21.257333333333335</v>
      </c>
      <c r="AE38" s="166">
        <f t="shared" si="25"/>
        <v>6.1411017271551432E-2</v>
      </c>
      <c r="AF38" s="166">
        <f t="shared" si="30"/>
        <v>0.48054238242811498</v>
      </c>
      <c r="AG38" s="166">
        <f t="shared" si="31"/>
        <v>-0.35772034788501217</v>
      </c>
      <c r="AH38" s="167">
        <f t="shared" si="27"/>
        <v>-2.2415255759761291E-2</v>
      </c>
      <c r="AK38" s="160" t="s">
        <v>485</v>
      </c>
      <c r="AL38" s="161" t="s">
        <v>749</v>
      </c>
      <c r="AM38" s="161" t="s">
        <v>750</v>
      </c>
      <c r="AN38" s="161"/>
      <c r="AO38" s="162">
        <f t="shared" si="32"/>
        <v>-0.13788557846461033</v>
      </c>
      <c r="AP38" s="162">
        <f t="shared" si="33"/>
        <v>3.5532681295127291</v>
      </c>
      <c r="AQ38" s="162">
        <f t="shared" si="34"/>
        <v>-0.15754218709539625</v>
      </c>
      <c r="AR38" s="162">
        <f t="shared" si="35"/>
        <v>-0.36280483358535726</v>
      </c>
      <c r="AS38" s="162">
        <f t="shared" si="36"/>
        <v>-0.10869849292192899</v>
      </c>
      <c r="AT38" s="162">
        <f t="shared" si="37"/>
        <v>-0.27798358906948251</v>
      </c>
      <c r="AU38" s="162">
        <f t="shared" si="38"/>
        <v>-0.34338648687736906</v>
      </c>
      <c r="AV38" s="162">
        <f t="shared" si="39"/>
        <v>-0.64955305767202964</v>
      </c>
      <c r="AW38" s="162">
        <f t="shared" si="40"/>
        <v>-0.31455679421888338</v>
      </c>
      <c r="AX38" s="162">
        <f t="shared" si="41"/>
        <v>-0.34505432033695077</v>
      </c>
      <c r="AY38" s="162">
        <f t="shared" si="42"/>
        <v>-0.1084602309991313</v>
      </c>
      <c r="AZ38" s="162">
        <f t="shared" si="43"/>
        <v>-0.20328847627249691</v>
      </c>
      <c r="BA38" s="162">
        <f t="shared" si="44"/>
        <v>2.5698250244574998E-3</v>
      </c>
      <c r="BB38" s="162">
        <f t="shared" si="45"/>
        <v>-0.54662390702355224</v>
      </c>
      <c r="BC38" s="162">
        <f t="shared" si="46"/>
        <v>5.034134054533642E-2</v>
      </c>
      <c r="BD38" s="162">
        <f t="shared" si="47"/>
        <v>0.11097899989727507</v>
      </c>
      <c r="BE38" s="162">
        <f t="shared" si="48"/>
        <v>0.13242257294904114</v>
      </c>
      <c r="BF38" s="162">
        <f t="shared" si="49"/>
        <v>0.15958443214794507</v>
      </c>
      <c r="BG38" s="162">
        <f t="shared" si="50"/>
        <v>0.19603850633594713</v>
      </c>
      <c r="BH38" s="162">
        <f t="shared" si="51"/>
        <v>0.22975256841177957</v>
      </c>
      <c r="BJ38" s="168">
        <f t="shared" si="28"/>
        <v>0.14651973671455407</v>
      </c>
    </row>
    <row r="39" spans="1:62" x14ac:dyDescent="0.2">
      <c r="A39" s="160" t="s">
        <v>497</v>
      </c>
      <c r="B39" s="161" t="s">
        <v>749</v>
      </c>
      <c r="C39" s="161" t="s">
        <v>750</v>
      </c>
      <c r="D39" s="161"/>
      <c r="E39" s="162">
        <v>39.564</v>
      </c>
      <c r="F39" s="162">
        <v>39.804000000000002</v>
      </c>
      <c r="G39" s="162">
        <v>38.997999999999998</v>
      </c>
      <c r="H39" s="162">
        <v>38.454000000000001</v>
      </c>
      <c r="I39" s="162">
        <v>38.643999999999998</v>
      </c>
      <c r="J39" s="162">
        <v>38.67</v>
      </c>
      <c r="K39" s="162">
        <v>38.835000000000001</v>
      </c>
      <c r="L39" s="162">
        <v>39.225000000000001</v>
      </c>
      <c r="M39" s="162">
        <v>39.520000000000003</v>
      </c>
      <c r="N39" s="162">
        <v>39.338999999999999</v>
      </c>
      <c r="O39" s="162">
        <v>38.518999999999998</v>
      </c>
      <c r="P39" s="162">
        <v>37.414000000000001</v>
      </c>
      <c r="Q39" s="162">
        <v>39.167999999999999</v>
      </c>
      <c r="R39" s="162">
        <v>38.186</v>
      </c>
      <c r="S39" s="162">
        <v>37.533999999999999</v>
      </c>
      <c r="T39" s="162">
        <v>37.311999999999998</v>
      </c>
      <c r="U39" s="162">
        <v>36.973999999999997</v>
      </c>
      <c r="V39" s="162">
        <v>37.1</v>
      </c>
      <c r="W39" s="162">
        <v>35.991</v>
      </c>
      <c r="X39" s="162">
        <v>35.991</v>
      </c>
      <c r="Z39" s="163">
        <f t="shared" si="22"/>
        <v>38.881428571428572</v>
      </c>
      <c r="AA39" s="163">
        <f t="shared" si="23"/>
        <v>0.60957757203372465</v>
      </c>
      <c r="AB39" s="164">
        <f t="shared" si="29"/>
        <v>1.5677859441658053E-2</v>
      </c>
      <c r="AC39" s="165"/>
      <c r="AD39" s="163">
        <f t="shared" si="24"/>
        <v>36.817</v>
      </c>
      <c r="AE39" s="166">
        <f t="shared" si="25"/>
        <v>-5.3095491788220602E-2</v>
      </c>
      <c r="AF39" s="166">
        <f t="shared" si="30"/>
        <v>-3.7417632346562549E-2</v>
      </c>
      <c r="AG39" s="166">
        <f t="shared" si="31"/>
        <v>-6.8773351229878654E-2</v>
      </c>
      <c r="AH39" s="167">
        <f t="shared" si="27"/>
        <v>-5.6231063676552215E-2</v>
      </c>
      <c r="AK39" s="160" t="s">
        <v>497</v>
      </c>
      <c r="AL39" s="161" t="s">
        <v>749</v>
      </c>
      <c r="AM39" s="161" t="s">
        <v>750</v>
      </c>
      <c r="AN39" s="161"/>
      <c r="AO39" s="162">
        <f t="shared" si="32"/>
        <v>1.1197449838815023</v>
      </c>
      <c r="AP39" s="162">
        <f t="shared" si="33"/>
        <v>1.5134602565732018</v>
      </c>
      <c r="AQ39" s="162">
        <f t="shared" si="34"/>
        <v>0.19123313245024803</v>
      </c>
      <c r="AR39" s="162">
        <f t="shared" si="35"/>
        <v>-0.70118815231759168</v>
      </c>
      <c r="AS39" s="162">
        <f t="shared" si="36"/>
        <v>-0.3894968947700026</v>
      </c>
      <c r="AT39" s="162">
        <f t="shared" si="37"/>
        <v>-0.34684440689506335</v>
      </c>
      <c r="AU39" s="162">
        <f t="shared" si="38"/>
        <v>-7.6165156919523566E-2</v>
      </c>
      <c r="AV39" s="162">
        <f t="shared" si="39"/>
        <v>0.56362216120448372</v>
      </c>
      <c r="AW39" s="162">
        <f t="shared" si="40"/>
        <v>1.0475638505546965</v>
      </c>
      <c r="AX39" s="162">
        <f t="shared" si="41"/>
        <v>0.75063691573303493</v>
      </c>
      <c r="AY39" s="162">
        <f t="shared" si="42"/>
        <v>-0.59455693263026099</v>
      </c>
      <c r="AZ39" s="162">
        <f t="shared" si="43"/>
        <v>-2.4072876673149408</v>
      </c>
      <c r="BA39" s="162">
        <f t="shared" si="44"/>
        <v>0.47011478394020234</v>
      </c>
      <c r="BB39" s="162">
        <f t="shared" si="45"/>
        <v>-1.140836873489987</v>
      </c>
      <c r="BC39" s="162">
        <f t="shared" si="46"/>
        <v>-2.2104300309690967</v>
      </c>
      <c r="BD39" s="162">
        <f t="shared" si="47"/>
        <v>-2.5746166582089178</v>
      </c>
      <c r="BE39" s="162">
        <f t="shared" si="48"/>
        <v>-3.1290990005830581</v>
      </c>
      <c r="BF39" s="162">
        <f t="shared" si="49"/>
        <v>-2.9223984824199101</v>
      </c>
      <c r="BG39" s="162">
        <f t="shared" si="50"/>
        <v>-4.741691138316126</v>
      </c>
      <c r="BH39" s="162">
        <f t="shared" si="51"/>
        <v>-4.741691138316126</v>
      </c>
      <c r="BJ39" s="168">
        <f t="shared" si="28"/>
        <v>-3.3866544081355392</v>
      </c>
    </row>
    <row r="40" spans="1:62" x14ac:dyDescent="0.2">
      <c r="A40" s="160" t="s">
        <v>493</v>
      </c>
      <c r="B40" s="161" t="s">
        <v>749</v>
      </c>
      <c r="C40" s="161" t="s">
        <v>750</v>
      </c>
      <c r="D40" s="161"/>
      <c r="E40" s="162">
        <v>24.417000000000002</v>
      </c>
      <c r="F40" s="162">
        <v>27.128</v>
      </c>
      <c r="G40" s="162">
        <v>23.664000000000001</v>
      </c>
      <c r="H40" s="162">
        <v>21.303000000000001</v>
      </c>
      <c r="I40" s="162">
        <v>20.652000000000001</v>
      </c>
      <c r="J40" s="162">
        <v>21.893000000000001</v>
      </c>
      <c r="K40" s="162">
        <v>22.312999999999999</v>
      </c>
      <c r="L40" s="162">
        <v>30.007000000000001</v>
      </c>
      <c r="M40" s="162">
        <v>24.923999999999999</v>
      </c>
      <c r="N40" s="162">
        <v>24.959</v>
      </c>
      <c r="O40" s="162">
        <v>29.414999999999999</v>
      </c>
      <c r="P40" s="162">
        <v>28.004000000000001</v>
      </c>
      <c r="Q40" s="162">
        <v>28.123999999999999</v>
      </c>
      <c r="R40" s="162">
        <v>28.975999999999999</v>
      </c>
      <c r="S40" s="162">
        <v>28.991</v>
      </c>
      <c r="T40" s="162">
        <v>29.009</v>
      </c>
      <c r="U40" s="162">
        <v>28.568999999999999</v>
      </c>
      <c r="V40" s="162">
        <v>27.908000000000001</v>
      </c>
      <c r="W40" s="162">
        <v>27.853000000000002</v>
      </c>
      <c r="X40" s="162">
        <v>27.57</v>
      </c>
      <c r="Z40" s="163">
        <f t="shared" si="22"/>
        <v>25.412785714285718</v>
      </c>
      <c r="AA40" s="163">
        <f t="shared" si="23"/>
        <v>3.0807664903993066</v>
      </c>
      <c r="AB40" s="164">
        <f t="shared" si="29"/>
        <v>0.12122899571247962</v>
      </c>
      <c r="AC40" s="165"/>
      <c r="AD40" s="163">
        <f t="shared" si="24"/>
        <v>28.316666666666666</v>
      </c>
      <c r="AE40" s="166">
        <f t="shared" si="25"/>
        <v>0.11426850188834436</v>
      </c>
      <c r="AF40" s="166">
        <f t="shared" si="30"/>
        <v>0.235497497600824</v>
      </c>
      <c r="AG40" s="166">
        <f t="shared" si="31"/>
        <v>-6.9604938241352582E-3</v>
      </c>
      <c r="AH40" s="167">
        <f t="shared" si="27"/>
        <v>9.0022702745848435E-2</v>
      </c>
      <c r="AK40" s="160" t="s">
        <v>493</v>
      </c>
      <c r="AL40" s="161" t="s">
        <v>749</v>
      </c>
      <c r="AM40" s="161" t="s">
        <v>750</v>
      </c>
      <c r="AN40" s="161"/>
      <c r="AO40" s="162">
        <f t="shared" si="32"/>
        <v>-0.32322661175032774</v>
      </c>
      <c r="AP40" s="162">
        <f t="shared" si="33"/>
        <v>0.5567492022064835</v>
      </c>
      <c r="AQ40" s="162">
        <f t="shared" si="34"/>
        <v>-0.56764630481911393</v>
      </c>
      <c r="AR40" s="162">
        <f t="shared" si="35"/>
        <v>-1.334014027708097</v>
      </c>
      <c r="AS40" s="162">
        <f t="shared" si="36"/>
        <v>-1.5453250770942586</v>
      </c>
      <c r="AT40" s="162">
        <f t="shared" si="37"/>
        <v>-1.1425032456223283</v>
      </c>
      <c r="AU40" s="162">
        <f t="shared" si="38"/>
        <v>-1.0061735363409343</v>
      </c>
      <c r="AV40" s="162">
        <f t="shared" si="39"/>
        <v>1.4912568998758535</v>
      </c>
      <c r="AW40" s="162">
        <f t="shared" si="40"/>
        <v>-0.15865717697493059</v>
      </c>
      <c r="AX40" s="162">
        <f t="shared" si="41"/>
        <v>-0.14729636786814765</v>
      </c>
      <c r="AY40" s="162">
        <f t="shared" si="42"/>
        <v>1.2990969286982679</v>
      </c>
      <c r="AZ40" s="162">
        <f t="shared" si="43"/>
        <v>0.84109402442196413</v>
      </c>
      <c r="BA40" s="162">
        <f t="shared" si="44"/>
        <v>0.8800453699309333</v>
      </c>
      <c r="BB40" s="162">
        <f t="shared" si="45"/>
        <v>1.1565999230446196</v>
      </c>
      <c r="BC40" s="162">
        <f t="shared" si="46"/>
        <v>1.161468841233241</v>
      </c>
      <c r="BD40" s="162">
        <f t="shared" si="47"/>
        <v>1.1673115430595868</v>
      </c>
      <c r="BE40" s="162">
        <f t="shared" si="48"/>
        <v>1.02448994286003</v>
      </c>
      <c r="BF40" s="162">
        <f t="shared" si="49"/>
        <v>0.80993294801478821</v>
      </c>
      <c r="BG40" s="162">
        <f t="shared" si="50"/>
        <v>0.79208024798984378</v>
      </c>
      <c r="BH40" s="162">
        <f t="shared" si="51"/>
        <v>0.70021999149785596</v>
      </c>
      <c r="BJ40" s="168">
        <f t="shared" si="28"/>
        <v>0.94258391910922434</v>
      </c>
    </row>
    <row r="41" spans="1:62" x14ac:dyDescent="0.2">
      <c r="A41" s="160" t="s">
        <v>510</v>
      </c>
      <c r="B41" s="161" t="s">
        <v>749</v>
      </c>
      <c r="C41" s="161" t="s">
        <v>750</v>
      </c>
      <c r="D41" s="161"/>
      <c r="E41" s="162">
        <v>17.806000000000001</v>
      </c>
      <c r="F41" s="162">
        <v>17.024000000000001</v>
      </c>
      <c r="G41" s="162">
        <v>17.681999999999999</v>
      </c>
      <c r="H41" s="162">
        <v>20.041</v>
      </c>
      <c r="I41" s="162">
        <v>21.440999999999999</v>
      </c>
      <c r="J41" s="162">
        <v>21.263000000000002</v>
      </c>
      <c r="K41" s="162">
        <v>20.936</v>
      </c>
      <c r="L41" s="162">
        <v>21.039000000000001</v>
      </c>
      <c r="M41" s="162">
        <v>21.006</v>
      </c>
      <c r="N41" s="162">
        <v>20.321999999999999</v>
      </c>
      <c r="O41" s="162">
        <v>20.800999999999998</v>
      </c>
      <c r="P41" s="162">
        <v>21.093</v>
      </c>
      <c r="Q41" s="162">
        <v>21.425999999999998</v>
      </c>
      <c r="R41" s="162">
        <v>22.529</v>
      </c>
      <c r="S41" s="162">
        <v>22.084</v>
      </c>
      <c r="T41" s="162">
        <v>21.954000000000001</v>
      </c>
      <c r="U41" s="162">
        <v>21.675000000000001</v>
      </c>
      <c r="V41" s="162">
        <v>21.571999999999999</v>
      </c>
      <c r="W41" s="162">
        <v>21.454999999999998</v>
      </c>
      <c r="X41" s="162">
        <v>21.32</v>
      </c>
      <c r="Z41" s="163">
        <f t="shared" si="22"/>
        <v>20.31492857142857</v>
      </c>
      <c r="AA41" s="163">
        <f t="shared" si="23"/>
        <v>1.5735549136673084</v>
      </c>
      <c r="AB41" s="164">
        <f t="shared" si="29"/>
        <v>7.7458057907247371E-2</v>
      </c>
      <c r="AC41" s="165"/>
      <c r="AD41" s="163">
        <f t="shared" si="24"/>
        <v>21.676666666666666</v>
      </c>
      <c r="AE41" s="166">
        <f t="shared" si="25"/>
        <v>6.7031399615811518E-2</v>
      </c>
      <c r="AF41" s="166">
        <f t="shared" si="30"/>
        <v>0.14448945752305889</v>
      </c>
      <c r="AG41" s="166">
        <f t="shared" si="31"/>
        <v>-1.0426658291435853E-2</v>
      </c>
      <c r="AH41" s="167">
        <f t="shared" si="27"/>
        <v>5.1539788034362044E-2</v>
      </c>
      <c r="AK41" s="160" t="s">
        <v>510</v>
      </c>
      <c r="AL41" s="161" t="s">
        <v>749</v>
      </c>
      <c r="AM41" s="161" t="s">
        <v>750</v>
      </c>
      <c r="AN41" s="161"/>
      <c r="AO41" s="162">
        <f t="shared" si="32"/>
        <v>-1.5944334383483894</v>
      </c>
      <c r="AP41" s="162">
        <f t="shared" si="33"/>
        <v>-2.0913973467622875</v>
      </c>
      <c r="AQ41" s="162">
        <f t="shared" si="34"/>
        <v>-1.6732358995291112</v>
      </c>
      <c r="AR41" s="162">
        <f t="shared" si="35"/>
        <v>-0.17408262593782337</v>
      </c>
      <c r="AS41" s="162">
        <f t="shared" si="36"/>
        <v>0.71562258094127773</v>
      </c>
      <c r="AT41" s="162">
        <f t="shared" si="37"/>
        <v>0.6025029189237936</v>
      </c>
      <c r="AU41" s="162">
        <f t="shared" si="38"/>
        <v>0.39469320274560227</v>
      </c>
      <c r="AV41" s="162">
        <f t="shared" si="39"/>
        <v>0.46015008582313716</v>
      </c>
      <c r="AW41" s="162">
        <f t="shared" si="40"/>
        <v>0.43917846308955755</v>
      </c>
      <c r="AX41" s="162">
        <f t="shared" si="41"/>
        <v>4.493919157195634E-3</v>
      </c>
      <c r="AY41" s="162">
        <f t="shared" si="42"/>
        <v>0.30890020065368784</v>
      </c>
      <c r="AZ41" s="162">
        <f t="shared" si="43"/>
        <v>0.49446728665990158</v>
      </c>
      <c r="BA41" s="162">
        <f t="shared" si="44"/>
        <v>0.706090025153287</v>
      </c>
      <c r="BB41" s="162">
        <f t="shared" si="45"/>
        <v>1.4070506274301804</v>
      </c>
      <c r="BC41" s="162">
        <f t="shared" si="46"/>
        <v>1.1242514723864656</v>
      </c>
      <c r="BD41" s="162">
        <f t="shared" si="47"/>
        <v>1.0416359888905498</v>
      </c>
      <c r="BE41" s="162">
        <f t="shared" si="48"/>
        <v>0.86433045123392871</v>
      </c>
      <c r="BF41" s="162">
        <f t="shared" si="49"/>
        <v>0.79887356815639377</v>
      </c>
      <c r="BG41" s="162">
        <f t="shared" si="50"/>
        <v>0.72451963301006828</v>
      </c>
      <c r="BH41" s="162">
        <f t="shared" si="51"/>
        <v>0.63872663091815618</v>
      </c>
      <c r="BJ41" s="168">
        <f t="shared" si="28"/>
        <v>0.86538962409926035</v>
      </c>
    </row>
    <row r="42" spans="1:62" x14ac:dyDescent="0.2">
      <c r="A42" s="160" t="s">
        <v>518</v>
      </c>
      <c r="B42" s="161" t="s">
        <v>749</v>
      </c>
      <c r="C42" s="161" t="s">
        <v>750</v>
      </c>
      <c r="D42" s="161"/>
      <c r="E42" s="162">
        <v>27.547999999999998</v>
      </c>
      <c r="F42" s="162">
        <v>33.777999999999999</v>
      </c>
      <c r="G42" s="162">
        <v>37.939</v>
      </c>
      <c r="H42" s="162">
        <v>33.106999999999999</v>
      </c>
      <c r="I42" s="162">
        <v>30.254999999999999</v>
      </c>
      <c r="J42" s="162">
        <v>32.000999999999998</v>
      </c>
      <c r="K42" s="162">
        <v>33.917999999999999</v>
      </c>
      <c r="L42" s="162">
        <v>29.815999999999999</v>
      </c>
      <c r="M42" s="162">
        <v>31.206</v>
      </c>
      <c r="N42" s="162">
        <v>27.783999999999999</v>
      </c>
      <c r="O42" s="162">
        <v>25.082999999999998</v>
      </c>
      <c r="P42" s="162">
        <v>23.533000000000001</v>
      </c>
      <c r="Q42" s="162">
        <v>28.401</v>
      </c>
      <c r="R42" s="162">
        <v>26.001999999999999</v>
      </c>
      <c r="S42" s="162">
        <v>26.114999999999998</v>
      </c>
      <c r="T42" s="162">
        <v>25.492000000000001</v>
      </c>
      <c r="U42" s="162">
        <v>25.408000000000001</v>
      </c>
      <c r="V42" s="162">
        <v>25.542000000000002</v>
      </c>
      <c r="W42" s="162">
        <v>25.434999999999999</v>
      </c>
      <c r="X42" s="162">
        <v>25.013000000000002</v>
      </c>
      <c r="Z42" s="163">
        <f t="shared" si="22"/>
        <v>30.026499999999999</v>
      </c>
      <c r="AA42" s="163">
        <f t="shared" si="23"/>
        <v>3.8108436214495822</v>
      </c>
      <c r="AB42" s="164">
        <f t="shared" si="29"/>
        <v>0.12691601157143131</v>
      </c>
      <c r="AC42" s="165"/>
      <c r="AD42" s="163">
        <f t="shared" si="24"/>
        <v>25.500833333333333</v>
      </c>
      <c r="AE42" s="166">
        <f t="shared" si="25"/>
        <v>-0.15072241742016773</v>
      </c>
      <c r="AF42" s="166">
        <f t="shared" si="30"/>
        <v>-2.3806405848736417E-2</v>
      </c>
      <c r="AG42" s="166">
        <f t="shared" si="31"/>
        <v>-0.27763842899159907</v>
      </c>
      <c r="AH42" s="167">
        <f t="shared" si="27"/>
        <v>-0.17610561973445399</v>
      </c>
      <c r="AK42" s="160" t="s">
        <v>518</v>
      </c>
      <c r="AL42" s="161" t="s">
        <v>749</v>
      </c>
      <c r="AM42" s="161" t="s">
        <v>750</v>
      </c>
      <c r="AN42" s="161"/>
      <c r="AO42" s="162">
        <f t="shared" si="32"/>
        <v>-0.65038092511841772</v>
      </c>
      <c r="AP42" s="162">
        <f t="shared" si="33"/>
        <v>0.98442769440457678</v>
      </c>
      <c r="AQ42" s="162">
        <f t="shared" si="34"/>
        <v>2.0763119104294856</v>
      </c>
      <c r="AR42" s="162">
        <f t="shared" si="35"/>
        <v>0.80835119621839246</v>
      </c>
      <c r="AS42" s="162">
        <f t="shared" si="36"/>
        <v>5.9960476655056952E-2</v>
      </c>
      <c r="AT42" s="162">
        <f t="shared" si="37"/>
        <v>0.51812674466262454</v>
      </c>
      <c r="AU42" s="162">
        <f t="shared" si="38"/>
        <v>1.0211649667534082</v>
      </c>
      <c r="AV42" s="162">
        <f t="shared" si="39"/>
        <v>-5.5237113067349887E-2</v>
      </c>
      <c r="AW42" s="162">
        <f t="shared" si="40"/>
        <v>0.30951151953890421</v>
      </c>
      <c r="AX42" s="162">
        <f t="shared" si="41"/>
        <v>-0.58845238030181612</v>
      </c>
      <c r="AY42" s="162">
        <f t="shared" si="42"/>
        <v>-1.2972193275460551</v>
      </c>
      <c r="AZ42" s="162">
        <f t="shared" si="43"/>
        <v>-1.7039534142652584</v>
      </c>
      <c r="BA42" s="162">
        <f t="shared" si="44"/>
        <v>-0.42654597287875207</v>
      </c>
      <c r="BB42" s="162">
        <f t="shared" si="45"/>
        <v>-1.0560653754847977</v>
      </c>
      <c r="BC42" s="162">
        <f t="shared" si="46"/>
        <v>-1.026413148517527</v>
      </c>
      <c r="BD42" s="162">
        <f t="shared" si="47"/>
        <v>-1.1898940104698257</v>
      </c>
      <c r="BE42" s="162">
        <f t="shared" si="48"/>
        <v>-1.2119363738791245</v>
      </c>
      <c r="BF42" s="162">
        <f t="shared" si="49"/>
        <v>-1.1767735560595287</v>
      </c>
      <c r="BG42" s="162">
        <f t="shared" si="50"/>
        <v>-1.2048513284975648</v>
      </c>
      <c r="BH42" s="162">
        <f t="shared" si="51"/>
        <v>-1.3155879637204699</v>
      </c>
      <c r="BJ42" s="168">
        <f t="shared" si="28"/>
        <v>-1.1875760635240067</v>
      </c>
    </row>
    <row r="43" spans="1:62" x14ac:dyDescent="0.2">
      <c r="A43" s="160" t="s">
        <v>522</v>
      </c>
      <c r="B43" s="161" t="s">
        <v>749</v>
      </c>
      <c r="C43" s="161" t="s">
        <v>750</v>
      </c>
      <c r="D43" s="161"/>
      <c r="E43" s="162">
        <v>36.756</v>
      </c>
      <c r="F43" s="162">
        <v>46.853999999999999</v>
      </c>
      <c r="G43" s="162">
        <v>52.289000000000001</v>
      </c>
      <c r="H43" s="162">
        <v>48.802999999999997</v>
      </c>
      <c r="I43" s="162">
        <v>44.627000000000002</v>
      </c>
      <c r="J43" s="162">
        <v>41.777000000000001</v>
      </c>
      <c r="K43" s="162">
        <v>38.545000000000002</v>
      </c>
      <c r="L43" s="162">
        <v>39.863999999999997</v>
      </c>
      <c r="M43" s="162">
        <v>41.335999999999999</v>
      </c>
      <c r="N43" s="162">
        <v>43.511000000000003</v>
      </c>
      <c r="O43" s="162">
        <v>40.42</v>
      </c>
      <c r="P43" s="162">
        <v>41.338000000000001</v>
      </c>
      <c r="Q43" s="162">
        <v>40.295000000000002</v>
      </c>
      <c r="R43" s="162">
        <v>41.744999999999997</v>
      </c>
      <c r="S43" s="162">
        <v>42.015999999999998</v>
      </c>
      <c r="T43" s="162">
        <v>41.298000000000002</v>
      </c>
      <c r="U43" s="162">
        <v>41.064</v>
      </c>
      <c r="V43" s="162">
        <v>40.479999999999997</v>
      </c>
      <c r="W43" s="162">
        <v>40.356000000000002</v>
      </c>
      <c r="X43" s="162">
        <v>40.350999999999999</v>
      </c>
      <c r="Z43" s="163">
        <f t="shared" si="22"/>
        <v>42.725714285714282</v>
      </c>
      <c r="AA43" s="163">
        <f t="shared" si="23"/>
        <v>4.0347863712004006</v>
      </c>
      <c r="AB43" s="164">
        <f t="shared" si="29"/>
        <v>9.4434614813437234E-2</v>
      </c>
      <c r="AC43" s="165"/>
      <c r="AD43" s="163">
        <f t="shared" si="24"/>
        <v>40.927499999999995</v>
      </c>
      <c r="AE43" s="166">
        <f t="shared" si="25"/>
        <v>-4.2087401364183541E-2</v>
      </c>
      <c r="AF43" s="166">
        <f t="shared" si="30"/>
        <v>5.2347213449253693E-2</v>
      </c>
      <c r="AG43" s="166">
        <f t="shared" si="31"/>
        <v>-0.13652201617762078</v>
      </c>
      <c r="AH43" s="167">
        <f t="shared" si="27"/>
        <v>-6.0974324326870985E-2</v>
      </c>
      <c r="AK43" s="160" t="s">
        <v>522</v>
      </c>
      <c r="AL43" s="161" t="s">
        <v>749</v>
      </c>
      <c r="AM43" s="161" t="s">
        <v>750</v>
      </c>
      <c r="AN43" s="161"/>
      <c r="AO43" s="162">
        <f t="shared" si="32"/>
        <v>-1.4795614281650842</v>
      </c>
      <c r="AP43" s="162">
        <f t="shared" si="33"/>
        <v>1.0231733069568931</v>
      </c>
      <c r="AQ43" s="162">
        <f t="shared" si="34"/>
        <v>2.3702086887540763</v>
      </c>
      <c r="AR43" s="162">
        <f t="shared" si="35"/>
        <v>1.5062224254707306</v>
      </c>
      <c r="AS43" s="162">
        <f t="shared" si="36"/>
        <v>0.4712233906252794</v>
      </c>
      <c r="AT43" s="162">
        <f t="shared" si="37"/>
        <v>-0.23513370930516619</v>
      </c>
      <c r="AU43" s="162">
        <f t="shared" si="38"/>
        <v>-1.0361674450859377</v>
      </c>
      <c r="AV43" s="162">
        <f t="shared" si="39"/>
        <v>-0.70926042234619935</v>
      </c>
      <c r="AW43" s="162">
        <f t="shared" si="40"/>
        <v>-0.34443317634703574</v>
      </c>
      <c r="AX43" s="162">
        <f t="shared" si="41"/>
        <v>0.19462882096830514</v>
      </c>
      <c r="AY43" s="162">
        <f t="shared" si="42"/>
        <v>-0.57145882671064474</v>
      </c>
      <c r="AZ43" s="162">
        <f t="shared" si="43"/>
        <v>-0.34393748715410144</v>
      </c>
      <c r="BA43" s="162">
        <f t="shared" si="44"/>
        <v>-0.60243940126899753</v>
      </c>
      <c r="BB43" s="162">
        <f t="shared" si="45"/>
        <v>-0.24306473639210541</v>
      </c>
      <c r="BC43" s="162">
        <f t="shared" si="46"/>
        <v>-0.17589885074959621</v>
      </c>
      <c r="BD43" s="162">
        <f t="shared" si="47"/>
        <v>-0.35385127101277419</v>
      </c>
      <c r="BE43" s="162">
        <f t="shared" si="48"/>
        <v>-0.41184690658601114</v>
      </c>
      <c r="BF43" s="162">
        <f t="shared" si="49"/>
        <v>-0.55658815092263658</v>
      </c>
      <c r="BG43" s="162">
        <f t="shared" si="50"/>
        <v>-0.58732088088452139</v>
      </c>
      <c r="BH43" s="162">
        <f t="shared" si="51"/>
        <v>-0.58856010386685609</v>
      </c>
      <c r="BJ43" s="168">
        <f t="shared" si="28"/>
        <v>-0.44567769400373258</v>
      </c>
    </row>
    <row r="44" spans="1:62" x14ac:dyDescent="0.2">
      <c r="A44" s="160" t="s">
        <v>480</v>
      </c>
      <c r="B44" s="161" t="s">
        <v>749</v>
      </c>
      <c r="C44" s="161" t="s">
        <v>750</v>
      </c>
      <c r="D44" s="161"/>
      <c r="E44" s="162">
        <v>25.087</v>
      </c>
      <c r="F44" s="162">
        <v>26.167000000000002</v>
      </c>
      <c r="G44" s="162">
        <v>28.477</v>
      </c>
      <c r="H44" s="162">
        <v>31.254999999999999</v>
      </c>
      <c r="I44" s="162">
        <v>28.652999999999999</v>
      </c>
      <c r="J44" s="162">
        <v>26.814</v>
      </c>
      <c r="K44" s="162">
        <v>27.222999999999999</v>
      </c>
      <c r="L44" s="162">
        <v>28.039000000000001</v>
      </c>
      <c r="M44" s="162">
        <v>27.844999999999999</v>
      </c>
      <c r="N44" s="162">
        <v>28.026</v>
      </c>
      <c r="O44" s="162">
        <v>26.532</v>
      </c>
      <c r="P44" s="162">
        <v>26.045999999999999</v>
      </c>
      <c r="Q44" s="162">
        <v>26.556999999999999</v>
      </c>
      <c r="R44" s="162">
        <v>26.094000000000001</v>
      </c>
      <c r="S44" s="162">
        <v>26.035</v>
      </c>
      <c r="T44" s="162">
        <v>26.120999999999999</v>
      </c>
      <c r="U44" s="162">
        <v>26.294</v>
      </c>
      <c r="V44" s="162">
        <v>26.552</v>
      </c>
      <c r="W44" s="162">
        <v>26.695</v>
      </c>
      <c r="X44" s="162">
        <v>26.923999999999999</v>
      </c>
      <c r="Z44" s="163">
        <f t="shared" si="22"/>
        <v>27.343928571428567</v>
      </c>
      <c r="AA44" s="163">
        <f t="shared" si="23"/>
        <v>1.4830753985401757</v>
      </c>
      <c r="AB44" s="164">
        <f t="shared" si="29"/>
        <v>5.4237831797506533E-2</v>
      </c>
      <c r="AC44" s="165"/>
      <c r="AD44" s="163">
        <f t="shared" si="24"/>
        <v>26.436833333333336</v>
      </c>
      <c r="AE44" s="166">
        <f t="shared" si="25"/>
        <v>-3.3173552063877412E-2</v>
      </c>
      <c r="AF44" s="166">
        <f t="shared" si="30"/>
        <v>2.1064279733629121E-2</v>
      </c>
      <c r="AG44" s="166">
        <f t="shared" si="31"/>
        <v>-8.7411383861383946E-2</v>
      </c>
      <c r="AH44" s="167">
        <f t="shared" si="27"/>
        <v>-4.4021118423378719E-2</v>
      </c>
      <c r="AK44" s="160" t="s">
        <v>480</v>
      </c>
      <c r="AL44" s="161" t="s">
        <v>749</v>
      </c>
      <c r="AM44" s="161" t="s">
        <v>750</v>
      </c>
      <c r="AN44" s="161"/>
      <c r="AO44" s="162">
        <f t="shared" si="32"/>
        <v>-1.5217895014981115</v>
      </c>
      <c r="AP44" s="162">
        <f t="shared" si="33"/>
        <v>-0.7935729852892458</v>
      </c>
      <c r="AQ44" s="162">
        <f t="shared" si="34"/>
        <v>0.76400122993526909</v>
      </c>
      <c r="AR44" s="162">
        <f t="shared" si="35"/>
        <v>2.6371359355169584</v>
      </c>
      <c r="AS44" s="162">
        <f t="shared" si="36"/>
        <v>0.88267355109523116</v>
      </c>
      <c r="AT44" s="162">
        <f t="shared" si="37"/>
        <v>-0.35731735011597332</v>
      </c>
      <c r="AU44" s="162">
        <f t="shared" si="38"/>
        <v>-8.1539058329468908E-2</v>
      </c>
      <c r="AV44" s="162">
        <f t="shared" si="39"/>
        <v>0.46866897613945263</v>
      </c>
      <c r="AW44" s="162">
        <f t="shared" si="40"/>
        <v>0.33785971304267337</v>
      </c>
      <c r="AX44" s="162">
        <f t="shared" si="41"/>
        <v>0.4599034069628633</v>
      </c>
      <c r="AY44" s="162">
        <f t="shared" si="42"/>
        <v>-0.54746277379273245</v>
      </c>
      <c r="AZ44" s="162">
        <f t="shared" si="43"/>
        <v>-0.87516020608672185</v>
      </c>
      <c r="BA44" s="162">
        <f t="shared" si="44"/>
        <v>-0.53060590999160229</v>
      </c>
      <c r="BB44" s="162">
        <f t="shared" si="45"/>
        <v>-0.84279502758854885</v>
      </c>
      <c r="BC44" s="162">
        <f t="shared" si="46"/>
        <v>-0.88257722615921907</v>
      </c>
      <c r="BD44" s="162">
        <f t="shared" si="47"/>
        <v>-0.82458961468332903</v>
      </c>
      <c r="BE44" s="162">
        <f t="shared" si="48"/>
        <v>-0.70794011717950045</v>
      </c>
      <c r="BF44" s="162">
        <f t="shared" si="49"/>
        <v>-0.53397728275182776</v>
      </c>
      <c r="BG44" s="162">
        <f t="shared" si="50"/>
        <v>-0.43755602180935732</v>
      </c>
      <c r="BH44" s="162">
        <f t="shared" si="51"/>
        <v>-0.28314714939099678</v>
      </c>
      <c r="BJ44" s="168">
        <f t="shared" si="28"/>
        <v>-0.6116312353290384</v>
      </c>
    </row>
    <row r="45" spans="1:62" x14ac:dyDescent="0.2">
      <c r="A45" s="160" t="s">
        <v>506</v>
      </c>
      <c r="B45" s="161" t="s">
        <v>749</v>
      </c>
      <c r="C45" s="161" t="s">
        <v>750</v>
      </c>
      <c r="D45" s="161"/>
      <c r="E45" s="162">
        <v>18.184000000000001</v>
      </c>
      <c r="F45" s="162">
        <v>60.087000000000003</v>
      </c>
      <c r="G45" s="162">
        <v>22.187999999999999</v>
      </c>
      <c r="H45" s="162">
        <v>24.132999999999999</v>
      </c>
      <c r="I45" s="162">
        <v>18.617999999999999</v>
      </c>
      <c r="J45" s="162">
        <v>18.209</v>
      </c>
      <c r="K45" s="162">
        <v>17.93</v>
      </c>
      <c r="L45" s="162">
        <v>21.431000000000001</v>
      </c>
      <c r="M45" s="162">
        <v>24.638000000000002</v>
      </c>
      <c r="N45" s="162">
        <v>23.01</v>
      </c>
      <c r="O45" s="162">
        <v>23.347000000000001</v>
      </c>
      <c r="P45" s="162">
        <v>20.263000000000002</v>
      </c>
      <c r="Q45" s="162">
        <v>21.151</v>
      </c>
      <c r="R45" s="162">
        <v>21.353999999999999</v>
      </c>
      <c r="S45" s="162">
        <v>24.077000000000002</v>
      </c>
      <c r="T45" s="162">
        <v>25.097000000000001</v>
      </c>
      <c r="U45" s="162">
        <v>24.617000000000001</v>
      </c>
      <c r="V45" s="162">
        <v>25.009</v>
      </c>
      <c r="W45" s="162">
        <v>24.986999999999998</v>
      </c>
      <c r="X45" s="162">
        <v>24.728000000000002</v>
      </c>
      <c r="Z45" s="163">
        <f t="shared" si="22"/>
        <v>23.895928571428573</v>
      </c>
      <c r="AA45" s="163">
        <f t="shared" si="23"/>
        <v>10.268154413833415</v>
      </c>
      <c r="AB45" s="164">
        <f t="shared" si="29"/>
        <v>0.42970309285702524</v>
      </c>
      <c r="AC45" s="165"/>
      <c r="AD45" s="163">
        <f t="shared" si="24"/>
        <v>24.752500000000001</v>
      </c>
      <c r="AE45" s="166">
        <f t="shared" si="25"/>
        <v>3.5845915173834127E-2</v>
      </c>
      <c r="AF45" s="166">
        <f t="shared" si="30"/>
        <v>0.46554900803085936</v>
      </c>
      <c r="AG45" s="166">
        <f t="shared" si="31"/>
        <v>-0.39385717768319112</v>
      </c>
      <c r="AH45" s="167">
        <f t="shared" si="27"/>
        <v>-5.0094703397570911E-2</v>
      </c>
      <c r="AK45" s="160" t="s">
        <v>506</v>
      </c>
      <c r="AL45" s="161" t="s">
        <v>749</v>
      </c>
      <c r="AM45" s="161" t="s">
        <v>750</v>
      </c>
      <c r="AN45" s="161"/>
      <c r="AO45" s="162">
        <f t="shared" si="32"/>
        <v>-0.55627606882629022</v>
      </c>
      <c r="AP45" s="162">
        <f t="shared" si="33"/>
        <v>3.5245936095209349</v>
      </c>
      <c r="AQ45" s="162">
        <f t="shared" si="34"/>
        <v>-0.16633257570879798</v>
      </c>
      <c r="AR45" s="162">
        <f t="shared" si="35"/>
        <v>2.3088027216657304E-2</v>
      </c>
      <c r="AS45" s="162">
        <f t="shared" si="36"/>
        <v>-0.51400946642544343</v>
      </c>
      <c r="AT45" s="162">
        <f t="shared" si="37"/>
        <v>-0.55384135670642587</v>
      </c>
      <c r="AU45" s="162">
        <f t="shared" si="38"/>
        <v>-0.58101274396411329</v>
      </c>
      <c r="AV45" s="162">
        <f t="shared" si="39"/>
        <v>-0.24005565869829373</v>
      </c>
      <c r="AW45" s="162">
        <f t="shared" si="40"/>
        <v>7.2269212037919722E-2</v>
      </c>
      <c r="AX45" s="162">
        <f t="shared" si="41"/>
        <v>-8.627924120765415E-2</v>
      </c>
      <c r="AY45" s="162">
        <f t="shared" si="42"/>
        <v>-5.3459321831881214E-2</v>
      </c>
      <c r="AZ45" s="162">
        <f t="shared" si="43"/>
        <v>-0.35380540893836138</v>
      </c>
      <c r="BA45" s="162">
        <f t="shared" si="44"/>
        <v>-0.2673244344407758</v>
      </c>
      <c r="BB45" s="162">
        <f t="shared" si="45"/>
        <v>-0.24755457202747644</v>
      </c>
      <c r="BC45" s="162">
        <f t="shared" si="46"/>
        <v>1.763427206816116E-2</v>
      </c>
      <c r="BD45" s="162">
        <f t="shared" si="47"/>
        <v>0.11697052655863123</v>
      </c>
      <c r="BE45" s="162">
        <f t="shared" si="48"/>
        <v>7.0224053857233487E-2</v>
      </c>
      <c r="BF45" s="162">
        <f t="shared" si="49"/>
        <v>0.10840033989670822</v>
      </c>
      <c r="BG45" s="162">
        <f t="shared" si="50"/>
        <v>0.1062577932312273</v>
      </c>
      <c r="BH45" s="162">
        <f t="shared" si="51"/>
        <v>8.1034175669431774E-2</v>
      </c>
      <c r="BJ45" s="168">
        <f t="shared" si="28"/>
        <v>8.3420193546898849E-2</v>
      </c>
    </row>
    <row r="46" spans="1:62" x14ac:dyDescent="0.2">
      <c r="A46" s="160" t="s">
        <v>24</v>
      </c>
      <c r="B46" s="161" t="s">
        <v>749</v>
      </c>
      <c r="C46" s="161" t="s">
        <v>750</v>
      </c>
      <c r="D46" s="161"/>
      <c r="E46" s="162">
        <v>47.792000000000002</v>
      </c>
      <c r="F46" s="162">
        <v>48.374000000000002</v>
      </c>
      <c r="G46" s="162">
        <v>47.298000000000002</v>
      </c>
      <c r="H46" s="162">
        <v>46.122</v>
      </c>
      <c r="I46" s="162">
        <v>37.933999999999997</v>
      </c>
      <c r="J46" s="162">
        <v>40.478999999999999</v>
      </c>
      <c r="K46" s="162">
        <v>48.69</v>
      </c>
      <c r="L46" s="162">
        <v>48.718000000000004</v>
      </c>
      <c r="M46" s="162">
        <v>49.531999999999996</v>
      </c>
      <c r="N46" s="162">
        <v>46.276000000000003</v>
      </c>
      <c r="O46" s="162">
        <v>34.930999999999997</v>
      </c>
      <c r="P46" s="162">
        <v>29.67</v>
      </c>
      <c r="Q46" s="162">
        <v>31.73</v>
      </c>
      <c r="R46" s="162">
        <v>35.238999999999997</v>
      </c>
      <c r="S46" s="162">
        <v>33.433999999999997</v>
      </c>
      <c r="T46" s="162">
        <v>34.564</v>
      </c>
      <c r="U46" s="162">
        <v>35.851999999999997</v>
      </c>
      <c r="V46" s="162">
        <v>34.991</v>
      </c>
      <c r="W46" s="162">
        <v>34.081000000000003</v>
      </c>
      <c r="X46" s="162">
        <v>33.566000000000003</v>
      </c>
      <c r="Z46" s="163">
        <f t="shared" si="22"/>
        <v>42.34178571428572</v>
      </c>
      <c r="AA46" s="163">
        <f t="shared" si="23"/>
        <v>6.837562673294018</v>
      </c>
      <c r="AB46" s="164">
        <f t="shared" si="29"/>
        <v>0.16148498600017921</v>
      </c>
      <c r="AC46" s="165"/>
      <c r="AD46" s="163">
        <f t="shared" si="24"/>
        <v>34.414666666666669</v>
      </c>
      <c r="AE46" s="166">
        <f t="shared" si="25"/>
        <v>-0.1872174003503238</v>
      </c>
      <c r="AF46" s="166">
        <f t="shared" si="30"/>
        <v>-2.5732414350144589E-2</v>
      </c>
      <c r="AG46" s="166">
        <f t="shared" si="31"/>
        <v>-0.34870238635050299</v>
      </c>
      <c r="AH46" s="167">
        <f t="shared" si="27"/>
        <v>-0.21951439755035962</v>
      </c>
      <c r="AK46" s="160" t="s">
        <v>24</v>
      </c>
      <c r="AL46" s="161" t="s">
        <v>749</v>
      </c>
      <c r="AM46" s="161" t="s">
        <v>750</v>
      </c>
      <c r="AN46" s="161"/>
      <c r="AO46" s="162">
        <f t="shared" si="32"/>
        <v>0.79709898777258636</v>
      </c>
      <c r="AP46" s="162">
        <f t="shared" si="33"/>
        <v>0.88221703755268743</v>
      </c>
      <c r="AQ46" s="162">
        <f t="shared" si="34"/>
        <v>0.72485102112074817</v>
      </c>
      <c r="AR46" s="162">
        <f t="shared" si="35"/>
        <v>0.55285991022487391</v>
      </c>
      <c r="AS46" s="162">
        <f t="shared" si="36"/>
        <v>-0.64464282448211296</v>
      </c>
      <c r="AT46" s="162">
        <f t="shared" si="37"/>
        <v>-0.27243417037497047</v>
      </c>
      <c r="AU46" s="162">
        <f t="shared" si="38"/>
        <v>0.92843233605872089</v>
      </c>
      <c r="AV46" s="162">
        <f t="shared" si="39"/>
        <v>0.93252736250862345</v>
      </c>
      <c r="AW46" s="162">
        <f t="shared" si="40"/>
        <v>1.0515756314450522</v>
      </c>
      <c r="AX46" s="162">
        <f t="shared" si="41"/>
        <v>0.57538255569933416</v>
      </c>
      <c r="AY46" s="162">
        <f t="shared" si="42"/>
        <v>-1.083834411234077</v>
      </c>
      <c r="AZ46" s="162">
        <f t="shared" si="43"/>
        <v>-1.8532606309816892</v>
      </c>
      <c r="BA46" s="162">
        <f t="shared" si="44"/>
        <v>-1.5519836850246314</v>
      </c>
      <c r="BB46" s="162">
        <f t="shared" si="45"/>
        <v>-1.0387891202851576</v>
      </c>
      <c r="BC46" s="162">
        <f t="shared" si="46"/>
        <v>-1.3027720753591818</v>
      </c>
      <c r="BD46" s="162">
        <f t="shared" si="47"/>
        <v>-1.1375085079167175</v>
      </c>
      <c r="BE46" s="162">
        <f t="shared" si="48"/>
        <v>-0.94913729122123691</v>
      </c>
      <c r="BF46" s="162">
        <f t="shared" si="49"/>
        <v>-1.0750593545557157</v>
      </c>
      <c r="BG46" s="162">
        <f t="shared" si="50"/>
        <v>-1.2081477141775223</v>
      </c>
      <c r="BH46" s="162">
        <f t="shared" si="51"/>
        <v>-1.2834669506667871</v>
      </c>
      <c r="BJ46" s="168">
        <f t="shared" si="28"/>
        <v>-1.1593486489828602</v>
      </c>
    </row>
    <row r="47" spans="1:62" x14ac:dyDescent="0.2">
      <c r="A47" s="160" t="s">
        <v>509</v>
      </c>
      <c r="B47" s="161" t="s">
        <v>749</v>
      </c>
      <c r="C47" s="161" t="s">
        <v>750</v>
      </c>
      <c r="D47" s="161"/>
      <c r="E47" s="162">
        <v>13.124000000000001</v>
      </c>
      <c r="F47" s="162">
        <v>13.643000000000001</v>
      </c>
      <c r="G47" s="162">
        <v>14.364000000000001</v>
      </c>
      <c r="H47" s="162">
        <v>14.382999999999999</v>
      </c>
      <c r="I47" s="162">
        <v>14.227</v>
      </c>
      <c r="J47" s="162">
        <v>14.324999999999999</v>
      </c>
      <c r="K47" s="162">
        <v>12.619</v>
      </c>
      <c r="L47" s="162">
        <v>13.025</v>
      </c>
      <c r="M47" s="162">
        <v>13.452</v>
      </c>
      <c r="N47" s="162">
        <v>15.243</v>
      </c>
      <c r="O47" s="162">
        <v>14.516999999999999</v>
      </c>
      <c r="P47" s="162">
        <v>15.519</v>
      </c>
      <c r="Q47" s="162">
        <v>15.523999999999999</v>
      </c>
      <c r="R47" s="162">
        <v>15.307</v>
      </c>
      <c r="S47" s="162">
        <v>14.948</v>
      </c>
      <c r="T47" s="162">
        <v>14.558</v>
      </c>
      <c r="U47" s="162">
        <v>14.606999999999999</v>
      </c>
      <c r="V47" s="162">
        <v>14.686999999999999</v>
      </c>
      <c r="W47" s="162">
        <v>14.654</v>
      </c>
      <c r="X47" s="162">
        <v>14.702999999999999</v>
      </c>
      <c r="Z47" s="163">
        <f t="shared" si="22"/>
        <v>14.233714285714285</v>
      </c>
      <c r="AA47" s="163">
        <f t="shared" si="23"/>
        <v>0.92098801206494907</v>
      </c>
      <c r="AB47" s="164">
        <f t="shared" si="29"/>
        <v>6.470468590122691E-2</v>
      </c>
      <c r="AC47" s="165"/>
      <c r="AD47" s="163">
        <f t="shared" si="24"/>
        <v>14.692833333333333</v>
      </c>
      <c r="AE47" s="166">
        <f t="shared" si="25"/>
        <v>3.2255744242375581E-2</v>
      </c>
      <c r="AF47" s="166">
        <f t="shared" si="30"/>
        <v>9.6960430143602491E-2</v>
      </c>
      <c r="AG47" s="166">
        <f t="shared" si="31"/>
        <v>-3.244894165885133E-2</v>
      </c>
      <c r="AH47" s="167">
        <f t="shared" si="27"/>
        <v>1.93148070621302E-2</v>
      </c>
      <c r="AK47" s="160" t="s">
        <v>509</v>
      </c>
      <c r="AL47" s="161" t="s">
        <v>749</v>
      </c>
      <c r="AM47" s="161" t="s">
        <v>750</v>
      </c>
      <c r="AN47" s="161"/>
      <c r="AO47" s="162">
        <f t="shared" si="32"/>
        <v>-1.2049171880383023</v>
      </c>
      <c r="AP47" s="162">
        <f t="shared" si="33"/>
        <v>-0.64139193776240666</v>
      </c>
      <c r="AQ47" s="162">
        <f t="shared" si="34"/>
        <v>0.14146298603127505</v>
      </c>
      <c r="AR47" s="162">
        <f t="shared" si="35"/>
        <v>0.16209300482750066</v>
      </c>
      <c r="AS47" s="162">
        <f t="shared" si="36"/>
        <v>-7.2903073941545356E-3</v>
      </c>
      <c r="AT47" s="162">
        <f t="shared" si="37"/>
        <v>9.9117157975859321E-2</v>
      </c>
      <c r="AU47" s="162">
        <f t="shared" si="38"/>
        <v>-1.7532413718327682</v>
      </c>
      <c r="AV47" s="162">
        <f t="shared" si="39"/>
        <v>-1.3124104438712769</v>
      </c>
      <c r="AW47" s="162">
        <f t="shared" si="40"/>
        <v>-0.84877791618764065</v>
      </c>
      <c r="AX47" s="162">
        <f t="shared" si="41"/>
        <v>1.0958728029725313</v>
      </c>
      <c r="AY47" s="162">
        <f t="shared" si="42"/>
        <v>0.30758892686405209</v>
      </c>
      <c r="AZ47" s="162">
        <f t="shared" si="43"/>
        <v>1.3955509707493079</v>
      </c>
      <c r="BA47" s="162">
        <f t="shared" si="44"/>
        <v>1.4009799230641036</v>
      </c>
      <c r="BB47" s="162">
        <f t="shared" si="45"/>
        <v>1.1653633926019289</v>
      </c>
      <c r="BC47" s="162">
        <f t="shared" si="46"/>
        <v>0.77556461639952712</v>
      </c>
      <c r="BD47" s="162">
        <f t="shared" si="47"/>
        <v>0.35210633584538531</v>
      </c>
      <c r="BE47" s="162">
        <f t="shared" si="48"/>
        <v>0.40531006853039225</v>
      </c>
      <c r="BF47" s="162">
        <f t="shared" si="49"/>
        <v>0.49217330556713923</v>
      </c>
      <c r="BG47" s="162">
        <f t="shared" si="50"/>
        <v>0.45634222028948168</v>
      </c>
      <c r="BH47" s="162">
        <f t="shared" si="51"/>
        <v>0.50954595297448868</v>
      </c>
      <c r="BJ47" s="168">
        <f t="shared" si="28"/>
        <v>0.49850708326773568</v>
      </c>
    </row>
    <row r="48" spans="1:62" x14ac:dyDescent="0.2">
      <c r="A48" s="160" t="s">
        <v>507</v>
      </c>
      <c r="B48" s="161" t="s">
        <v>749</v>
      </c>
      <c r="C48" s="161" t="s">
        <v>750</v>
      </c>
      <c r="D48" s="161"/>
      <c r="E48" s="162">
        <v>23.954000000000001</v>
      </c>
      <c r="F48" s="162">
        <v>21.646000000000001</v>
      </c>
      <c r="G48" s="162">
        <v>22.189</v>
      </c>
      <c r="H48" s="162">
        <v>24.817</v>
      </c>
      <c r="I48" s="162">
        <v>23.812999999999999</v>
      </c>
      <c r="J48" s="162">
        <v>24.599</v>
      </c>
      <c r="K48" s="162">
        <v>25.271000000000001</v>
      </c>
      <c r="L48" s="162">
        <v>23.218</v>
      </c>
      <c r="M48" s="162">
        <v>25.530999999999999</v>
      </c>
      <c r="N48" s="162">
        <v>24.238</v>
      </c>
      <c r="O48" s="162">
        <v>24.64</v>
      </c>
      <c r="P48" s="162">
        <v>23.459</v>
      </c>
      <c r="Q48" s="162">
        <v>22.852</v>
      </c>
      <c r="R48" s="162">
        <v>24.119</v>
      </c>
      <c r="S48" s="162">
        <v>23.492999999999999</v>
      </c>
      <c r="T48" s="162">
        <v>23.279</v>
      </c>
      <c r="U48" s="162">
        <v>23.6</v>
      </c>
      <c r="V48" s="162">
        <v>23.690999999999999</v>
      </c>
      <c r="W48" s="162">
        <v>23.728999999999999</v>
      </c>
      <c r="X48" s="162">
        <v>23.748999999999999</v>
      </c>
      <c r="Z48" s="163">
        <f t="shared" si="22"/>
        <v>23.881857142857143</v>
      </c>
      <c r="AA48" s="163">
        <f t="shared" si="23"/>
        <v>1.0807047870416293</v>
      </c>
      <c r="AB48" s="164">
        <f t="shared" si="29"/>
        <v>4.5252125099695555E-2</v>
      </c>
      <c r="AC48" s="165"/>
      <c r="AD48" s="163">
        <f t="shared" si="24"/>
        <v>23.590166666666665</v>
      </c>
      <c r="AE48" s="166">
        <f t="shared" si="25"/>
        <v>-1.2213894189452526E-2</v>
      </c>
      <c r="AF48" s="166">
        <f t="shared" si="30"/>
        <v>3.3038230910243029E-2</v>
      </c>
      <c r="AG48" s="166">
        <f t="shared" si="31"/>
        <v>-5.7466019289148081E-2</v>
      </c>
      <c r="AH48" s="167">
        <f t="shared" si="27"/>
        <v>-2.1264319209391636E-2</v>
      </c>
      <c r="AK48" s="160" t="s">
        <v>507</v>
      </c>
      <c r="AL48" s="161" t="s">
        <v>749</v>
      </c>
      <c r="AM48" s="161" t="s">
        <v>750</v>
      </c>
      <c r="AN48" s="161"/>
      <c r="AO48" s="162">
        <f t="shared" si="32"/>
        <v>6.6755378534358728E-2</v>
      </c>
      <c r="AP48" s="162">
        <f t="shared" si="33"/>
        <v>-2.0688879790915702</v>
      </c>
      <c r="AQ48" s="162">
        <f t="shared" si="34"/>
        <v>-1.5664380903606874</v>
      </c>
      <c r="AR48" s="162">
        <f t="shared" si="35"/>
        <v>0.86530833244734662</v>
      </c>
      <c r="AS48" s="162">
        <f t="shared" si="36"/>
        <v>-6.3715034561507747E-2</v>
      </c>
      <c r="AT48" s="162">
        <f t="shared" si="37"/>
        <v>0.66358811929203787</v>
      </c>
      <c r="AU48" s="162">
        <f t="shared" si="38"/>
        <v>1.285404556174458</v>
      </c>
      <c r="AV48" s="162">
        <f t="shared" si="39"/>
        <v>-0.61428167138448242</v>
      </c>
      <c r="AW48" s="162">
        <f t="shared" si="40"/>
        <v>1.5259882966349161</v>
      </c>
      <c r="AX48" s="162">
        <f t="shared" si="41"/>
        <v>0.32954684888347552</v>
      </c>
      <c r="AY48" s="162">
        <f t="shared" si="42"/>
        <v>0.70152632451849539</v>
      </c>
      <c r="AZ48" s="162">
        <f t="shared" si="43"/>
        <v>-0.39127905041921018</v>
      </c>
      <c r="BA48" s="162">
        <f t="shared" si="44"/>
        <v>-0.95294955218651411</v>
      </c>
      <c r="BB48" s="162">
        <f t="shared" si="45"/>
        <v>0.21943352151888063</v>
      </c>
      <c r="BC48" s="162">
        <f t="shared" si="46"/>
        <v>-0.35981809974361256</v>
      </c>
      <c r="BD48" s="162">
        <f t="shared" si="47"/>
        <v>-0.55783702458414375</v>
      </c>
      <c r="BE48" s="162">
        <f t="shared" si="48"/>
        <v>-0.26080863732334369</v>
      </c>
      <c r="BF48" s="162">
        <f t="shared" si="49"/>
        <v>-0.17660432816218502</v>
      </c>
      <c r="BG48" s="162">
        <f t="shared" si="50"/>
        <v>-0.14144208917180986</v>
      </c>
      <c r="BH48" s="162">
        <f t="shared" si="51"/>
        <v>-0.12293564759792872</v>
      </c>
      <c r="BJ48" s="168">
        <f t="shared" si="28"/>
        <v>-0.26990763776383725</v>
      </c>
    </row>
    <row r="49" spans="1:62" x14ac:dyDescent="0.2">
      <c r="A49" s="160" t="s">
        <v>495</v>
      </c>
      <c r="B49" s="161" t="s">
        <v>749</v>
      </c>
      <c r="C49" s="161" t="s">
        <v>750</v>
      </c>
      <c r="D49" s="161"/>
      <c r="E49" s="162">
        <v>18.376000000000001</v>
      </c>
      <c r="F49" s="162">
        <v>17.38</v>
      </c>
      <c r="G49" s="162">
        <v>18.952999999999999</v>
      </c>
      <c r="H49" s="162">
        <v>17.239000000000001</v>
      </c>
      <c r="I49" s="162">
        <v>17.276</v>
      </c>
      <c r="J49" s="162">
        <v>17.640999999999998</v>
      </c>
      <c r="K49" s="162">
        <v>18.236999999999998</v>
      </c>
      <c r="L49" s="162">
        <v>18.614999999999998</v>
      </c>
      <c r="M49" s="162">
        <v>17.710999999999999</v>
      </c>
      <c r="N49" s="162">
        <v>19.204000000000001</v>
      </c>
      <c r="O49" s="162">
        <v>19.283999999999999</v>
      </c>
      <c r="P49" s="162">
        <v>20.748999999999999</v>
      </c>
      <c r="Q49" s="162">
        <v>19.356000000000002</v>
      </c>
      <c r="R49" s="162">
        <v>18.693000000000001</v>
      </c>
      <c r="S49" s="162">
        <v>19.050999999999998</v>
      </c>
      <c r="T49" s="162">
        <v>19.483000000000001</v>
      </c>
      <c r="U49" s="162">
        <v>19.588999999999999</v>
      </c>
      <c r="V49" s="162">
        <v>20.073</v>
      </c>
      <c r="W49" s="162">
        <v>20.32</v>
      </c>
      <c r="X49" s="162">
        <v>20.571999999999999</v>
      </c>
      <c r="Z49" s="163">
        <f t="shared" si="22"/>
        <v>18.479571428571429</v>
      </c>
      <c r="AA49" s="163">
        <f t="shared" si="23"/>
        <v>0.96134182372391164</v>
      </c>
      <c r="AB49" s="164">
        <f t="shared" si="29"/>
        <v>5.2021867900982406E-2</v>
      </c>
      <c r="AC49" s="165"/>
      <c r="AD49" s="163">
        <f t="shared" si="24"/>
        <v>19.847999999999999</v>
      </c>
      <c r="AE49" s="166">
        <f t="shared" si="25"/>
        <v>7.4050882441614993E-2</v>
      </c>
      <c r="AF49" s="166">
        <f t="shared" si="30"/>
        <v>0.12607275034259741</v>
      </c>
      <c r="AG49" s="166">
        <f t="shared" si="31"/>
        <v>2.2029014540632587E-2</v>
      </c>
      <c r="AH49" s="167">
        <f t="shared" si="27"/>
        <v>6.364650886141851E-2</v>
      </c>
      <c r="AK49" s="160" t="s">
        <v>495</v>
      </c>
      <c r="AL49" s="161" t="s">
        <v>749</v>
      </c>
      <c r="AM49" s="161" t="s">
        <v>750</v>
      </c>
      <c r="AN49" s="161"/>
      <c r="AO49" s="162">
        <f t="shared" si="32"/>
        <v>-0.10773631814979945</v>
      </c>
      <c r="AP49" s="162">
        <f t="shared" si="33"/>
        <v>-1.1437881942055363</v>
      </c>
      <c r="AQ49" s="162">
        <f t="shared" si="34"/>
        <v>0.49246642530818951</v>
      </c>
      <c r="AR49" s="162">
        <f t="shared" si="35"/>
        <v>-1.2904581887074007</v>
      </c>
      <c r="AS49" s="162">
        <f t="shared" si="36"/>
        <v>-1.2519703178097488</v>
      </c>
      <c r="AT49" s="162">
        <f t="shared" si="37"/>
        <v>-0.87229267246804043</v>
      </c>
      <c r="AU49" s="162">
        <f t="shared" si="38"/>
        <v>-0.25232588719774135</v>
      </c>
      <c r="AV49" s="162">
        <f t="shared" si="39"/>
        <v>0.14087452359449543</v>
      </c>
      <c r="AW49" s="162">
        <f t="shared" si="40"/>
        <v>-0.79947778158058891</v>
      </c>
      <c r="AX49" s="162">
        <f t="shared" si="41"/>
        <v>0.75355981977605158</v>
      </c>
      <c r="AY49" s="162">
        <f t="shared" si="42"/>
        <v>0.83677683793313695</v>
      </c>
      <c r="AZ49" s="162">
        <f t="shared" si="43"/>
        <v>2.3606884829347945</v>
      </c>
      <c r="BA49" s="162">
        <f t="shared" si="44"/>
        <v>0.9116721542745182</v>
      </c>
      <c r="BB49" s="162">
        <f t="shared" si="45"/>
        <v>0.22201111629765843</v>
      </c>
      <c r="BC49" s="162">
        <f t="shared" si="46"/>
        <v>0.5944072725506202</v>
      </c>
      <c r="BD49" s="162">
        <f t="shared" si="47"/>
        <v>1.0437791705988928</v>
      </c>
      <c r="BE49" s="162">
        <f t="shared" si="48"/>
        <v>1.1540417196570314</v>
      </c>
      <c r="BF49" s="162">
        <f t="shared" si="49"/>
        <v>1.6575046795074102</v>
      </c>
      <c r="BG49" s="162">
        <f t="shared" si="50"/>
        <v>1.9144372230674165</v>
      </c>
      <c r="BH49" s="162">
        <f t="shared" si="51"/>
        <v>2.1765708302622397</v>
      </c>
      <c r="BJ49" s="168">
        <f t="shared" si="28"/>
        <v>1.4234568159406018</v>
      </c>
    </row>
    <row r="50" spans="1:62" x14ac:dyDescent="0.2">
      <c r="A50" s="160" t="s">
        <v>530</v>
      </c>
      <c r="B50" s="161" t="s">
        <v>749</v>
      </c>
      <c r="C50" s="161" t="s">
        <v>750</v>
      </c>
      <c r="D50" s="161"/>
      <c r="E50" s="162">
        <v>40.860999999999997</v>
      </c>
      <c r="F50" s="162">
        <v>41.43</v>
      </c>
      <c r="G50" s="162">
        <v>41.363</v>
      </c>
      <c r="H50" s="162">
        <v>40.960999999999999</v>
      </c>
      <c r="I50" s="162">
        <v>39.344000000000001</v>
      </c>
      <c r="J50" s="162">
        <v>39.372</v>
      </c>
      <c r="K50" s="162">
        <v>37.731000000000002</v>
      </c>
      <c r="L50" s="162">
        <v>38.771000000000001</v>
      </c>
      <c r="M50" s="162">
        <v>37.317999999999998</v>
      </c>
      <c r="N50" s="162">
        <v>38.954999999999998</v>
      </c>
      <c r="O50" s="162">
        <v>39.305</v>
      </c>
      <c r="P50" s="162">
        <v>40.755000000000003</v>
      </c>
      <c r="Q50" s="162">
        <v>41.506999999999998</v>
      </c>
      <c r="R50" s="162">
        <v>41.475000000000001</v>
      </c>
      <c r="S50" s="162">
        <v>39.856000000000002</v>
      </c>
      <c r="T50" s="162">
        <v>39.707999999999998</v>
      </c>
      <c r="U50" s="162">
        <v>39.558</v>
      </c>
      <c r="V50" s="162">
        <v>39.332000000000001</v>
      </c>
      <c r="W50" s="162">
        <v>39.152999999999999</v>
      </c>
      <c r="X50" s="162">
        <v>39.029000000000003</v>
      </c>
      <c r="Z50" s="163">
        <f t="shared" si="22"/>
        <v>39.939142857142862</v>
      </c>
      <c r="AA50" s="163">
        <f t="shared" si="23"/>
        <v>1.3831655131381397</v>
      </c>
      <c r="AB50" s="164">
        <f t="shared" si="29"/>
        <v>3.4631827680567495E-2</v>
      </c>
      <c r="AC50" s="165"/>
      <c r="AD50" s="163">
        <f t="shared" si="24"/>
        <v>39.43933333333333</v>
      </c>
      <c r="AE50" s="166">
        <f t="shared" si="25"/>
        <v>-1.2514277674843588E-2</v>
      </c>
      <c r="AF50" s="166">
        <f t="shared" si="30"/>
        <v>2.2117550005723907E-2</v>
      </c>
      <c r="AG50" s="166">
        <f t="shared" si="31"/>
        <v>-4.7146105355411083E-2</v>
      </c>
      <c r="AH50" s="167">
        <f t="shared" si="27"/>
        <v>-1.9440643210957086E-2</v>
      </c>
      <c r="AK50" s="160" t="s">
        <v>530</v>
      </c>
      <c r="AL50" s="161" t="s">
        <v>749</v>
      </c>
      <c r="AM50" s="161" t="s">
        <v>750</v>
      </c>
      <c r="AN50" s="161"/>
      <c r="AO50" s="162">
        <f t="shared" si="32"/>
        <v>0.66648360886732672</v>
      </c>
      <c r="AP50" s="162">
        <f t="shared" si="33"/>
        <v>1.0778588163860927</v>
      </c>
      <c r="AQ50" s="162">
        <f t="shared" si="34"/>
        <v>1.0294192049559392</v>
      </c>
      <c r="AR50" s="162">
        <f t="shared" si="35"/>
        <v>0.73878153637501909</v>
      </c>
      <c r="AS50" s="162">
        <f t="shared" si="36"/>
        <v>-0.43027595142434882</v>
      </c>
      <c r="AT50" s="162">
        <f t="shared" si="37"/>
        <v>-0.41003253172219617</v>
      </c>
      <c r="AU50" s="162">
        <f t="shared" si="38"/>
        <v>-1.5964415221234107</v>
      </c>
      <c r="AV50" s="162">
        <f t="shared" si="39"/>
        <v>-0.84454307604342083</v>
      </c>
      <c r="AW50" s="162">
        <f t="shared" si="40"/>
        <v>-1.895031962730179</v>
      </c>
      <c r="AX50" s="162">
        <f t="shared" si="41"/>
        <v>-0.71151488942927044</v>
      </c>
      <c r="AY50" s="162">
        <f t="shared" si="42"/>
        <v>-0.45847214315234958</v>
      </c>
      <c r="AZ50" s="162">
        <f t="shared" si="43"/>
        <v>0.58984780570917772</v>
      </c>
      <c r="BA50" s="162">
        <f t="shared" si="44"/>
        <v>1.1335282205670136</v>
      </c>
      <c r="BB50" s="162">
        <f t="shared" si="45"/>
        <v>1.1103928837645549</v>
      </c>
      <c r="BC50" s="162">
        <f t="shared" si="46"/>
        <v>-6.0110562584968552E-2</v>
      </c>
      <c r="BD50" s="162">
        <f t="shared" si="47"/>
        <v>-0.16711149529635416</v>
      </c>
      <c r="BE50" s="162">
        <f t="shared" si="48"/>
        <v>-0.27555838655789022</v>
      </c>
      <c r="BF50" s="162">
        <f t="shared" si="49"/>
        <v>-0.43895170272527212</v>
      </c>
      <c r="BG50" s="162">
        <f t="shared" si="50"/>
        <v>-0.56836499296404119</v>
      </c>
      <c r="BH50" s="162">
        <f t="shared" si="51"/>
        <v>-0.65801442307357505</v>
      </c>
      <c r="BJ50" s="168">
        <f t="shared" si="28"/>
        <v>-0.3613519272003502</v>
      </c>
    </row>
    <row r="51" spans="1:62" x14ac:dyDescent="0.2">
      <c r="A51" s="160" t="s">
        <v>502</v>
      </c>
      <c r="B51" s="161" t="s">
        <v>749</v>
      </c>
      <c r="C51" s="161" t="s">
        <v>750</v>
      </c>
      <c r="D51" s="161"/>
      <c r="E51" s="162">
        <v>39.402000000000001</v>
      </c>
      <c r="F51" s="162">
        <v>41.012999999999998</v>
      </c>
      <c r="G51" s="162">
        <v>31.966999999999999</v>
      </c>
      <c r="H51" s="162">
        <v>34.871000000000002</v>
      </c>
      <c r="I51" s="162">
        <v>36.956000000000003</v>
      </c>
      <c r="J51" s="162">
        <v>35.097000000000001</v>
      </c>
      <c r="K51" s="162">
        <v>39.764000000000003</v>
      </c>
      <c r="L51" s="162">
        <v>41.491</v>
      </c>
      <c r="M51" s="162">
        <v>38.161000000000001</v>
      </c>
      <c r="N51" s="162">
        <v>37.457999999999998</v>
      </c>
      <c r="O51" s="162">
        <v>34.220999999999997</v>
      </c>
      <c r="P51" s="162">
        <v>37.895000000000003</v>
      </c>
      <c r="Q51" s="162">
        <v>36.421999999999997</v>
      </c>
      <c r="R51" s="162">
        <v>37.732999999999997</v>
      </c>
      <c r="S51" s="162">
        <v>38.209000000000003</v>
      </c>
      <c r="T51" s="162">
        <v>37.173999999999999</v>
      </c>
      <c r="U51" s="162">
        <v>36.478000000000002</v>
      </c>
      <c r="V51" s="162">
        <v>36.145000000000003</v>
      </c>
      <c r="W51" s="162">
        <v>36.125999999999998</v>
      </c>
      <c r="X51" s="162">
        <v>35.872999999999998</v>
      </c>
      <c r="Z51" s="163">
        <f t="shared" si="22"/>
        <v>37.317928571428567</v>
      </c>
      <c r="AA51" s="163">
        <f t="shared" si="23"/>
        <v>2.5733170495986504</v>
      </c>
      <c r="AB51" s="164">
        <f t="shared" si="29"/>
        <v>6.8956588645406186E-2</v>
      </c>
      <c r="AC51" s="165"/>
      <c r="AD51" s="163">
        <f t="shared" si="24"/>
        <v>36.667500000000004</v>
      </c>
      <c r="AE51" s="166">
        <f t="shared" si="25"/>
        <v>-1.7429385722297176E-2</v>
      </c>
      <c r="AF51" s="166">
        <f t="shared" si="30"/>
        <v>5.1527202923109014E-2</v>
      </c>
      <c r="AG51" s="166">
        <f t="shared" si="31"/>
        <v>-8.6385974367703358E-2</v>
      </c>
      <c r="AH51" s="167">
        <f t="shared" si="27"/>
        <v>-3.1220703451378409E-2</v>
      </c>
      <c r="AK51" s="160" t="s">
        <v>502</v>
      </c>
      <c r="AL51" s="161" t="s">
        <v>749</v>
      </c>
      <c r="AM51" s="161" t="s">
        <v>750</v>
      </c>
      <c r="AN51" s="161"/>
      <c r="AO51" s="162">
        <f t="shared" si="32"/>
        <v>0.80987744160653585</v>
      </c>
      <c r="AP51" s="162">
        <f t="shared" si="33"/>
        <v>1.4359176725416467</v>
      </c>
      <c r="AQ51" s="162">
        <f t="shared" si="34"/>
        <v>-2.079389545980403</v>
      </c>
      <c r="AR51" s="162">
        <f t="shared" si="35"/>
        <v>-0.95088499561692252</v>
      </c>
      <c r="AS51" s="162">
        <f t="shared" si="36"/>
        <v>-0.140646707907606</v>
      </c>
      <c r="AT51" s="162">
        <f t="shared" si="37"/>
        <v>-0.86306060567816723</v>
      </c>
      <c r="AU51" s="162">
        <f t="shared" si="38"/>
        <v>0.95055190690666724</v>
      </c>
      <c r="AV51" s="162">
        <f t="shared" si="39"/>
        <v>1.6216701432970684</v>
      </c>
      <c r="AW51" s="162">
        <f t="shared" si="40"/>
        <v>0.32762050393398856</v>
      </c>
      <c r="AX51" s="162">
        <f t="shared" si="41"/>
        <v>5.4432246735114848E-2</v>
      </c>
      <c r="AY51" s="162">
        <f t="shared" si="42"/>
        <v>-1.2034772675646732</v>
      </c>
      <c r="AZ51" s="162">
        <f t="shared" si="43"/>
        <v>0.2242519741830645</v>
      </c>
      <c r="BA51" s="162">
        <f t="shared" si="44"/>
        <v>-0.34816097440006633</v>
      </c>
      <c r="BB51" s="162">
        <f t="shared" si="45"/>
        <v>0.16129820794377711</v>
      </c>
      <c r="BC51" s="162">
        <f t="shared" si="46"/>
        <v>0.34627347170859224</v>
      </c>
      <c r="BD51" s="162">
        <f t="shared" si="47"/>
        <v>-5.5931145931285599E-2</v>
      </c>
      <c r="BE51" s="162">
        <f t="shared" si="48"/>
        <v>-0.32639917866302776</v>
      </c>
      <c r="BF51" s="162">
        <f t="shared" si="49"/>
        <v>-0.45580414259933522</v>
      </c>
      <c r="BG51" s="162">
        <f t="shared" si="50"/>
        <v>-0.46318760901011768</v>
      </c>
      <c r="BH51" s="162">
        <f t="shared" si="51"/>
        <v>-0.56150429332208751</v>
      </c>
      <c r="BJ51" s="168">
        <f t="shared" si="28"/>
        <v>-0.25275881630287694</v>
      </c>
    </row>
    <row r="52" spans="1:62" x14ac:dyDescent="0.2">
      <c r="A52" s="160" t="s">
        <v>528</v>
      </c>
      <c r="B52" s="161" t="s">
        <v>749</v>
      </c>
      <c r="C52" s="161" t="s">
        <v>750</v>
      </c>
      <c r="D52" s="161"/>
      <c r="E52" s="162">
        <v>16.097999999999999</v>
      </c>
      <c r="F52" s="162">
        <v>15.082000000000001</v>
      </c>
      <c r="G52" s="162">
        <v>33.042999999999999</v>
      </c>
      <c r="H52" s="162">
        <v>12.695</v>
      </c>
      <c r="I52" s="162">
        <v>15.141</v>
      </c>
      <c r="J52" s="162">
        <v>15.218</v>
      </c>
      <c r="K52" s="162">
        <v>16.963000000000001</v>
      </c>
      <c r="L52" s="162">
        <v>15.175000000000001</v>
      </c>
      <c r="M52" s="162">
        <v>13.263999999999999</v>
      </c>
      <c r="N52" s="162">
        <v>14.039</v>
      </c>
      <c r="O52" s="162">
        <v>16.192</v>
      </c>
      <c r="P52" s="162">
        <v>14.881</v>
      </c>
      <c r="Q52" s="162">
        <v>14.57</v>
      </c>
      <c r="R52" s="162">
        <v>16.87</v>
      </c>
      <c r="S52" s="162">
        <v>16.661000000000001</v>
      </c>
      <c r="T52" s="162">
        <v>16.486999999999998</v>
      </c>
      <c r="U52" s="162">
        <v>16.96</v>
      </c>
      <c r="V52" s="162">
        <v>17.532</v>
      </c>
      <c r="W52" s="162">
        <v>17.632999999999999</v>
      </c>
      <c r="X52" s="162">
        <v>17.631</v>
      </c>
      <c r="Z52" s="163">
        <f t="shared" si="22"/>
        <v>16.373642857142858</v>
      </c>
      <c r="AA52" s="163">
        <f t="shared" si="23"/>
        <v>4.7709247173020009</v>
      </c>
      <c r="AB52" s="164">
        <f t="shared" si="29"/>
        <v>0.29137833034025939</v>
      </c>
      <c r="AC52" s="165"/>
      <c r="AD52" s="163">
        <f t="shared" si="24"/>
        <v>17.150666666666666</v>
      </c>
      <c r="AE52" s="166">
        <f t="shared" si="25"/>
        <v>4.7455768780545859E-2</v>
      </c>
      <c r="AF52" s="166">
        <f t="shared" si="30"/>
        <v>0.33883409912080525</v>
      </c>
      <c r="AG52" s="166">
        <f t="shared" si="31"/>
        <v>-0.24392256155971354</v>
      </c>
      <c r="AH52" s="167">
        <f t="shared" si="27"/>
        <v>-1.0819897287506014E-2</v>
      </c>
      <c r="AK52" s="160" t="s">
        <v>528</v>
      </c>
      <c r="AL52" s="161" t="s">
        <v>749</v>
      </c>
      <c r="AM52" s="161" t="s">
        <v>750</v>
      </c>
      <c r="AN52" s="161"/>
      <c r="AO52" s="162">
        <f t="shared" si="32"/>
        <v>-5.7775562071484064E-2</v>
      </c>
      <c r="AP52" s="162">
        <f t="shared" si="33"/>
        <v>-0.27073218163737717</v>
      </c>
      <c r="AQ52" s="162">
        <f t="shared" si="34"/>
        <v>3.4939467987002333</v>
      </c>
      <c r="AR52" s="162">
        <f t="shared" si="35"/>
        <v>-0.77105447583401865</v>
      </c>
      <c r="AS52" s="162">
        <f t="shared" si="36"/>
        <v>-0.25836560628857053</v>
      </c>
      <c r="AT52" s="162">
        <f t="shared" si="37"/>
        <v>-0.24222617744351757</v>
      </c>
      <c r="AU52" s="162">
        <f t="shared" si="38"/>
        <v>0.12353100872034495</v>
      </c>
      <c r="AV52" s="162">
        <f t="shared" si="39"/>
        <v>-0.2512391052401054</v>
      </c>
      <c r="AW52" s="162">
        <f t="shared" si="40"/>
        <v>-0.65179038475823803</v>
      </c>
      <c r="AX52" s="162">
        <f t="shared" si="41"/>
        <v>-0.48934808144764003</v>
      </c>
      <c r="AY52" s="162">
        <f t="shared" si="42"/>
        <v>-3.8072882702198392E-2</v>
      </c>
      <c r="AZ52" s="162">
        <f t="shared" si="43"/>
        <v>-0.31286237901212588</v>
      </c>
      <c r="BA52" s="162">
        <f t="shared" si="44"/>
        <v>-0.3780489033083787</v>
      </c>
      <c r="BB52" s="162">
        <f t="shared" si="45"/>
        <v>0.10403793232307321</v>
      </c>
      <c r="BC52" s="162">
        <f t="shared" si="46"/>
        <v>6.0230911172215275E-2</v>
      </c>
      <c r="BD52" s="162">
        <f t="shared" si="47"/>
        <v>2.3759994041835247E-2</v>
      </c>
      <c r="BE52" s="162">
        <f t="shared" si="48"/>
        <v>0.12290219980430389</v>
      </c>
      <c r="BF52" s="162">
        <f t="shared" si="49"/>
        <v>0.24279509979612562</v>
      </c>
      <c r="BG52" s="162">
        <f t="shared" si="50"/>
        <v>0.26396499996950656</v>
      </c>
      <c r="BH52" s="162">
        <f t="shared" si="51"/>
        <v>0.26354579402547945</v>
      </c>
      <c r="BJ52" s="168">
        <f t="shared" si="28"/>
        <v>0.16286649980157766</v>
      </c>
    </row>
    <row r="53" spans="1:62" x14ac:dyDescent="0.2">
      <c r="A53" s="160" t="s">
        <v>538</v>
      </c>
      <c r="B53" s="161" t="s">
        <v>749</v>
      </c>
      <c r="C53" s="161" t="s">
        <v>750</v>
      </c>
      <c r="D53" s="161"/>
      <c r="E53" s="162"/>
      <c r="F53" s="162"/>
      <c r="G53" s="162"/>
      <c r="H53" s="162"/>
      <c r="I53" s="162"/>
      <c r="J53" s="162"/>
      <c r="K53" s="162"/>
      <c r="L53" s="162"/>
      <c r="M53" s="162">
        <v>1.748</v>
      </c>
      <c r="N53" s="162">
        <v>2.2629999999999999</v>
      </c>
      <c r="O53" s="162">
        <v>2.117</v>
      </c>
      <c r="P53" s="162">
        <v>2.5019999999999998</v>
      </c>
      <c r="Q53" s="162">
        <v>3.4889999999999999</v>
      </c>
      <c r="R53" s="162">
        <v>3.742</v>
      </c>
      <c r="S53" s="162">
        <v>4.26</v>
      </c>
      <c r="T53" s="162">
        <v>4.4189999999999996</v>
      </c>
      <c r="U53" s="162">
        <v>4.593</v>
      </c>
      <c r="V53" s="162">
        <v>4.7830000000000004</v>
      </c>
      <c r="W53" s="162">
        <v>4.96</v>
      </c>
      <c r="X53" s="162">
        <v>5.1520000000000001</v>
      </c>
      <c r="Z53" s="163">
        <f t="shared" si="22"/>
        <v>2.6435</v>
      </c>
      <c r="AA53" s="163">
        <f t="shared" si="23"/>
        <v>0.72634903226112035</v>
      </c>
      <c r="AB53" s="164">
        <f t="shared" si="29"/>
        <v>0.27476793352037843</v>
      </c>
      <c r="AC53" s="165"/>
      <c r="AD53" s="163">
        <f t="shared" si="24"/>
        <v>4.6945000000000006</v>
      </c>
      <c r="AE53" s="166">
        <f t="shared" si="25"/>
        <v>0.77586533005485181</v>
      </c>
      <c r="AF53" s="166">
        <f t="shared" si="30"/>
        <v>1.0506332635752302</v>
      </c>
      <c r="AG53" s="166">
        <f t="shared" si="31"/>
        <v>0.50109739653447338</v>
      </c>
      <c r="AH53" s="167">
        <f t="shared" si="27"/>
        <v>0.72091174335077612</v>
      </c>
      <c r="AK53" s="160" t="s">
        <v>538</v>
      </c>
      <c r="AL53" s="161" t="s">
        <v>749</v>
      </c>
      <c r="AM53" s="161" t="s">
        <v>750</v>
      </c>
      <c r="AN53" s="161"/>
      <c r="AO53" s="162">
        <f t="shared" si="32"/>
        <v>-3.6394348757797608</v>
      </c>
      <c r="AP53" s="162">
        <f t="shared" si="33"/>
        <v>-3.6394348757797608</v>
      </c>
      <c r="AQ53" s="162">
        <f t="shared" si="34"/>
        <v>-3.6394348757797608</v>
      </c>
      <c r="AR53" s="162">
        <f t="shared" si="35"/>
        <v>-3.6394348757797608</v>
      </c>
      <c r="AS53" s="162">
        <f t="shared" si="36"/>
        <v>-3.6394348757797608</v>
      </c>
      <c r="AT53" s="162">
        <f t="shared" si="37"/>
        <v>-3.6394348757797608</v>
      </c>
      <c r="AU53" s="162">
        <f t="shared" si="38"/>
        <v>-3.6394348757797608</v>
      </c>
      <c r="AV53" s="162">
        <f t="shared" si="39"/>
        <v>-3.6394348757797608</v>
      </c>
      <c r="AW53" s="162">
        <f t="shared" si="40"/>
        <v>-1.2328783549312561</v>
      </c>
      <c r="AX53" s="162">
        <f t="shared" si="41"/>
        <v>-0.52385283534488336</v>
      </c>
      <c r="AY53" s="162">
        <f t="shared" si="42"/>
        <v>-0.72485812827616569</v>
      </c>
      <c r="AZ53" s="162">
        <f t="shared" si="43"/>
        <v>-0.19480992431353766</v>
      </c>
      <c r="BA53" s="162">
        <f t="shared" si="44"/>
        <v>1.1640409258452005</v>
      </c>
      <c r="BB53" s="162">
        <f t="shared" si="45"/>
        <v>1.5123583170206421</v>
      </c>
      <c r="BC53" s="162">
        <f t="shared" si="46"/>
        <v>2.225514082352178</v>
      </c>
      <c r="BD53" s="162">
        <f t="shared" si="47"/>
        <v>2.4444171068458345</v>
      </c>
      <c r="BE53" s="162">
        <f t="shared" si="48"/>
        <v>2.6839713600653088</v>
      </c>
      <c r="BF53" s="162">
        <f t="shared" si="49"/>
        <v>2.9455535905923207</v>
      </c>
      <c r="BG53" s="162">
        <f t="shared" si="50"/>
        <v>3.189238089556957</v>
      </c>
      <c r="BH53" s="162">
        <f t="shared" si="51"/>
        <v>3.4535738172474106</v>
      </c>
      <c r="BJ53" s="168">
        <f t="shared" si="28"/>
        <v>2.8237113411100014</v>
      </c>
    </row>
    <row r="54" spans="1:62" x14ac:dyDescent="0.2">
      <c r="A54" s="160" t="s">
        <v>487</v>
      </c>
      <c r="B54" s="161" t="s">
        <v>749</v>
      </c>
      <c r="C54" s="161" t="s">
        <v>750</v>
      </c>
      <c r="D54" s="161"/>
      <c r="E54" s="162">
        <v>14.691000000000001</v>
      </c>
      <c r="F54" s="162">
        <v>15.102</v>
      </c>
      <c r="G54" s="162">
        <v>14.541</v>
      </c>
      <c r="H54" s="162">
        <v>13.599</v>
      </c>
      <c r="I54" s="162">
        <v>13.112</v>
      </c>
      <c r="J54" s="162">
        <v>13.006</v>
      </c>
      <c r="K54" s="162">
        <v>13.617000000000001</v>
      </c>
      <c r="L54" s="162">
        <v>12.225</v>
      </c>
      <c r="M54" s="162">
        <v>12.023</v>
      </c>
      <c r="N54" s="162">
        <v>11.625999999999999</v>
      </c>
      <c r="O54" s="162">
        <v>13.340999999999999</v>
      </c>
      <c r="P54" s="162">
        <v>14.224</v>
      </c>
      <c r="Q54" s="162">
        <v>13.813000000000001</v>
      </c>
      <c r="R54" s="162">
        <v>13.465999999999999</v>
      </c>
      <c r="S54" s="162">
        <v>15.186999999999999</v>
      </c>
      <c r="T54" s="162">
        <v>16.131</v>
      </c>
      <c r="U54" s="162">
        <v>16.120999999999999</v>
      </c>
      <c r="V54" s="162">
        <v>16.116</v>
      </c>
      <c r="W54" s="162">
        <v>16.100000000000001</v>
      </c>
      <c r="X54" s="162">
        <v>16.097999999999999</v>
      </c>
      <c r="Z54" s="163">
        <f t="shared" si="22"/>
        <v>13.456142857142856</v>
      </c>
      <c r="AA54" s="163">
        <f t="shared" si="23"/>
        <v>0.97933358224157874</v>
      </c>
      <c r="AB54" s="164">
        <f t="shared" si="29"/>
        <v>7.2779665959158871E-2</v>
      </c>
      <c r="AC54" s="165"/>
      <c r="AD54" s="163">
        <f t="shared" si="24"/>
        <v>15.958833333333333</v>
      </c>
      <c r="AE54" s="166">
        <f t="shared" si="25"/>
        <v>0.18598869696615819</v>
      </c>
      <c r="AF54" s="166">
        <f t="shared" si="30"/>
        <v>0.25876836292531707</v>
      </c>
      <c r="AG54" s="166">
        <f t="shared" si="31"/>
        <v>0.11320903100699932</v>
      </c>
      <c r="AH54" s="167">
        <f t="shared" si="27"/>
        <v>0.1714327637743264</v>
      </c>
      <c r="AK54" s="160" t="s">
        <v>487</v>
      </c>
      <c r="AL54" s="161" t="s">
        <v>749</v>
      </c>
      <c r="AM54" s="161" t="s">
        <v>750</v>
      </c>
      <c r="AN54" s="161"/>
      <c r="AO54" s="162">
        <f t="shared" si="32"/>
        <v>1.2609157545998808</v>
      </c>
      <c r="AP54" s="162">
        <f t="shared" si="33"/>
        <v>1.680588895042251</v>
      </c>
      <c r="AQ54" s="162">
        <f t="shared" si="34"/>
        <v>1.1077503748763875</v>
      </c>
      <c r="AR54" s="162">
        <f t="shared" si="35"/>
        <v>0.14587179021285171</v>
      </c>
      <c r="AS54" s="162">
        <f t="shared" si="36"/>
        <v>-0.35140514262275546</v>
      </c>
      <c r="AT54" s="162">
        <f t="shared" si="37"/>
        <v>-0.45964201096069029</v>
      </c>
      <c r="AU54" s="162">
        <f t="shared" si="38"/>
        <v>0.16425163577967156</v>
      </c>
      <c r="AV54" s="162">
        <f t="shared" si="39"/>
        <v>-1.257123088054344</v>
      </c>
      <c r="AW54" s="162">
        <f t="shared" si="40"/>
        <v>-1.4633857994153145</v>
      </c>
      <c r="AX54" s="162">
        <f t="shared" si="41"/>
        <v>-1.868763504416826</v>
      </c>
      <c r="AY54" s="162">
        <f t="shared" si="42"/>
        <v>-0.11757266291155705</v>
      </c>
      <c r="AZ54" s="162">
        <f t="shared" si="43"/>
        <v>0.78406087239407229</v>
      </c>
      <c r="BA54" s="162">
        <f t="shared" si="44"/>
        <v>0.36438773195170204</v>
      </c>
      <c r="BB54" s="162">
        <f t="shared" si="45"/>
        <v>1.006515352468706E-2</v>
      </c>
      <c r="BC54" s="162">
        <f t="shared" si="46"/>
        <v>1.7673826102188961</v>
      </c>
      <c r="BD54" s="162">
        <f t="shared" si="47"/>
        <v>2.7313033999454124</v>
      </c>
      <c r="BE54" s="162">
        <f t="shared" si="48"/>
        <v>2.7210923746305111</v>
      </c>
      <c r="BF54" s="162">
        <f t="shared" si="49"/>
        <v>2.7159868619730627</v>
      </c>
      <c r="BG54" s="162">
        <f t="shared" si="50"/>
        <v>2.6996492214692251</v>
      </c>
      <c r="BH54" s="162">
        <f t="shared" si="51"/>
        <v>2.6976070164062427</v>
      </c>
      <c r="BJ54" s="168">
        <f t="shared" si="28"/>
        <v>2.5555035807738919</v>
      </c>
    </row>
    <row r="55" spans="1:62" x14ac:dyDescent="0.2">
      <c r="A55" s="160" t="s">
        <v>484</v>
      </c>
      <c r="B55" s="161" t="s">
        <v>749</v>
      </c>
      <c r="C55" s="161" t="s">
        <v>750</v>
      </c>
      <c r="D55" s="161"/>
      <c r="E55" s="162">
        <v>17.873999999999999</v>
      </c>
      <c r="F55" s="162">
        <v>17.5</v>
      </c>
      <c r="G55" s="162">
        <v>16.741</v>
      </c>
      <c r="H55" s="162">
        <v>20.202999999999999</v>
      </c>
      <c r="I55" s="162">
        <v>14.959</v>
      </c>
      <c r="J55" s="162">
        <v>17.462</v>
      </c>
      <c r="K55" s="162">
        <v>15.906000000000001</v>
      </c>
      <c r="L55" s="162">
        <v>9.1129999999999995</v>
      </c>
      <c r="M55" s="162">
        <v>9.5630000000000006</v>
      </c>
      <c r="N55" s="162">
        <v>8.7919999999999998</v>
      </c>
      <c r="O55" s="162">
        <v>8.41</v>
      </c>
      <c r="P55" s="162">
        <v>7.0739999999999998</v>
      </c>
      <c r="Q55" s="162">
        <v>7.22</v>
      </c>
      <c r="R55" s="162">
        <v>6.9080000000000004</v>
      </c>
      <c r="S55" s="162">
        <v>6.3529999999999998</v>
      </c>
      <c r="T55" s="162">
        <v>5.8630000000000004</v>
      </c>
      <c r="U55" s="162">
        <v>5.532</v>
      </c>
      <c r="V55" s="162">
        <v>5.2889999999999997</v>
      </c>
      <c r="W55" s="162">
        <v>5.13</v>
      </c>
      <c r="X55" s="162">
        <v>5.0119999999999996</v>
      </c>
      <c r="Z55" s="163">
        <f t="shared" si="22"/>
        <v>12.694642857142856</v>
      </c>
      <c r="AA55" s="163">
        <f t="shared" si="23"/>
        <v>4.7215778780152808</v>
      </c>
      <c r="AB55" s="164">
        <f t="shared" si="29"/>
        <v>0.37193467600064106</v>
      </c>
      <c r="AC55" s="165"/>
      <c r="AD55" s="163">
        <f t="shared" si="24"/>
        <v>5.5298333333333325</v>
      </c>
      <c r="AE55" s="166">
        <f t="shared" si="25"/>
        <v>-0.56439630515309236</v>
      </c>
      <c r="AF55" s="166">
        <f t="shared" si="30"/>
        <v>-0.1924616291524513</v>
      </c>
      <c r="AG55" s="166">
        <f t="shared" si="31"/>
        <v>-0.93633098115373348</v>
      </c>
      <c r="AH55" s="167">
        <f t="shared" si="27"/>
        <v>-0.63878324035322054</v>
      </c>
      <c r="AK55" s="160" t="s">
        <v>484</v>
      </c>
      <c r="AL55" s="161" t="s">
        <v>749</v>
      </c>
      <c r="AM55" s="161" t="s">
        <v>750</v>
      </c>
      <c r="AN55" s="161"/>
      <c r="AO55" s="162">
        <f t="shared" si="32"/>
        <v>1.0969547207880197</v>
      </c>
      <c r="AP55" s="162">
        <f t="shared" si="33"/>
        <v>1.0177439125238108</v>
      </c>
      <c r="AQ55" s="162">
        <f t="shared" si="34"/>
        <v>0.85699256634056264</v>
      </c>
      <c r="AR55" s="162">
        <f t="shared" si="35"/>
        <v>1.5902220267969587</v>
      </c>
      <c r="AS55" s="162">
        <f t="shared" si="36"/>
        <v>0.4795763622581542</v>
      </c>
      <c r="AT55" s="162">
        <f t="shared" si="37"/>
        <v>1.0096957555343991</v>
      </c>
      <c r="AU55" s="162">
        <f t="shared" si="38"/>
        <v>0.68014490617849155</v>
      </c>
      <c r="AV55" s="162">
        <f t="shared" si="39"/>
        <v>-0.75856905248132922</v>
      </c>
      <c r="AW55" s="162">
        <f t="shared" si="40"/>
        <v>-0.6632619302382966</v>
      </c>
      <c r="AX55" s="162">
        <f t="shared" si="41"/>
        <v>-0.82655479968135892</v>
      </c>
      <c r="AY55" s="162">
        <f t="shared" si="42"/>
        <v>-0.90745995678544422</v>
      </c>
      <c r="AZ55" s="162">
        <f t="shared" si="43"/>
        <v>-1.1904162130447582</v>
      </c>
      <c r="BA55" s="162">
        <f t="shared" si="44"/>
        <v>-1.1594943467170189</v>
      </c>
      <c r="BB55" s="162">
        <f t="shared" si="45"/>
        <v>-1.225573951472188</v>
      </c>
      <c r="BC55" s="162">
        <f t="shared" si="46"/>
        <v>-1.3431194022385946</v>
      </c>
      <c r="BD55" s="162">
        <f t="shared" si="47"/>
        <v>-1.4468982686810077</v>
      </c>
      <c r="BE55" s="162">
        <f t="shared" si="48"/>
        <v>-1.5170019519308826</v>
      </c>
      <c r="BF55" s="162">
        <f t="shared" si="49"/>
        <v>-1.5684677979421202</v>
      </c>
      <c r="BG55" s="162">
        <f t="shared" si="50"/>
        <v>-1.6021429811346584</v>
      </c>
      <c r="BH55" s="162">
        <f t="shared" si="51"/>
        <v>-1.6271346265228315</v>
      </c>
      <c r="BJ55" s="168">
        <f t="shared" si="28"/>
        <v>-1.5174608380750156</v>
      </c>
    </row>
    <row r="56" spans="1:62" x14ac:dyDescent="0.2">
      <c r="A56" s="160" t="s">
        <v>523</v>
      </c>
      <c r="B56" s="161" t="s">
        <v>749</v>
      </c>
      <c r="C56" s="161" t="s">
        <v>750</v>
      </c>
      <c r="D56" s="161"/>
      <c r="E56" s="162">
        <v>20.084</v>
      </c>
      <c r="F56" s="162">
        <v>23.622</v>
      </c>
      <c r="G56" s="162">
        <v>22.462</v>
      </c>
      <c r="H56" s="162">
        <v>22.12</v>
      </c>
      <c r="I56" s="162">
        <v>23.414999999999999</v>
      </c>
      <c r="J56" s="162">
        <v>23.16</v>
      </c>
      <c r="K56" s="162">
        <v>24.885000000000002</v>
      </c>
      <c r="L56" s="162">
        <v>25.134</v>
      </c>
      <c r="M56" s="162">
        <v>26.939</v>
      </c>
      <c r="N56" s="162">
        <v>28.395</v>
      </c>
      <c r="O56" s="162">
        <v>29.943999999999999</v>
      </c>
      <c r="P56" s="162">
        <v>29.914000000000001</v>
      </c>
      <c r="Q56" s="162">
        <v>29.667000000000002</v>
      </c>
      <c r="R56" s="162">
        <v>26.952999999999999</v>
      </c>
      <c r="S56" s="162">
        <v>27.686</v>
      </c>
      <c r="T56" s="162">
        <v>28.074999999999999</v>
      </c>
      <c r="U56" s="162">
        <v>28.128</v>
      </c>
      <c r="V56" s="162">
        <v>27.995999999999999</v>
      </c>
      <c r="W56" s="162">
        <v>27.661000000000001</v>
      </c>
      <c r="X56" s="162">
        <v>27.702999999999999</v>
      </c>
      <c r="Z56" s="163">
        <f t="shared" si="22"/>
        <v>25.478142857142853</v>
      </c>
      <c r="AA56" s="163">
        <f t="shared" si="23"/>
        <v>3.0822241240734876</v>
      </c>
      <c r="AB56" s="164">
        <f t="shared" si="29"/>
        <v>0.12097522732938831</v>
      </c>
      <c r="AC56" s="165"/>
      <c r="AD56" s="163">
        <f t="shared" si="24"/>
        <v>27.874833333333331</v>
      </c>
      <c r="AE56" s="166">
        <f t="shared" si="25"/>
        <v>9.4068491947346206E-2</v>
      </c>
      <c r="AF56" s="166">
        <f t="shared" si="30"/>
        <v>0.21504371927673452</v>
      </c>
      <c r="AG56" s="166">
        <f t="shared" si="31"/>
        <v>-2.6906735382042107E-2</v>
      </c>
      <c r="AH56" s="167">
        <f t="shared" si="27"/>
        <v>6.9873446481468537E-2</v>
      </c>
      <c r="AK56" s="160" t="s">
        <v>523</v>
      </c>
      <c r="AL56" s="161" t="s">
        <v>749</v>
      </c>
      <c r="AM56" s="161" t="s">
        <v>750</v>
      </c>
      <c r="AN56" s="161"/>
      <c r="AO56" s="162">
        <f t="shared" si="32"/>
        <v>-1.7500813179068622</v>
      </c>
      <c r="AP56" s="162">
        <f t="shared" si="33"/>
        <v>-0.60220891876278038</v>
      </c>
      <c r="AQ56" s="162">
        <f t="shared" si="34"/>
        <v>-0.97856052503952862</v>
      </c>
      <c r="AR56" s="162">
        <f t="shared" si="35"/>
        <v>-1.0895193606831901</v>
      </c>
      <c r="AS56" s="162">
        <f t="shared" si="36"/>
        <v>-0.66936821402078661</v>
      </c>
      <c r="AT56" s="162">
        <f t="shared" si="37"/>
        <v>-0.75210067919369206</v>
      </c>
      <c r="AU56" s="162">
        <f t="shared" si="38"/>
        <v>-0.19243988537697568</v>
      </c>
      <c r="AV56" s="162">
        <f t="shared" si="39"/>
        <v>-0.11165406644343273</v>
      </c>
      <c r="AW56" s="162">
        <f t="shared" si="40"/>
        <v>0.47396201056478299</v>
      </c>
      <c r="AX56" s="162">
        <f t="shared" si="41"/>
        <v>0.94634816465008043</v>
      </c>
      <c r="AY56" s="162">
        <f t="shared" si="42"/>
        <v>1.4489073354454964</v>
      </c>
      <c r="AZ56" s="162">
        <f t="shared" si="43"/>
        <v>1.4391741042486847</v>
      </c>
      <c r="BA56" s="162">
        <f t="shared" si="44"/>
        <v>1.3590371673949291</v>
      </c>
      <c r="BB56" s="162">
        <f t="shared" si="45"/>
        <v>0.47850418512329523</v>
      </c>
      <c r="BC56" s="162">
        <f t="shared" si="46"/>
        <v>0.71631946736541297</v>
      </c>
      <c r="BD56" s="162">
        <f t="shared" si="47"/>
        <v>0.84252703188408085</v>
      </c>
      <c r="BE56" s="162">
        <f t="shared" si="48"/>
        <v>0.85972240699844982</v>
      </c>
      <c r="BF56" s="162">
        <f t="shared" si="49"/>
        <v>0.81689618973247458</v>
      </c>
      <c r="BG56" s="162">
        <f t="shared" si="50"/>
        <v>0.70820844136806971</v>
      </c>
      <c r="BH56" s="162">
        <f t="shared" si="51"/>
        <v>0.72183496504360656</v>
      </c>
      <c r="BJ56" s="168">
        <f t="shared" si="28"/>
        <v>0.77758475039868236</v>
      </c>
    </row>
    <row r="57" spans="1:62" x14ac:dyDescent="0.2">
      <c r="A57" s="160" t="s">
        <v>533</v>
      </c>
      <c r="B57" s="161" t="s">
        <v>749</v>
      </c>
      <c r="C57" s="161" t="s">
        <v>750</v>
      </c>
      <c r="D57" s="161"/>
      <c r="E57" s="162">
        <v>15.625999999999999</v>
      </c>
      <c r="F57" s="162">
        <v>17.247</v>
      </c>
      <c r="G57" s="162">
        <v>16.75</v>
      </c>
      <c r="H57" s="162">
        <v>16.257000000000001</v>
      </c>
      <c r="I57" s="162">
        <v>16.297000000000001</v>
      </c>
      <c r="J57" s="162">
        <v>18.582999999999998</v>
      </c>
      <c r="K57" s="162">
        <v>19.227</v>
      </c>
      <c r="L57" s="162">
        <v>20.213999999999999</v>
      </c>
      <c r="M57" s="162">
        <v>21.462</v>
      </c>
      <c r="N57" s="162">
        <v>20.663</v>
      </c>
      <c r="O57" s="162">
        <v>21.826000000000001</v>
      </c>
      <c r="P57" s="162">
        <v>21.484000000000002</v>
      </c>
      <c r="Q57" s="162">
        <v>21.387</v>
      </c>
      <c r="R57" s="162">
        <v>24.318999999999999</v>
      </c>
      <c r="S57" s="162">
        <v>23.981000000000002</v>
      </c>
      <c r="T57" s="162">
        <v>24.015999999999998</v>
      </c>
      <c r="U57" s="162">
        <v>24.242000000000001</v>
      </c>
      <c r="V57" s="162">
        <v>24.443000000000001</v>
      </c>
      <c r="W57" s="162">
        <v>24.585999999999999</v>
      </c>
      <c r="X57" s="162">
        <v>24.791</v>
      </c>
      <c r="Z57" s="163">
        <f t="shared" si="22"/>
        <v>19.381571428571426</v>
      </c>
      <c r="AA57" s="163">
        <f t="shared" si="23"/>
        <v>2.5492796941849312</v>
      </c>
      <c r="AB57" s="164">
        <f t="shared" si="29"/>
        <v>0.13153111467664069</v>
      </c>
      <c r="AC57" s="165"/>
      <c r="AD57" s="163">
        <f t="shared" si="24"/>
        <v>24.343166666666665</v>
      </c>
      <c r="AE57" s="166">
        <f t="shared" si="25"/>
        <v>0.25599550874296406</v>
      </c>
      <c r="AF57" s="166">
        <f t="shared" si="30"/>
        <v>0.38752662341960475</v>
      </c>
      <c r="AG57" s="166">
        <f t="shared" si="31"/>
        <v>0.12446439406632337</v>
      </c>
      <c r="AH57" s="167">
        <f t="shared" si="27"/>
        <v>0.22968928580763592</v>
      </c>
      <c r="AK57" s="160" t="s">
        <v>533</v>
      </c>
      <c r="AL57" s="161" t="s">
        <v>749</v>
      </c>
      <c r="AM57" s="161" t="s">
        <v>750</v>
      </c>
      <c r="AN57" s="161"/>
      <c r="AO57" s="162">
        <f t="shared" si="32"/>
        <v>-1.4731892452358695</v>
      </c>
      <c r="AP57" s="162">
        <f t="shared" si="33"/>
        <v>-0.83732335586421514</v>
      </c>
      <c r="AQ57" s="162">
        <f t="shared" si="34"/>
        <v>-1.032280386720299</v>
      </c>
      <c r="AR57" s="162">
        <f t="shared" si="35"/>
        <v>-1.2256683469055085</v>
      </c>
      <c r="AS57" s="162">
        <f t="shared" si="36"/>
        <v>-1.2099776401967697</v>
      </c>
      <c r="AT57" s="162">
        <f t="shared" si="37"/>
        <v>-0.31325375179232789</v>
      </c>
      <c r="AU57" s="162">
        <f t="shared" si="38"/>
        <v>-6.0633373781626781E-2</v>
      </c>
      <c r="AV57" s="162">
        <f t="shared" si="39"/>
        <v>0.32653481425651121</v>
      </c>
      <c r="AW57" s="162">
        <f t="shared" si="40"/>
        <v>0.81608486356917331</v>
      </c>
      <c r="AX57" s="162">
        <f t="shared" si="41"/>
        <v>0.50266299706210882</v>
      </c>
      <c r="AY57" s="162">
        <f t="shared" si="42"/>
        <v>0.95887029461869988</v>
      </c>
      <c r="AZ57" s="162">
        <f t="shared" si="43"/>
        <v>0.82471475225898061</v>
      </c>
      <c r="BA57" s="162">
        <f t="shared" si="44"/>
        <v>0.78666478849028765</v>
      </c>
      <c r="BB57" s="162">
        <f t="shared" si="45"/>
        <v>1.9367935902408671</v>
      </c>
      <c r="BC57" s="162">
        <f t="shared" si="46"/>
        <v>1.8042071185520223</v>
      </c>
      <c r="BD57" s="162">
        <f t="shared" si="47"/>
        <v>1.8179364869221677</v>
      </c>
      <c r="BE57" s="162">
        <f t="shared" si="48"/>
        <v>1.906588979826545</v>
      </c>
      <c r="BF57" s="162">
        <f t="shared" si="49"/>
        <v>1.9854347810379593</v>
      </c>
      <c r="BG57" s="162">
        <f t="shared" si="50"/>
        <v>2.0415290575217009</v>
      </c>
      <c r="BH57" s="162">
        <f t="shared" si="51"/>
        <v>2.1219439294039897</v>
      </c>
      <c r="BJ57" s="168">
        <f t="shared" si="28"/>
        <v>1.9462733922107311</v>
      </c>
    </row>
    <row r="58" spans="1:62" x14ac:dyDescent="0.2">
      <c r="A58" s="160" t="s">
        <v>479</v>
      </c>
      <c r="B58" s="161" t="s">
        <v>749</v>
      </c>
      <c r="C58" s="161" t="s">
        <v>750</v>
      </c>
      <c r="D58" s="161"/>
      <c r="E58" s="162">
        <v>21.451000000000001</v>
      </c>
      <c r="F58" s="162">
        <v>21.521999999999998</v>
      </c>
      <c r="G58" s="162">
        <v>21.876000000000001</v>
      </c>
      <c r="H58" s="162">
        <v>24.181000000000001</v>
      </c>
      <c r="I58" s="162">
        <v>23.13</v>
      </c>
      <c r="J58" s="162">
        <v>24.693999999999999</v>
      </c>
      <c r="K58" s="162">
        <v>25.94</v>
      </c>
      <c r="L58" s="162">
        <v>24.631</v>
      </c>
      <c r="M58" s="162">
        <v>24.998999999999999</v>
      </c>
      <c r="N58" s="162">
        <v>25.933</v>
      </c>
      <c r="O58" s="162">
        <v>23.866</v>
      </c>
      <c r="P58" s="162">
        <v>22.646999999999998</v>
      </c>
      <c r="Q58" s="162">
        <v>24.431999999999999</v>
      </c>
      <c r="R58" s="162">
        <v>26.116</v>
      </c>
      <c r="S58" s="162">
        <v>28.045999999999999</v>
      </c>
      <c r="T58" s="162">
        <v>28.635999999999999</v>
      </c>
      <c r="U58" s="162">
        <v>28.501000000000001</v>
      </c>
      <c r="V58" s="162">
        <v>28.385000000000002</v>
      </c>
      <c r="W58" s="162">
        <v>28.282</v>
      </c>
      <c r="X58" s="162">
        <v>28.190999999999999</v>
      </c>
      <c r="Z58" s="163">
        <f t="shared" si="22"/>
        <v>23.958428571428566</v>
      </c>
      <c r="AA58" s="163">
        <f t="shared" si="23"/>
        <v>1.553918076268856</v>
      </c>
      <c r="AB58" s="164">
        <f t="shared" si="29"/>
        <v>6.48589314460285E-2</v>
      </c>
      <c r="AC58" s="165"/>
      <c r="AD58" s="163">
        <f t="shared" si="24"/>
        <v>28.340166666666672</v>
      </c>
      <c r="AE58" s="166">
        <f t="shared" si="25"/>
        <v>0.18288921087518706</v>
      </c>
      <c r="AF58" s="166">
        <f t="shared" si="30"/>
        <v>0.24774814232121556</v>
      </c>
      <c r="AG58" s="166">
        <f t="shared" si="31"/>
        <v>0.11803027942915856</v>
      </c>
      <c r="AH58" s="167">
        <f t="shared" si="27"/>
        <v>0.16991742458598136</v>
      </c>
      <c r="AK58" s="160" t="s">
        <v>479</v>
      </c>
      <c r="AL58" s="161" t="s">
        <v>749</v>
      </c>
      <c r="AM58" s="161" t="s">
        <v>750</v>
      </c>
      <c r="AN58" s="161"/>
      <c r="AO58" s="162">
        <f t="shared" si="32"/>
        <v>-1.6136169658629642</v>
      </c>
      <c r="AP58" s="162">
        <f t="shared" si="33"/>
        <v>-1.5679260114398859</v>
      </c>
      <c r="AQ58" s="162">
        <f t="shared" si="34"/>
        <v>-1.3401147738938248</v>
      </c>
      <c r="AR58" s="162">
        <f t="shared" si="35"/>
        <v>0.14323240843291776</v>
      </c>
      <c r="AS58" s="162">
        <f t="shared" si="36"/>
        <v>-0.53312242394253095</v>
      </c>
      <c r="AT58" s="162">
        <f t="shared" si="37"/>
        <v>0.47336564250390095</v>
      </c>
      <c r="AU58" s="162">
        <f t="shared" si="38"/>
        <v>1.2752097159004843</v>
      </c>
      <c r="AV58" s="162">
        <f t="shared" si="39"/>
        <v>0.43282296463553516</v>
      </c>
      <c r="AW58" s="162">
        <f t="shared" si="40"/>
        <v>0.66964368615234171</v>
      </c>
      <c r="AX58" s="162">
        <f t="shared" si="41"/>
        <v>1.2707049739151093</v>
      </c>
      <c r="AY58" s="162">
        <f t="shared" si="42"/>
        <v>-5.9480980908915577E-2</v>
      </c>
      <c r="AZ58" s="162">
        <f t="shared" si="43"/>
        <v>-0.84394962093334125</v>
      </c>
      <c r="BA58" s="162">
        <f t="shared" si="44"/>
        <v>0.30475958533704312</v>
      </c>
      <c r="BB58" s="162">
        <f t="shared" si="45"/>
        <v>1.3884718001041738</v>
      </c>
      <c r="BC58" s="162">
        <f t="shared" si="46"/>
        <v>2.6304935189287346</v>
      </c>
      <c r="BD58" s="162">
        <f t="shared" si="47"/>
        <v>3.0101789148388338</v>
      </c>
      <c r="BE58" s="162">
        <f t="shared" si="48"/>
        <v>2.9233017479780496</v>
      </c>
      <c r="BF58" s="162">
        <f t="shared" si="49"/>
        <v>2.8486517379347083</v>
      </c>
      <c r="BG58" s="162">
        <f t="shared" si="50"/>
        <v>2.7823676772927746</v>
      </c>
      <c r="BH58" s="162">
        <f t="shared" si="51"/>
        <v>2.7238060314829111</v>
      </c>
      <c r="BJ58" s="168">
        <f t="shared" si="28"/>
        <v>2.8197999380760024</v>
      </c>
    </row>
    <row r="59" spans="1:62" x14ac:dyDescent="0.2">
      <c r="A59" s="160" t="s">
        <v>504</v>
      </c>
      <c r="B59" s="161" t="s">
        <v>749</v>
      </c>
      <c r="C59" s="161" t="s">
        <v>750</v>
      </c>
      <c r="D59" s="161"/>
      <c r="E59" s="162">
        <v>31.669</v>
      </c>
      <c r="F59" s="162">
        <v>33.832999999999998</v>
      </c>
      <c r="G59" s="162">
        <v>31.952000000000002</v>
      </c>
      <c r="H59" s="162">
        <v>31.922000000000001</v>
      </c>
      <c r="I59" s="162">
        <v>32.454000000000001</v>
      </c>
      <c r="J59" s="162">
        <v>32.822000000000003</v>
      </c>
      <c r="K59" s="162">
        <v>32.719000000000001</v>
      </c>
      <c r="L59" s="162">
        <v>32.61</v>
      </c>
      <c r="M59" s="162">
        <v>32.765000000000001</v>
      </c>
      <c r="N59" s="162">
        <v>31.855</v>
      </c>
      <c r="O59" s="162">
        <v>32.162999999999997</v>
      </c>
      <c r="P59" s="162">
        <v>32.750999999999998</v>
      </c>
      <c r="Q59" s="162">
        <v>31.475999999999999</v>
      </c>
      <c r="R59" s="162">
        <v>31.2</v>
      </c>
      <c r="S59" s="162">
        <v>30.88</v>
      </c>
      <c r="T59" s="162">
        <v>30.638999999999999</v>
      </c>
      <c r="U59" s="162">
        <v>30.363</v>
      </c>
      <c r="V59" s="162">
        <v>30.664999999999999</v>
      </c>
      <c r="W59" s="162">
        <v>30.922999999999998</v>
      </c>
      <c r="X59" s="162">
        <v>31.122</v>
      </c>
      <c r="Z59" s="163">
        <f t="shared" si="22"/>
        <v>32.29935714285714</v>
      </c>
      <c r="AA59" s="163">
        <f t="shared" si="23"/>
        <v>0.66038350407091451</v>
      </c>
      <c r="AB59" s="164">
        <f t="shared" si="29"/>
        <v>2.0445716648479967E-2</v>
      </c>
      <c r="AC59" s="165"/>
      <c r="AD59" s="163">
        <f t="shared" si="24"/>
        <v>30.765333333333331</v>
      </c>
      <c r="AE59" s="166">
        <f t="shared" si="25"/>
        <v>-4.7493942456469346E-2</v>
      </c>
      <c r="AF59" s="166">
        <f t="shared" si="30"/>
        <v>-2.7048225807989379E-2</v>
      </c>
      <c r="AG59" s="166">
        <f t="shared" si="31"/>
        <v>-6.7939659104949313E-2</v>
      </c>
      <c r="AH59" s="167">
        <f t="shared" si="27"/>
        <v>-5.1583085786165342E-2</v>
      </c>
      <c r="AK59" s="160" t="s">
        <v>504</v>
      </c>
      <c r="AL59" s="161" t="s">
        <v>749</v>
      </c>
      <c r="AM59" s="161" t="s">
        <v>750</v>
      </c>
      <c r="AN59" s="161"/>
      <c r="AO59" s="162">
        <f t="shared" si="32"/>
        <v>-0.95453193329530739</v>
      </c>
      <c r="AP59" s="162">
        <f t="shared" si="33"/>
        <v>2.3223518571992829</v>
      </c>
      <c r="AQ59" s="162">
        <f t="shared" si="34"/>
        <v>-0.5259930642056706</v>
      </c>
      <c r="AR59" s="162">
        <f t="shared" si="35"/>
        <v>-0.57142121287241809</v>
      </c>
      <c r="AS59" s="162">
        <f t="shared" si="36"/>
        <v>0.23417129015120658</v>
      </c>
      <c r="AT59" s="162">
        <f t="shared" si="37"/>
        <v>0.7914232471299576</v>
      </c>
      <c r="AU59" s="162">
        <f t="shared" si="38"/>
        <v>0.63545327004079488</v>
      </c>
      <c r="AV59" s="162">
        <f t="shared" si="39"/>
        <v>0.47039766321828269</v>
      </c>
      <c r="AW59" s="162">
        <f t="shared" si="40"/>
        <v>0.70510976466313746</v>
      </c>
      <c r="AX59" s="162">
        <f t="shared" si="41"/>
        <v>-0.67287741156148384</v>
      </c>
      <c r="AY59" s="162">
        <f t="shared" si="42"/>
        <v>-0.20648175191623311</v>
      </c>
      <c r="AZ59" s="162">
        <f t="shared" si="43"/>
        <v>0.68390996195198506</v>
      </c>
      <c r="BA59" s="162">
        <f t="shared" si="44"/>
        <v>-1.246786356384707</v>
      </c>
      <c r="BB59" s="162">
        <f t="shared" si="45"/>
        <v>-1.6647253241187676</v>
      </c>
      <c r="BC59" s="162">
        <f t="shared" si="46"/>
        <v>-2.1492922432307227</v>
      </c>
      <c r="BD59" s="162">
        <f t="shared" si="47"/>
        <v>-2.5142317041869129</v>
      </c>
      <c r="BE59" s="162">
        <f t="shared" si="48"/>
        <v>-2.9321706719209737</v>
      </c>
      <c r="BF59" s="162">
        <f t="shared" si="49"/>
        <v>-2.4748606420090673</v>
      </c>
      <c r="BG59" s="162">
        <f t="shared" si="50"/>
        <v>-2.0841785634750551</v>
      </c>
      <c r="BH59" s="162">
        <f t="shared" si="51"/>
        <v>-1.7828385106523057</v>
      </c>
      <c r="BJ59" s="168">
        <f t="shared" si="28"/>
        <v>-2.322928722579173</v>
      </c>
    </row>
    <row r="60" spans="1:62" x14ac:dyDescent="0.2">
      <c r="A60" s="160" t="s">
        <v>516</v>
      </c>
      <c r="B60" s="161" t="s">
        <v>749</v>
      </c>
      <c r="C60" s="161" t="s">
        <v>750</v>
      </c>
      <c r="D60" s="161"/>
      <c r="E60" s="162">
        <v>20.475000000000001</v>
      </c>
      <c r="F60" s="162">
        <v>20.202000000000002</v>
      </c>
      <c r="G60" s="162">
        <v>17.349</v>
      </c>
      <c r="H60" s="162">
        <v>20.867000000000001</v>
      </c>
      <c r="I60" s="162">
        <v>20.427</v>
      </c>
      <c r="J60" s="162">
        <v>15.801</v>
      </c>
      <c r="K60" s="162">
        <v>18.265000000000001</v>
      </c>
      <c r="L60" s="162">
        <v>22.193000000000001</v>
      </c>
      <c r="M60" s="162">
        <v>18.405999999999999</v>
      </c>
      <c r="N60" s="162">
        <v>17.898</v>
      </c>
      <c r="O60" s="162">
        <v>16.616</v>
      </c>
      <c r="P60" s="162">
        <v>11.737</v>
      </c>
      <c r="Q60" s="162">
        <v>14.891999999999999</v>
      </c>
      <c r="R60" s="162">
        <v>14.092000000000001</v>
      </c>
      <c r="S60" s="162">
        <v>14.398999999999999</v>
      </c>
      <c r="T60" s="162">
        <v>14.162000000000001</v>
      </c>
      <c r="U60" s="162">
        <v>13.897</v>
      </c>
      <c r="V60" s="162">
        <v>13.977</v>
      </c>
      <c r="W60" s="162">
        <v>13.478999999999999</v>
      </c>
      <c r="X60" s="162">
        <v>13.282</v>
      </c>
      <c r="Z60" s="163">
        <f t="shared" si="22"/>
        <v>17.801428571428573</v>
      </c>
      <c r="AA60" s="163">
        <f t="shared" si="23"/>
        <v>2.8497028344895763</v>
      </c>
      <c r="AB60" s="164">
        <f t="shared" si="29"/>
        <v>0.16008281712083325</v>
      </c>
      <c r="AC60" s="165"/>
      <c r="AD60" s="163">
        <f t="shared" si="24"/>
        <v>13.866</v>
      </c>
      <c r="AE60" s="166">
        <f t="shared" si="25"/>
        <v>-0.22107375010031308</v>
      </c>
      <c r="AF60" s="166">
        <f t="shared" si="30"/>
        <v>-6.0990932979479828E-2</v>
      </c>
      <c r="AG60" s="166">
        <f t="shared" si="31"/>
        <v>-0.38115656722114633</v>
      </c>
      <c r="AH60" s="167">
        <f t="shared" si="27"/>
        <v>-0.25309031352447969</v>
      </c>
      <c r="AK60" s="160" t="s">
        <v>516</v>
      </c>
      <c r="AL60" s="161" t="s">
        <v>749</v>
      </c>
      <c r="AM60" s="161" t="s">
        <v>750</v>
      </c>
      <c r="AN60" s="161"/>
      <c r="AO60" s="162">
        <f t="shared" si="32"/>
        <v>0.93819306217249987</v>
      </c>
      <c r="AP60" s="162">
        <f t="shared" si="33"/>
        <v>0.84239359961243332</v>
      </c>
      <c r="AQ60" s="162">
        <f t="shared" si="34"/>
        <v>-0.15876342120760453</v>
      </c>
      <c r="AR60" s="162">
        <f t="shared" si="35"/>
        <v>1.0757512648228518</v>
      </c>
      <c r="AS60" s="162">
        <f t="shared" si="36"/>
        <v>0.92134920062347647</v>
      </c>
      <c r="AT60" s="162">
        <f t="shared" si="37"/>
        <v>-0.70197795616358694</v>
      </c>
      <c r="AU60" s="162">
        <f t="shared" si="38"/>
        <v>0.16267360335291228</v>
      </c>
      <c r="AV60" s="162">
        <f t="shared" si="39"/>
        <v>1.5410629401146043</v>
      </c>
      <c r="AW60" s="162">
        <f t="shared" si="40"/>
        <v>0.21215244665316588</v>
      </c>
      <c r="AX60" s="162">
        <f t="shared" si="41"/>
        <v>3.3888245259342517E-2</v>
      </c>
      <c r="AY60" s="162">
        <f t="shared" si="42"/>
        <v>-0.41598322361247236</v>
      </c>
      <c r="AZ60" s="162">
        <f t="shared" si="43"/>
        <v>-2.1280915673141765</v>
      </c>
      <c r="BA60" s="162">
        <f t="shared" si="44"/>
        <v>-1.0209585842482047</v>
      </c>
      <c r="BB60" s="162">
        <f t="shared" si="45"/>
        <v>-1.3016896100652495</v>
      </c>
      <c r="BC60" s="162">
        <f t="shared" si="46"/>
        <v>-1.1939590789079588</v>
      </c>
      <c r="BD60" s="162">
        <f t="shared" si="47"/>
        <v>-1.2771256453062581</v>
      </c>
      <c r="BE60" s="162">
        <f t="shared" si="48"/>
        <v>-1.3701177976081544</v>
      </c>
      <c r="BF60" s="162">
        <f t="shared" si="49"/>
        <v>-1.3420446950264497</v>
      </c>
      <c r="BG60" s="162">
        <f t="shared" si="50"/>
        <v>-1.5167997585975608</v>
      </c>
      <c r="BH60" s="162">
        <f t="shared" si="51"/>
        <v>-1.585929773705008</v>
      </c>
      <c r="BJ60" s="168">
        <f t="shared" si="28"/>
        <v>-1.3809961248585649</v>
      </c>
    </row>
    <row r="61" spans="1:62" x14ac:dyDescent="0.2">
      <c r="A61" s="160" t="s">
        <v>498</v>
      </c>
      <c r="B61" s="161" t="s">
        <v>749</v>
      </c>
      <c r="C61" s="161" t="s">
        <v>750</v>
      </c>
      <c r="D61" s="161"/>
      <c r="E61" s="162">
        <v>18.556000000000001</v>
      </c>
      <c r="F61" s="162">
        <v>16.942</v>
      </c>
      <c r="G61" s="162">
        <v>16.111000000000001</v>
      </c>
      <c r="H61" s="162">
        <v>14.209</v>
      </c>
      <c r="I61" s="162">
        <v>13.164999999999999</v>
      </c>
      <c r="J61" s="162">
        <v>13.164</v>
      </c>
      <c r="K61" s="162">
        <v>14.504</v>
      </c>
      <c r="L61" s="162">
        <v>13.505000000000001</v>
      </c>
      <c r="M61" s="162">
        <v>12.715999999999999</v>
      </c>
      <c r="N61" s="162">
        <v>13.417</v>
      </c>
      <c r="O61" s="162">
        <v>15.179</v>
      </c>
      <c r="P61" s="162">
        <v>14.840999999999999</v>
      </c>
      <c r="Q61" s="162">
        <v>15.112</v>
      </c>
      <c r="R61" s="162">
        <v>15.618</v>
      </c>
      <c r="S61" s="162">
        <v>16.079999999999998</v>
      </c>
      <c r="T61" s="162">
        <v>16.149999999999999</v>
      </c>
      <c r="U61" s="162">
        <v>17.318000000000001</v>
      </c>
      <c r="V61" s="162">
        <v>17.454000000000001</v>
      </c>
      <c r="W61" s="162">
        <v>19.175000000000001</v>
      </c>
      <c r="X61" s="162">
        <v>19.271000000000001</v>
      </c>
      <c r="Z61" s="163">
        <f t="shared" si="22"/>
        <v>14.788500000000001</v>
      </c>
      <c r="AA61" s="163">
        <f t="shared" si="23"/>
        <v>1.5821266767956748</v>
      </c>
      <c r="AB61" s="164">
        <f t="shared" si="29"/>
        <v>0.10698358026815936</v>
      </c>
      <c r="AC61" s="165"/>
      <c r="AD61" s="163">
        <f t="shared" si="24"/>
        <v>17.574666666666669</v>
      </c>
      <c r="AE61" s="166">
        <f t="shared" si="25"/>
        <v>0.18840089709346236</v>
      </c>
      <c r="AF61" s="166">
        <f t="shared" si="30"/>
        <v>0.29538447736162171</v>
      </c>
      <c r="AG61" s="166">
        <f t="shared" si="31"/>
        <v>8.1417316825302996E-2</v>
      </c>
      <c r="AH61" s="167">
        <f t="shared" si="27"/>
        <v>0.16700418103983047</v>
      </c>
      <c r="AK61" s="160" t="s">
        <v>498</v>
      </c>
      <c r="AL61" s="161" t="s">
        <v>749</v>
      </c>
      <c r="AM61" s="161" t="s">
        <v>750</v>
      </c>
      <c r="AN61" s="161"/>
      <c r="AO61" s="162">
        <f t="shared" si="32"/>
        <v>2.3812884614463505</v>
      </c>
      <c r="AP61" s="162">
        <f t="shared" si="33"/>
        <v>1.3611425883808135</v>
      </c>
      <c r="AQ61" s="162">
        <f t="shared" si="34"/>
        <v>0.83590019648647595</v>
      </c>
      <c r="AR61" s="162">
        <f t="shared" si="35"/>
        <v>-0.36627914091789332</v>
      </c>
      <c r="AS61" s="162">
        <f t="shared" si="36"/>
        <v>-1.026150449146159</v>
      </c>
      <c r="AT61" s="162">
        <f t="shared" si="37"/>
        <v>-1.0267825097862242</v>
      </c>
      <c r="AU61" s="162">
        <f t="shared" si="38"/>
        <v>-0.17982125209860381</v>
      </c>
      <c r="AV61" s="162">
        <f t="shared" si="39"/>
        <v>-0.81124983152392605</v>
      </c>
      <c r="AW61" s="162">
        <f t="shared" si="40"/>
        <v>-1.3099456765355184</v>
      </c>
      <c r="AX61" s="162">
        <f t="shared" si="41"/>
        <v>-0.86687116784968077</v>
      </c>
      <c r="AY61" s="162">
        <f t="shared" si="42"/>
        <v>0.24681967994553378</v>
      </c>
      <c r="AZ61" s="162">
        <f t="shared" si="43"/>
        <v>3.31831836034319E-2</v>
      </c>
      <c r="BA61" s="162">
        <f t="shared" si="44"/>
        <v>0.20447161706115266</v>
      </c>
      <c r="BB61" s="162">
        <f t="shared" si="45"/>
        <v>0.52429430093423934</v>
      </c>
      <c r="BC61" s="162">
        <f t="shared" si="46"/>
        <v>0.81630631664444742</v>
      </c>
      <c r="BD61" s="162">
        <f t="shared" si="47"/>
        <v>0.86055056144902475</v>
      </c>
      <c r="BE61" s="162">
        <f t="shared" si="48"/>
        <v>1.5987973890454001</v>
      </c>
      <c r="BF61" s="162">
        <f t="shared" si="49"/>
        <v>1.6847576360942924</v>
      </c>
      <c r="BG61" s="162">
        <f t="shared" si="50"/>
        <v>2.7725339976468257</v>
      </c>
      <c r="BH61" s="162">
        <f t="shared" si="51"/>
        <v>2.833211819093103</v>
      </c>
      <c r="BJ61" s="168">
        <f t="shared" si="28"/>
        <v>1.7610262866621822</v>
      </c>
    </row>
    <row r="62" spans="1:62" x14ac:dyDescent="0.2">
      <c r="A62" s="160" t="s">
        <v>529</v>
      </c>
      <c r="B62" s="161" t="s">
        <v>749</v>
      </c>
      <c r="C62" s="161" t="s">
        <v>750</v>
      </c>
      <c r="D62" s="161"/>
      <c r="E62" s="162">
        <v>31.731000000000002</v>
      </c>
      <c r="F62" s="162">
        <v>35.777000000000001</v>
      </c>
      <c r="G62" s="162">
        <v>34.777999999999999</v>
      </c>
      <c r="H62" s="162">
        <v>39.587000000000003</v>
      </c>
      <c r="I62" s="162">
        <v>28.87</v>
      </c>
      <c r="J62" s="162">
        <v>32.780999999999999</v>
      </c>
      <c r="K62" s="162">
        <v>36.487000000000002</v>
      </c>
      <c r="L62" s="162">
        <v>38.146999999999998</v>
      </c>
      <c r="M62" s="162">
        <v>38.722000000000001</v>
      </c>
      <c r="N62" s="162">
        <v>35.037999999999997</v>
      </c>
      <c r="O62" s="162">
        <v>28.995999999999999</v>
      </c>
      <c r="P62" s="162">
        <v>28.864000000000001</v>
      </c>
      <c r="Q62" s="162">
        <v>28.783999999999999</v>
      </c>
      <c r="R62" s="162">
        <v>28.440999999999999</v>
      </c>
      <c r="S62" s="162">
        <v>30.532</v>
      </c>
      <c r="T62" s="162">
        <v>28.890999999999998</v>
      </c>
      <c r="U62" s="162">
        <v>28.61</v>
      </c>
      <c r="V62" s="162">
        <v>28.356000000000002</v>
      </c>
      <c r="W62" s="162">
        <v>28</v>
      </c>
      <c r="X62" s="162">
        <v>27.356000000000002</v>
      </c>
      <c r="Z62" s="163">
        <f t="shared" si="22"/>
        <v>33.35735714285714</v>
      </c>
      <c r="AA62" s="163">
        <f t="shared" si="23"/>
        <v>3.9499737902773115</v>
      </c>
      <c r="AB62" s="164">
        <f t="shared" si="29"/>
        <v>0.11841387113976221</v>
      </c>
      <c r="AC62" s="165"/>
      <c r="AD62" s="163">
        <f t="shared" si="24"/>
        <v>28.624166666666667</v>
      </c>
      <c r="AE62" s="166">
        <f t="shared" si="25"/>
        <v>-0.14189344964950251</v>
      </c>
      <c r="AF62" s="166">
        <f t="shared" si="30"/>
        <v>-2.3479578509740306E-2</v>
      </c>
      <c r="AG62" s="166">
        <f t="shared" si="31"/>
        <v>-0.26030732078926472</v>
      </c>
      <c r="AH62" s="167">
        <f t="shared" si="27"/>
        <v>-0.16557622387745496</v>
      </c>
      <c r="AK62" s="160" t="s">
        <v>529</v>
      </c>
      <c r="AL62" s="161" t="s">
        <v>749</v>
      </c>
      <c r="AM62" s="161" t="s">
        <v>750</v>
      </c>
      <c r="AN62" s="161"/>
      <c r="AO62" s="162">
        <f t="shared" si="32"/>
        <v>-0.4117387175733534</v>
      </c>
      <c r="AP62" s="162">
        <f t="shared" si="33"/>
        <v>0.61257187657768941</v>
      </c>
      <c r="AQ62" s="162">
        <f t="shared" si="34"/>
        <v>0.35965880600010802</v>
      </c>
      <c r="AR62" s="162">
        <f t="shared" si="35"/>
        <v>1.5771352388405355</v>
      </c>
      <c r="AS62" s="162">
        <f t="shared" si="36"/>
        <v>-1.1360473210993383</v>
      </c>
      <c r="AT62" s="162">
        <f t="shared" si="37"/>
        <v>-0.14591416891823916</v>
      </c>
      <c r="AU62" s="162">
        <f t="shared" si="38"/>
        <v>0.79231990471591018</v>
      </c>
      <c r="AV62" s="162">
        <f t="shared" si="39"/>
        <v>1.2125758578278054</v>
      </c>
      <c r="AW62" s="162">
        <f t="shared" si="40"/>
        <v>1.3581464439960833</v>
      </c>
      <c r="AX62" s="162">
        <f t="shared" si="41"/>
        <v>0.42548202757185022</v>
      </c>
      <c r="AY62" s="162">
        <f t="shared" si="42"/>
        <v>-1.1041483752607251</v>
      </c>
      <c r="AZ62" s="162">
        <f t="shared" si="43"/>
        <v>-1.1375663185202245</v>
      </c>
      <c r="BA62" s="162">
        <f t="shared" si="44"/>
        <v>-1.1578196174653768</v>
      </c>
      <c r="BB62" s="162">
        <f t="shared" si="45"/>
        <v>-1.2446556366927142</v>
      </c>
      <c r="BC62" s="162">
        <f t="shared" si="46"/>
        <v>-0.71528503551381362</v>
      </c>
      <c r="BD62" s="162">
        <f t="shared" si="47"/>
        <v>-1.1307308301262367</v>
      </c>
      <c r="BE62" s="162">
        <f t="shared" si="48"/>
        <v>-1.2018705426710814</v>
      </c>
      <c r="BF62" s="162">
        <f t="shared" si="49"/>
        <v>-1.2661747668219372</v>
      </c>
      <c r="BG62" s="162">
        <f t="shared" si="50"/>
        <v>-1.3563019471278623</v>
      </c>
      <c r="BH62" s="162">
        <f t="shared" si="51"/>
        <v>-1.5193410036363324</v>
      </c>
      <c r="BJ62" s="168">
        <f t="shared" si="28"/>
        <v>-1.1982840209828771</v>
      </c>
    </row>
    <row r="63" spans="1:62" x14ac:dyDescent="0.2">
      <c r="A63" s="160" t="s">
        <v>478</v>
      </c>
      <c r="B63" s="161" t="s">
        <v>749</v>
      </c>
      <c r="C63" s="161" t="s">
        <v>750</v>
      </c>
      <c r="D63" s="161"/>
      <c r="E63" s="162">
        <v>34.947000000000003</v>
      </c>
      <c r="F63" s="162">
        <v>38.555</v>
      </c>
      <c r="G63" s="162">
        <v>33.165999999999997</v>
      </c>
      <c r="H63" s="162">
        <v>36.715000000000003</v>
      </c>
      <c r="I63" s="162">
        <v>25.004000000000001</v>
      </c>
      <c r="J63" s="162">
        <v>26.145</v>
      </c>
      <c r="K63" s="162">
        <v>25.332999999999998</v>
      </c>
      <c r="L63" s="162">
        <v>29.902999999999999</v>
      </c>
      <c r="M63" s="162">
        <v>23.9</v>
      </c>
      <c r="N63" s="162">
        <v>23.643999999999998</v>
      </c>
      <c r="O63" s="162">
        <v>10.634</v>
      </c>
      <c r="P63" s="162">
        <v>7.54</v>
      </c>
      <c r="Q63" s="162">
        <v>3.47</v>
      </c>
      <c r="R63" s="162">
        <v>3.8279999999999998</v>
      </c>
      <c r="S63" s="162">
        <v>3.2829999999999999</v>
      </c>
      <c r="T63" s="162">
        <v>5.7160000000000002</v>
      </c>
      <c r="U63" s="162">
        <v>7.415</v>
      </c>
      <c r="V63" s="162">
        <v>8.3670000000000009</v>
      </c>
      <c r="W63" s="162">
        <v>9.0359999999999996</v>
      </c>
      <c r="X63" s="162">
        <v>10.872</v>
      </c>
      <c r="Z63" s="163">
        <f t="shared" si="22"/>
        <v>23.056000000000004</v>
      </c>
      <c r="AA63" s="163">
        <f t="shared" si="23"/>
        <v>11.604296698083111</v>
      </c>
      <c r="AB63" s="164">
        <f t="shared" si="29"/>
        <v>0.50330919058306334</v>
      </c>
      <c r="AC63" s="165"/>
      <c r="AD63" s="163">
        <f t="shared" si="24"/>
        <v>7.4481666666666664</v>
      </c>
      <c r="AE63" s="166">
        <f t="shared" si="25"/>
        <v>-0.67695321535970399</v>
      </c>
      <c r="AF63" s="166">
        <f t="shared" si="30"/>
        <v>-0.17364402477664065</v>
      </c>
      <c r="AG63" s="166">
        <f t="shared" si="31"/>
        <v>-1.1802624059427673</v>
      </c>
      <c r="AH63" s="167">
        <f t="shared" si="27"/>
        <v>-0.77761505347631665</v>
      </c>
      <c r="AK63" s="160" t="s">
        <v>478</v>
      </c>
      <c r="AL63" s="161" t="s">
        <v>749</v>
      </c>
      <c r="AM63" s="161" t="s">
        <v>750</v>
      </c>
      <c r="AN63" s="161"/>
      <c r="AO63" s="162">
        <f t="shared" si="32"/>
        <v>1.0247066504223601</v>
      </c>
      <c r="AP63" s="162">
        <f t="shared" si="33"/>
        <v>1.3356259671092554</v>
      </c>
      <c r="AQ63" s="162">
        <f t="shared" si="34"/>
        <v>0.87122901654781382</v>
      </c>
      <c r="AR63" s="162">
        <f t="shared" si="35"/>
        <v>1.1770640095970917</v>
      </c>
      <c r="AS63" s="162">
        <f t="shared" si="36"/>
        <v>0.16786885501831256</v>
      </c>
      <c r="AT63" s="162">
        <f t="shared" si="37"/>
        <v>0.26619450367123587</v>
      </c>
      <c r="AU63" s="162">
        <f t="shared" si="38"/>
        <v>0.1962204224213025</v>
      </c>
      <c r="AV63" s="162">
        <f t="shared" si="39"/>
        <v>0.5900400668944491</v>
      </c>
      <c r="AW63" s="162">
        <f t="shared" si="40"/>
        <v>7.2731680511013877E-2</v>
      </c>
      <c r="AX63" s="162">
        <f t="shared" si="41"/>
        <v>5.0670886422364947E-2</v>
      </c>
      <c r="AY63" s="162">
        <f t="shared" si="42"/>
        <v>-1.0704655631609254</v>
      </c>
      <c r="AZ63" s="162">
        <f t="shared" si="43"/>
        <v>-1.3370909417167056</v>
      </c>
      <c r="BA63" s="162">
        <f t="shared" si="44"/>
        <v>-1.68782309773546</v>
      </c>
      <c r="BB63" s="162">
        <f t="shared" si="45"/>
        <v>-1.6569724560021148</v>
      </c>
      <c r="BC63" s="162">
        <f t="shared" si="46"/>
        <v>-1.7039378184174025</v>
      </c>
      <c r="BD63" s="162">
        <f t="shared" si="47"/>
        <v>-1.494274099598329</v>
      </c>
      <c r="BE63" s="162">
        <f t="shared" si="48"/>
        <v>-1.3478628138303037</v>
      </c>
      <c r="BF63" s="162">
        <f t="shared" si="49"/>
        <v>-1.2658242358131404</v>
      </c>
      <c r="BG63" s="162">
        <f t="shared" si="50"/>
        <v>-1.2081731762611636</v>
      </c>
      <c r="BH63" s="162">
        <f t="shared" si="51"/>
        <v>-1.0499559186566345</v>
      </c>
      <c r="BJ63" s="168">
        <f t="shared" si="28"/>
        <v>-1.3450046770961623</v>
      </c>
    </row>
    <row r="64" spans="1:62" x14ac:dyDescent="0.2">
      <c r="A64" s="160" t="s">
        <v>782</v>
      </c>
      <c r="B64" s="161" t="s">
        <v>749</v>
      </c>
      <c r="C64" s="161" t="s">
        <v>750</v>
      </c>
      <c r="D64" s="161"/>
      <c r="E64" s="162">
        <f>AVERAGE(E3:E63)</f>
        <v>25.183050000000001</v>
      </c>
      <c r="F64" s="162">
        <f t="shared" ref="F64:X64" si="52">AVERAGE(F3:F63)</f>
        <v>28.324833333333341</v>
      </c>
      <c r="G64" s="162">
        <f t="shared" si="52"/>
        <v>26.637416666666674</v>
      </c>
      <c r="H64" s="162">
        <f t="shared" si="52"/>
        <v>27.509966666666671</v>
      </c>
      <c r="I64" s="162">
        <f t="shared" si="52"/>
        <v>25.302750000000003</v>
      </c>
      <c r="J64" s="162">
        <f t="shared" si="52"/>
        <v>25.566816666666679</v>
      </c>
      <c r="K64" s="162">
        <f t="shared" si="52"/>
        <v>25.279366666666672</v>
      </c>
      <c r="L64" s="162">
        <f t="shared" si="52"/>
        <v>26.061583333333338</v>
      </c>
      <c r="M64" s="162">
        <f t="shared" si="52"/>
        <v>25.623049180327872</v>
      </c>
      <c r="N64" s="162">
        <f t="shared" si="52"/>
        <v>25.094885245901633</v>
      </c>
      <c r="O64" s="162">
        <f t="shared" si="52"/>
        <v>23.91454098360656</v>
      </c>
      <c r="P64" s="162">
        <f t="shared" si="52"/>
        <v>22.790491803278687</v>
      </c>
      <c r="Q64" s="162">
        <f t="shared" si="52"/>
        <v>23.606967213114764</v>
      </c>
      <c r="R64" s="162">
        <f t="shared" si="52"/>
        <v>24.019295081967204</v>
      </c>
      <c r="S64" s="162">
        <f t="shared" si="52"/>
        <v>24.463344262295077</v>
      </c>
      <c r="T64" s="162">
        <f t="shared" si="52"/>
        <v>24.289803278688531</v>
      </c>
      <c r="U64" s="162">
        <f t="shared" si="52"/>
        <v>24.159803278688521</v>
      </c>
      <c r="V64" s="162">
        <f t="shared" si="52"/>
        <v>24.074901639344262</v>
      </c>
      <c r="W64" s="162">
        <f t="shared" si="52"/>
        <v>23.929983606557379</v>
      </c>
      <c r="X64" s="162">
        <f t="shared" si="52"/>
        <v>23.800377049180334</v>
      </c>
      <c r="Z64" s="163">
        <f t="shared" si="22"/>
        <v>25.351072345823585</v>
      </c>
      <c r="AA64" s="163">
        <f t="shared" si="23"/>
        <v>1.4471936448908451</v>
      </c>
      <c r="AB64" s="164">
        <f t="shared" si="29"/>
        <v>5.7086091868191143E-2</v>
      </c>
      <c r="AC64" s="165"/>
      <c r="AD64" s="163">
        <f t="shared" si="24"/>
        <v>24.119702185792349</v>
      </c>
      <c r="AE64" s="166">
        <f t="shared" si="25"/>
        <v>-4.8572705060900355E-2</v>
      </c>
      <c r="AF64" s="166">
        <f t="shared" si="30"/>
        <v>8.5133868072907876E-3</v>
      </c>
      <c r="AG64" s="166">
        <f t="shared" si="31"/>
        <v>-0.1056587969290915</v>
      </c>
      <c r="AH64" s="167">
        <f t="shared" si="27"/>
        <v>-5.9989923434538586E-2</v>
      </c>
      <c r="AK64" s="160" t="s">
        <v>782</v>
      </c>
      <c r="AL64" s="161" t="s">
        <v>749</v>
      </c>
      <c r="AM64" s="161" t="s">
        <v>750</v>
      </c>
      <c r="AN64" s="161"/>
      <c r="AO64" s="162">
        <f t="shared" si="32"/>
        <v>-0.11610218605973549</v>
      </c>
      <c r="AP64" s="162">
        <f t="shared" si="33"/>
        <v>2.0548466323137098</v>
      </c>
      <c r="AQ64" s="162">
        <f t="shared" si="34"/>
        <v>0.88885431841438989</v>
      </c>
      <c r="AR64" s="162">
        <f t="shared" si="35"/>
        <v>1.4917798516216678</v>
      </c>
      <c r="AS64" s="162">
        <f t="shared" si="36"/>
        <v>-3.3390380060179636E-2</v>
      </c>
      <c r="AT64" s="162">
        <f t="shared" si="37"/>
        <v>0.14907771437827583</v>
      </c>
      <c r="AU64" s="162">
        <f t="shared" si="38"/>
        <v>-4.9548088750985306E-2</v>
      </c>
      <c r="AV64" s="162">
        <f t="shared" si="39"/>
        <v>0.49095778579330601</v>
      </c>
      <c r="AW64" s="162">
        <f t="shared" si="40"/>
        <v>0.1879339613357689</v>
      </c>
      <c r="AX64" s="162">
        <f t="shared" si="41"/>
        <v>-0.17702337266777809</v>
      </c>
      <c r="AY64" s="162">
        <f t="shared" si="42"/>
        <v>-0.9926324423055185</v>
      </c>
      <c r="AZ64" s="162">
        <f t="shared" si="43"/>
        <v>-1.7693420307536176</v>
      </c>
      <c r="BA64" s="162">
        <f t="shared" si="44"/>
        <v>-1.2051636205466965</v>
      </c>
      <c r="BB64" s="162">
        <f t="shared" si="45"/>
        <v>-0.92024814271267097</v>
      </c>
      <c r="BC64" s="162">
        <f t="shared" si="46"/>
        <v>-0.6134134755652999</v>
      </c>
      <c r="BD64" s="162">
        <f t="shared" si="47"/>
        <v>-0.73332899911614846</v>
      </c>
      <c r="BE64" s="162">
        <f t="shared" si="48"/>
        <v>-0.82315802818835315</v>
      </c>
      <c r="BF64" s="162">
        <f t="shared" si="49"/>
        <v>-0.88182442687245144</v>
      </c>
      <c r="BG64" s="162">
        <f t="shared" si="50"/>
        <v>-0.98196170518244119</v>
      </c>
      <c r="BH64" s="162">
        <f t="shared" si="51"/>
        <v>-1.0715188683406724</v>
      </c>
      <c r="BJ64" s="168">
        <f t="shared" si="28"/>
        <v>-0.85086758387756112</v>
      </c>
    </row>
  </sheetData>
  <autoFilter ref="A2:X64" xr:uid="{00000000-0001-0000-0C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T55"/>
  <sheetViews>
    <sheetView showGridLines="0" topLeftCell="A38" zoomScale="87" workbookViewId="0">
      <selection activeCell="B55" sqref="B55"/>
    </sheetView>
  </sheetViews>
  <sheetFormatPr defaultColWidth="0" defaultRowHeight="14.25" zeroHeight="1" x14ac:dyDescent="0.2"/>
  <cols>
    <col min="1" max="1" width="2.875" style="110" bestFit="1" customWidth="1"/>
    <col min="2" max="2" width="19.625" style="110" customWidth="1"/>
    <col min="3" max="3" width="17.375" style="110" customWidth="1"/>
    <col min="4" max="20" width="8.75" style="110" customWidth="1"/>
    <col min="21" max="16384" width="8.75" style="110" hidden="1"/>
  </cols>
  <sheetData>
    <row r="1" spans="1:19" ht="22.9" customHeight="1" x14ac:dyDescent="0.2">
      <c r="A1" s="276" t="s">
        <v>681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</row>
    <row r="2" spans="1:19" x14ac:dyDescent="0.2"/>
    <row r="3" spans="1:19" x14ac:dyDescent="0.2">
      <c r="A3" s="275" t="s">
        <v>713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</row>
    <row r="4" spans="1:19" x14ac:dyDescent="0.2"/>
    <row r="5" spans="1:19" x14ac:dyDescent="0.2">
      <c r="A5" s="110">
        <v>1</v>
      </c>
      <c r="B5" s="110" t="s">
        <v>709</v>
      </c>
    </row>
    <row r="6" spans="1:19" x14ac:dyDescent="0.2">
      <c r="A6" s="110">
        <v>2</v>
      </c>
      <c r="B6" s="110" t="s">
        <v>802</v>
      </c>
    </row>
    <row r="7" spans="1:19" x14ac:dyDescent="0.2">
      <c r="A7" s="110">
        <v>3</v>
      </c>
      <c r="B7" s="110" t="s">
        <v>716</v>
      </c>
    </row>
    <row r="8" spans="1:19" x14ac:dyDescent="0.2">
      <c r="B8" s="121" t="s">
        <v>684</v>
      </c>
    </row>
    <row r="9" spans="1:19" x14ac:dyDescent="0.2">
      <c r="A9" s="110">
        <v>4</v>
      </c>
      <c r="B9" s="110" t="s">
        <v>718</v>
      </c>
    </row>
    <row r="10" spans="1:19" x14ac:dyDescent="0.2">
      <c r="A10" s="110">
        <v>5</v>
      </c>
      <c r="B10" s="110" t="s">
        <v>807</v>
      </c>
    </row>
    <row r="11" spans="1:19" x14ac:dyDescent="0.2">
      <c r="A11" s="110">
        <v>6</v>
      </c>
      <c r="B11" s="110" t="s">
        <v>803</v>
      </c>
    </row>
    <row r="12" spans="1:19" x14ac:dyDescent="0.2"/>
    <row r="13" spans="1:19" x14ac:dyDescent="0.2"/>
    <row r="14" spans="1:19" x14ac:dyDescent="0.2">
      <c r="A14" s="275" t="s">
        <v>715</v>
      </c>
      <c r="B14" s="275"/>
      <c r="C14" s="275"/>
      <c r="D14" s="275"/>
      <c r="E14" s="275"/>
      <c r="F14" s="275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5"/>
      <c r="R14" s="275"/>
      <c r="S14" s="275"/>
    </row>
    <row r="15" spans="1:19" x14ac:dyDescent="0.2"/>
    <row r="16" spans="1:19" x14ac:dyDescent="0.2">
      <c r="A16" s="110">
        <v>1</v>
      </c>
      <c r="B16" s="110" t="s">
        <v>710</v>
      </c>
    </row>
    <row r="17" spans="1:4" x14ac:dyDescent="0.2">
      <c r="B17" s="118" t="s">
        <v>711</v>
      </c>
      <c r="C17" s="118" t="s">
        <v>695</v>
      </c>
    </row>
    <row r="18" spans="1:4" ht="13.9" customHeight="1" x14ac:dyDescent="0.2">
      <c r="B18" s="119" t="s">
        <v>98</v>
      </c>
      <c r="C18" s="119">
        <v>2</v>
      </c>
      <c r="D18" s="155" t="s">
        <v>804</v>
      </c>
    </row>
    <row r="19" spans="1:4" ht="13.9" customHeight="1" x14ac:dyDescent="0.2">
      <c r="B19" s="119" t="s">
        <v>712</v>
      </c>
      <c r="C19" s="119">
        <v>1</v>
      </c>
    </row>
    <row r="20" spans="1:4" ht="13.9" customHeight="1" x14ac:dyDescent="0.2"/>
    <row r="21" spans="1:4" ht="13.9" customHeight="1" x14ac:dyDescent="0.2">
      <c r="A21" s="110">
        <v>2</v>
      </c>
      <c r="B21" s="110" t="s">
        <v>682</v>
      </c>
    </row>
    <row r="22" spans="1:4" ht="13.9" customHeight="1" x14ac:dyDescent="0.2"/>
    <row r="23" spans="1:4" ht="13.9" customHeight="1" x14ac:dyDescent="0.2">
      <c r="B23" s="118" t="s">
        <v>25</v>
      </c>
      <c r="C23" s="118" t="s">
        <v>683</v>
      </c>
    </row>
    <row r="24" spans="1:4" ht="13.9" customHeight="1" x14ac:dyDescent="0.2">
      <c r="B24" s="120" t="s">
        <v>33</v>
      </c>
      <c r="C24" s="120" t="s">
        <v>33</v>
      </c>
    </row>
    <row r="25" spans="1:4" ht="13.9" customHeight="1" x14ac:dyDescent="0.2">
      <c r="B25" s="120" t="s">
        <v>39</v>
      </c>
      <c r="C25" s="120" t="s">
        <v>90</v>
      </c>
    </row>
    <row r="26" spans="1:4" ht="13.9" customHeight="1" x14ac:dyDescent="0.2">
      <c r="B26" s="120" t="s">
        <v>42</v>
      </c>
      <c r="C26" s="120" t="s">
        <v>90</v>
      </c>
    </row>
    <row r="27" spans="1:4" ht="13.9" customHeight="1" x14ac:dyDescent="0.2">
      <c r="B27" s="120" t="s">
        <v>11</v>
      </c>
      <c r="C27" s="120" t="s">
        <v>90</v>
      </c>
    </row>
    <row r="28" spans="1:4" ht="13.9" customHeight="1" x14ac:dyDescent="0.2">
      <c r="B28" s="120" t="s">
        <v>8</v>
      </c>
      <c r="C28" s="120" t="s">
        <v>26</v>
      </c>
    </row>
    <row r="29" spans="1:4" ht="13.9" customHeight="1" x14ac:dyDescent="0.2">
      <c r="B29" s="120" t="s">
        <v>9</v>
      </c>
      <c r="C29" s="120" t="s">
        <v>26</v>
      </c>
    </row>
    <row r="30" spans="1:4" ht="13.9" customHeight="1" x14ac:dyDescent="0.2">
      <c r="B30" s="120" t="s">
        <v>46</v>
      </c>
      <c r="C30" s="120" t="s">
        <v>26</v>
      </c>
    </row>
    <row r="31" spans="1:4" ht="13.9" customHeight="1" x14ac:dyDescent="0.2">
      <c r="B31" s="120" t="s">
        <v>6</v>
      </c>
      <c r="C31" s="120" t="s">
        <v>91</v>
      </c>
    </row>
    <row r="32" spans="1:4" ht="13.9" customHeight="1" x14ac:dyDescent="0.2">
      <c r="B32" s="120" t="s">
        <v>5</v>
      </c>
      <c r="C32" s="120" t="s">
        <v>91</v>
      </c>
    </row>
    <row r="33" spans="1:3" ht="13.9" customHeight="1" x14ac:dyDescent="0.2">
      <c r="B33" s="120" t="s">
        <v>7</v>
      </c>
      <c r="C33" s="120" t="s">
        <v>91</v>
      </c>
    </row>
    <row r="34" spans="1:3" ht="13.9" customHeight="1" x14ac:dyDescent="0.2">
      <c r="B34" s="120" t="s">
        <v>54</v>
      </c>
      <c r="C34" s="120" t="s">
        <v>92</v>
      </c>
    </row>
    <row r="35" spans="1:3" ht="13.9" customHeight="1" x14ac:dyDescent="0.2">
      <c r="B35" s="120" t="s">
        <v>58</v>
      </c>
      <c r="C35" s="120" t="s">
        <v>92</v>
      </c>
    </row>
    <row r="36" spans="1:3" ht="13.9" customHeight="1" x14ac:dyDescent="0.2">
      <c r="B36" s="120" t="s">
        <v>60</v>
      </c>
      <c r="C36" s="120" t="s">
        <v>92</v>
      </c>
    </row>
    <row r="37" spans="1:3" ht="13.9" customHeight="1" x14ac:dyDescent="0.2">
      <c r="B37" s="120" t="s">
        <v>10</v>
      </c>
      <c r="C37" s="120" t="s">
        <v>27</v>
      </c>
    </row>
    <row r="38" spans="1:3" ht="13.9" customHeight="1" x14ac:dyDescent="0.2">
      <c r="B38" s="120" t="s">
        <v>12</v>
      </c>
      <c r="C38" s="120" t="s">
        <v>27</v>
      </c>
    </row>
    <row r="39" spans="1:3" ht="13.9" customHeight="1" x14ac:dyDescent="0.2">
      <c r="B39" s="120" t="s">
        <v>62</v>
      </c>
      <c r="C39" s="120" t="s">
        <v>27</v>
      </c>
    </row>
    <row r="40" spans="1:3" ht="13.9" customHeight="1" x14ac:dyDescent="0.2">
      <c r="B40" s="120" t="s">
        <v>63</v>
      </c>
      <c r="C40" s="120" t="s">
        <v>93</v>
      </c>
    </row>
    <row r="41" spans="1:3" ht="13.9" customHeight="1" x14ac:dyDescent="0.2">
      <c r="B41" s="120" t="s">
        <v>67</v>
      </c>
      <c r="C41" s="120" t="s">
        <v>93</v>
      </c>
    </row>
    <row r="42" spans="1:3" ht="13.9" customHeight="1" x14ac:dyDescent="0.2">
      <c r="B42" s="120" t="s">
        <v>69</v>
      </c>
      <c r="C42" s="120" t="s">
        <v>93</v>
      </c>
    </row>
    <row r="43" spans="1:3" ht="13.9" customHeight="1" x14ac:dyDescent="0.2">
      <c r="B43" s="120" t="s">
        <v>156</v>
      </c>
      <c r="C43" s="120" t="s">
        <v>93</v>
      </c>
    </row>
    <row r="44" spans="1:3" ht="13.9" customHeight="1" x14ac:dyDescent="0.2"/>
    <row r="45" spans="1:3" ht="13.9" customHeight="1" x14ac:dyDescent="0.2">
      <c r="A45" s="110">
        <v>3</v>
      </c>
      <c r="B45" s="110" t="s">
        <v>721</v>
      </c>
    </row>
    <row r="46" spans="1:3" ht="13.9" customHeight="1" x14ac:dyDescent="0.2">
      <c r="A46" s="110">
        <v>4</v>
      </c>
      <c r="B46" s="110" t="s">
        <v>720</v>
      </c>
    </row>
    <row r="49" spans="1:19" ht="13.9" customHeight="1" x14ac:dyDescent="0.2">
      <c r="A49" s="275" t="s">
        <v>714</v>
      </c>
      <c r="B49" s="275"/>
      <c r="C49" s="275"/>
      <c r="D49" s="275"/>
      <c r="E49" s="275"/>
      <c r="F49" s="275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5"/>
      <c r="R49" s="275"/>
      <c r="S49" s="275"/>
    </row>
    <row r="50" spans="1:19" ht="13.9" customHeight="1" x14ac:dyDescent="0.2"/>
    <row r="51" spans="1:19" ht="13.9" customHeight="1" x14ac:dyDescent="0.2">
      <c r="A51" s="110">
        <v>1</v>
      </c>
      <c r="B51" s="110" t="s">
        <v>717</v>
      </c>
    </row>
    <row r="52" spans="1:19" ht="13.9" customHeight="1" x14ac:dyDescent="0.2"/>
    <row r="53" spans="1:19" ht="13.9" customHeight="1" x14ac:dyDescent="0.2">
      <c r="A53" s="275" t="s">
        <v>719</v>
      </c>
      <c r="B53" s="275"/>
      <c r="C53" s="275"/>
      <c r="D53" s="275"/>
      <c r="E53" s="275"/>
      <c r="F53" s="275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5"/>
      <c r="R53" s="275"/>
      <c r="S53" s="275"/>
    </row>
    <row r="54" spans="1:19" ht="13.9" customHeight="1" x14ac:dyDescent="0.2"/>
    <row r="55" spans="1:19" ht="13.9" customHeight="1" x14ac:dyDescent="0.2">
      <c r="A55" s="110">
        <v>1</v>
      </c>
      <c r="B55" s="110" t="s">
        <v>805</v>
      </c>
    </row>
  </sheetData>
  <mergeCells count="5">
    <mergeCell ref="A49:S49"/>
    <mergeCell ref="A53:S53"/>
    <mergeCell ref="A1:S1"/>
    <mergeCell ref="A3:S3"/>
    <mergeCell ref="A14:S14"/>
  </mergeCells>
  <hyperlinks>
    <hyperlink ref="B8" r:id="rId1" location="data" display="https://www.theguardian.com/news/datablog/2010/apr/30/credit-ratings-country-fitch-moodys-standard - data" xr:uid="{00000000-0004-0000-00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9"/>
  <sheetViews>
    <sheetView showGridLines="0" topLeftCell="A5" zoomScale="80" zoomScaleNormal="80" workbookViewId="0">
      <selection activeCell="C7" sqref="C7"/>
    </sheetView>
  </sheetViews>
  <sheetFormatPr defaultColWidth="8.75" defaultRowHeight="14.25" x14ac:dyDescent="0.2"/>
  <cols>
    <col min="1" max="1" width="6.5" style="83" bestFit="1" customWidth="1"/>
    <col min="2" max="2" width="10" style="83" bestFit="1" customWidth="1"/>
    <col min="3" max="3" width="37.625" style="83" bestFit="1" customWidth="1"/>
    <col min="4" max="4" width="37.375" style="83" bestFit="1" customWidth="1"/>
    <col min="5" max="5" width="37.25" style="83" bestFit="1" customWidth="1"/>
    <col min="6" max="6" width="9.875" style="83" bestFit="1" customWidth="1"/>
    <col min="7" max="7" width="16.375" style="83" customWidth="1"/>
    <col min="8" max="8" width="8.75" style="83"/>
    <col min="9" max="9" width="18.375" style="83" bestFit="1" customWidth="1"/>
    <col min="10" max="10" width="14.625" style="83" bestFit="1" customWidth="1"/>
    <col min="11" max="11" width="15.75" style="83" bestFit="1" customWidth="1"/>
    <col min="12" max="16384" width="8.75" style="83"/>
  </cols>
  <sheetData>
    <row r="1" spans="1:6" x14ac:dyDescent="0.2">
      <c r="A1" s="81" t="s">
        <v>200</v>
      </c>
      <c r="B1" s="82">
        <v>43465</v>
      </c>
    </row>
    <row r="2" spans="1:6" x14ac:dyDescent="0.2">
      <c r="A2" s="84"/>
    </row>
    <row r="3" spans="1:6" x14ac:dyDescent="0.2">
      <c r="A3" s="84"/>
    </row>
    <row r="4" spans="1:6" x14ac:dyDescent="0.2">
      <c r="A4" s="84"/>
      <c r="B4" s="277" t="s">
        <v>554</v>
      </c>
      <c r="C4" s="277"/>
      <c r="D4" s="277"/>
      <c r="E4" s="277"/>
      <c r="F4" s="277"/>
    </row>
    <row r="5" spans="1:6" ht="25.5" x14ac:dyDescent="0.2">
      <c r="A5" s="84"/>
      <c r="B5" s="85" t="s">
        <v>188</v>
      </c>
      <c r="C5" s="86" t="s">
        <v>220</v>
      </c>
      <c r="D5" s="86" t="s">
        <v>242</v>
      </c>
      <c r="E5" s="86" t="s">
        <v>187</v>
      </c>
      <c r="F5" s="86" t="s">
        <v>241</v>
      </c>
    </row>
    <row r="6" spans="1:6" x14ac:dyDescent="0.2">
      <c r="A6" s="84"/>
      <c r="B6" s="87" t="s">
        <v>239</v>
      </c>
      <c r="C6" s="88">
        <f>SUMIFS('ECL Calculation'!$O$3:$O$1000,'ECL Calculation'!$Y$3:$Y$1000,"Stage 1")</f>
        <v>6611214524.04</v>
      </c>
      <c r="D6" s="88">
        <f>SUMIFS('ECL Calculation'!$R$3:$R$1000,'ECL Calculation'!$Y$3:$Y$1000,"Stage 1")</f>
        <v>1160540896.2865388</v>
      </c>
      <c r="E6" s="88">
        <f>SUMIFS('ECL Calculation'!$Z$3:$Z$1000,'ECL Calculation'!$Y$3:$Y$1000,"Stage 1")</f>
        <v>33098107.927852731</v>
      </c>
      <c r="F6" s="89">
        <f>IFERROR(E6/C6,0)</f>
        <v>5.0063581823732812E-3</v>
      </c>
    </row>
    <row r="7" spans="1:6" x14ac:dyDescent="0.2">
      <c r="A7" s="84"/>
      <c r="B7" s="87" t="s">
        <v>237</v>
      </c>
      <c r="C7" s="88">
        <f>SUMIFS('ECL Calculation'!$O$3:$O$1000,'ECL Calculation'!$Y$3:$Y$1000,"Stage 2")</f>
        <v>1048934243.9129999</v>
      </c>
      <c r="D7" s="88">
        <f>SUMIFS('ECL Calculation'!$R$3:$R$1000,'ECL Calculation'!$Y$3:$Y$1000,"Stage 2")</f>
        <v>194245012.39431632</v>
      </c>
      <c r="E7" s="88">
        <f>SUMIFS('ECL Calculation'!$Z$3:$Z$1000,'ECL Calculation'!$Y$3:$Y$1000,"Stage 2")</f>
        <v>145313465.01727471</v>
      </c>
      <c r="F7" s="89">
        <f>IFERROR(E7/C7,0)</f>
        <v>0.13853438941528848</v>
      </c>
    </row>
    <row r="8" spans="1:6" x14ac:dyDescent="0.2">
      <c r="B8" s="87" t="s">
        <v>238</v>
      </c>
      <c r="C8" s="88">
        <f>SUMIFS('ECL Calculation'!$O$3:$O$1000,'ECL Calculation'!$Y$3:$Y$1000,"Stage 3")</f>
        <v>1835919767.4800003</v>
      </c>
      <c r="D8" s="88">
        <f>SUMIFS('ECL Calculation'!$R$3:$R$1000,'ECL Calculation'!$Y$3:$Y$1000,"Stage 3")</f>
        <v>230243383.10997328</v>
      </c>
      <c r="E8" s="88">
        <f>SUMIFS('ECL Calculation'!$Z$3:$Z$1000,'ECL Calculation'!$Y$3:$Y$1000,"Stage 3")</f>
        <v>1835919767.4800003</v>
      </c>
      <c r="F8" s="89">
        <f>IFERROR(E8/C8,0)</f>
        <v>1</v>
      </c>
    </row>
    <row r="9" spans="1:6" x14ac:dyDescent="0.2">
      <c r="A9" s="90"/>
    </row>
    <row r="10" spans="1:6" x14ac:dyDescent="0.2">
      <c r="B10" s="87" t="s">
        <v>795</v>
      </c>
      <c r="C10" s="88">
        <f>SUM(C6:C8)</f>
        <v>9496068535.4330006</v>
      </c>
      <c r="D10" s="88">
        <f>SUM(D6:D8)</f>
        <v>1585029291.7908285</v>
      </c>
      <c r="E10" s="88">
        <f>SUM(E6:E8)</f>
        <v>2014331340.4251277</v>
      </c>
      <c r="F10" s="89">
        <f>E10/C10</f>
        <v>0.21212266243751141</v>
      </c>
    </row>
    <row r="13" spans="1:6" ht="13.9" customHeight="1" x14ac:dyDescent="0.2"/>
    <row r="14" spans="1:6" ht="13.9" customHeight="1" x14ac:dyDescent="0.2">
      <c r="A14" s="90" t="s">
        <v>810</v>
      </c>
      <c r="B14" s="83" t="s">
        <v>808</v>
      </c>
    </row>
    <row r="15" spans="1:6" ht="14.25" customHeight="1" x14ac:dyDescent="0.2">
      <c r="B15" s="277" t="s">
        <v>554</v>
      </c>
      <c r="C15" s="277"/>
      <c r="D15" s="277"/>
      <c r="E15" s="277"/>
      <c r="F15" s="277"/>
    </row>
    <row r="16" spans="1:6" ht="25.5" x14ac:dyDescent="0.2">
      <c r="B16" s="85" t="s">
        <v>188</v>
      </c>
      <c r="C16" s="86" t="s">
        <v>220</v>
      </c>
      <c r="D16" s="86" t="s">
        <v>242</v>
      </c>
      <c r="E16" s="86" t="s">
        <v>187</v>
      </c>
      <c r="F16" s="86" t="s">
        <v>241</v>
      </c>
    </row>
    <row r="17" spans="1:6" x14ac:dyDescent="0.2">
      <c r="B17" s="87" t="s">
        <v>239</v>
      </c>
      <c r="C17" s="88">
        <v>6611214524.04</v>
      </c>
      <c r="D17" s="88">
        <v>1160540896.2865388</v>
      </c>
      <c r="E17" s="88">
        <v>33098107.927852731</v>
      </c>
      <c r="F17" s="89">
        <v>5.0063581823732812E-3</v>
      </c>
    </row>
    <row r="18" spans="1:6" x14ac:dyDescent="0.2">
      <c r="B18" s="87" t="s">
        <v>237</v>
      </c>
      <c r="C18" s="88">
        <v>2079204025.1330001</v>
      </c>
      <c r="D18" s="88">
        <v>306607170.83994538</v>
      </c>
      <c r="E18" s="88">
        <v>291887931.21868593</v>
      </c>
      <c r="F18" s="89">
        <v>0.1403844585189348</v>
      </c>
    </row>
    <row r="19" spans="1:6" x14ac:dyDescent="0.2">
      <c r="B19" s="87" t="s">
        <v>238</v>
      </c>
      <c r="C19" s="88">
        <v>805649986.25999999</v>
      </c>
      <c r="D19" s="88">
        <v>117881224.66434422</v>
      </c>
      <c r="E19" s="88">
        <v>805649986.25999999</v>
      </c>
      <c r="F19" s="89">
        <v>1</v>
      </c>
    </row>
    <row r="20" spans="1:6" x14ac:dyDescent="0.2">
      <c r="B20" s="87" t="s">
        <v>795</v>
      </c>
      <c r="C20" s="88">
        <v>9496068535.4330006</v>
      </c>
      <c r="D20" s="88">
        <v>1585029291.7908285</v>
      </c>
      <c r="E20" s="88">
        <v>1130636025.4065387</v>
      </c>
      <c r="F20" s="89">
        <v>0.11906359154715011</v>
      </c>
    </row>
    <row r="23" spans="1:6" x14ac:dyDescent="0.2">
      <c r="A23" s="90" t="s">
        <v>810</v>
      </c>
      <c r="B23" s="83" t="s">
        <v>809</v>
      </c>
    </row>
    <row r="24" spans="1:6" x14ac:dyDescent="0.2">
      <c r="B24" s="277" t="s">
        <v>554</v>
      </c>
      <c r="C24" s="277"/>
      <c r="D24" s="277"/>
      <c r="E24" s="277"/>
      <c r="F24" s="277"/>
    </row>
    <row r="25" spans="1:6" ht="25.5" x14ac:dyDescent="0.2">
      <c r="B25" s="85" t="s">
        <v>188</v>
      </c>
      <c r="C25" s="86" t="s">
        <v>220</v>
      </c>
      <c r="D25" s="86" t="s">
        <v>242</v>
      </c>
      <c r="E25" s="86" t="s">
        <v>187</v>
      </c>
      <c r="F25" s="86" t="s">
        <v>241</v>
      </c>
    </row>
    <row r="26" spans="1:6" x14ac:dyDescent="0.2">
      <c r="B26" s="87" t="s">
        <v>239</v>
      </c>
      <c r="C26" s="88">
        <v>6611214524.04</v>
      </c>
      <c r="D26" s="88">
        <v>1160540896.2865388</v>
      </c>
      <c r="E26" s="88">
        <v>33063889.823706698</v>
      </c>
      <c r="F26" s="89">
        <v>5.0011824156481798E-3</v>
      </c>
    </row>
    <row r="27" spans="1:6" x14ac:dyDescent="0.2">
      <c r="B27" s="87" t="s">
        <v>237</v>
      </c>
      <c r="C27" s="88">
        <v>2079204025.1330001</v>
      </c>
      <c r="D27" s="88">
        <v>306607170.83994538</v>
      </c>
      <c r="E27" s="88">
        <v>291735116.55856866</v>
      </c>
      <c r="F27" s="89">
        <v>0.14031096180660158</v>
      </c>
    </row>
    <row r="28" spans="1:6" x14ac:dyDescent="0.2">
      <c r="B28" s="87" t="s">
        <v>238</v>
      </c>
      <c r="C28" s="88">
        <v>805649986.25999999</v>
      </c>
      <c r="D28" s="88">
        <v>117881224.66434422</v>
      </c>
      <c r="E28" s="88">
        <v>805649986.25999999</v>
      </c>
      <c r="F28" s="89">
        <v>1</v>
      </c>
    </row>
    <row r="29" spans="1:6" x14ac:dyDescent="0.2">
      <c r="B29" s="87" t="s">
        <v>795</v>
      </c>
      <c r="C29" s="88">
        <v>9496068535.4330006</v>
      </c>
      <c r="D29" s="88">
        <v>1585029291.7908285</v>
      </c>
      <c r="E29" s="88">
        <v>1130448992.6422753</v>
      </c>
      <c r="F29" s="89">
        <v>0.11904389573687184</v>
      </c>
    </row>
  </sheetData>
  <mergeCells count="3">
    <mergeCell ref="B4:F4"/>
    <mergeCell ref="B15:F15"/>
    <mergeCell ref="B24:F2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2:K19"/>
  <sheetViews>
    <sheetView showFormulas="1" showGridLines="0" topLeftCell="A2" zoomScale="93" workbookViewId="0">
      <selection activeCell="B5" sqref="B5"/>
    </sheetView>
  </sheetViews>
  <sheetFormatPr defaultColWidth="0" defaultRowHeight="14.25" zeroHeight="1" x14ac:dyDescent="0.2"/>
  <cols>
    <col min="1" max="1" width="8.75" style="223" customWidth="1"/>
    <col min="2" max="2" width="35.375" style="221" customWidth="1"/>
    <col min="3" max="3" width="51.375" style="222" bestFit="1" customWidth="1"/>
    <col min="4" max="5" width="8.75" style="223" customWidth="1"/>
    <col min="6" max="11" width="0" style="223" hidden="1" customWidth="1"/>
    <col min="12" max="16384" width="8.75" style="223" hidden="1"/>
  </cols>
  <sheetData>
    <row r="2" spans="2:11" ht="29.45" customHeight="1" x14ac:dyDescent="0.2">
      <c r="B2" s="278" t="s">
        <v>779</v>
      </c>
      <c r="C2" s="278"/>
    </row>
    <row r="3" spans="2:11" x14ac:dyDescent="0.2"/>
    <row r="4" spans="2:11" x14ac:dyDescent="0.2">
      <c r="K4" s="223">
        <v>3</v>
      </c>
    </row>
    <row r="5" spans="2:11" x14ac:dyDescent="0.2">
      <c r="B5" s="224" t="s">
        <v>773</v>
      </c>
      <c r="C5" s="225" t="s">
        <v>120</v>
      </c>
    </row>
    <row r="6" spans="2:11" x14ac:dyDescent="0.2">
      <c r="B6" s="226" t="s">
        <v>764</v>
      </c>
      <c r="C6" s="227">
        <f>COUNTIF('Input Sheet'!$B$3:$B$1000,"&gt;0")</f>
        <v>230</v>
      </c>
    </row>
    <row r="7" spans="2:11" x14ac:dyDescent="0.2">
      <c r="B7" s="226" t="s">
        <v>765</v>
      </c>
      <c r="C7" s="227">
        <f ca="1">COUNTBLANK(INDIRECT(CONCATENATE("'Input Sheet'!",ADDRESS(2,7),":",ADDRESS(C6+2,7))))</f>
        <v>0</v>
      </c>
    </row>
    <row r="8" spans="2:11" x14ac:dyDescent="0.2">
      <c r="B8" s="226" t="s">
        <v>766</v>
      </c>
      <c r="C8" s="227">
        <f ca="1">COUNTBLANK(INDIRECT(CONCATENATE("'Input Sheet'!",ADDRESS(2,8),":",ADDRESS(C6+2,8))))</f>
        <v>0</v>
      </c>
    </row>
    <row r="9" spans="2:11" x14ac:dyDescent="0.2">
      <c r="B9" s="226" t="s">
        <v>767</v>
      </c>
      <c r="C9" s="227">
        <f ca="1">COUNTBLANK(INDIRECT(CONCATENATE("'Input Sheet'!",ADDRESS(2,9),":",ADDRESS(C6+2,9))))</f>
        <v>0</v>
      </c>
    </row>
    <row r="10" spans="2:11" x14ac:dyDescent="0.2">
      <c r="B10" s="226" t="s">
        <v>768</v>
      </c>
      <c r="C10" s="227">
        <f ca="1">COUNTBLANK(INDIRECT(CONCATENATE("'Input Sheet'!",ADDRESS(2,10),":",ADDRESS(C6+2,10))))</f>
        <v>0</v>
      </c>
    </row>
    <row r="11" spans="2:11" x14ac:dyDescent="0.2">
      <c r="B11" s="226" t="s">
        <v>769</v>
      </c>
      <c r="C11" s="227">
        <f ca="1">COUNTBLANK(INDIRECT(CONCATENATE("'Input Sheet'!",ADDRESS(2,11),":",ADDRESS(C6+2,11))))</f>
        <v>0</v>
      </c>
    </row>
    <row r="12" spans="2:11" x14ac:dyDescent="0.2">
      <c r="B12" s="226" t="s">
        <v>770</v>
      </c>
      <c r="C12" s="227">
        <f ca="1">COUNTBLANK(INDIRECT(CONCATENATE("'Input Sheet'!",ADDRESS(2,12),":",ADDRESS(C6+2,12))))</f>
        <v>0</v>
      </c>
    </row>
    <row r="13" spans="2:11" x14ac:dyDescent="0.2">
      <c r="B13" s="226" t="s">
        <v>771</v>
      </c>
      <c r="C13" s="227">
        <f ca="1">COUNTBLANK(INDIRECT(CONCATENATE("'Input Sheet'!",ADDRESS(2,13),":",ADDRESS(C6+2,13))))</f>
        <v>0</v>
      </c>
    </row>
    <row r="14" spans="2:11" x14ac:dyDescent="0.2">
      <c r="B14" s="226" t="s">
        <v>772</v>
      </c>
      <c r="C14" s="227">
        <f ca="1">COUNTBLANK(INDIRECT(CONCATENATE("'Input Sheet'!",ADDRESS(2,14),":",ADDRESS(C6+2,14))))</f>
        <v>0</v>
      </c>
    </row>
    <row r="15" spans="2:11" x14ac:dyDescent="0.2">
      <c r="B15" s="226" t="s">
        <v>774</v>
      </c>
      <c r="C15" s="227">
        <f ca="1">COUNTBLANK(INDIRECT(CONCATENATE("'Input Sheet'!",ADDRESS(2,19),":",ADDRESS(C6+2,19))))</f>
        <v>0</v>
      </c>
    </row>
    <row r="16" spans="2:11" x14ac:dyDescent="0.2">
      <c r="B16" s="226" t="s">
        <v>775</v>
      </c>
      <c r="C16" s="227">
        <f ca="1">COUNTBLANK(INDIRECT(CONCATENATE("'Input Sheet'!",ADDRESS(2,20),":",ADDRESS(C6+2,20))))</f>
        <v>0</v>
      </c>
    </row>
    <row r="17" spans="2:3" x14ac:dyDescent="0.2">
      <c r="B17" s="226" t="s">
        <v>776</v>
      </c>
      <c r="C17" s="227">
        <f ca="1">COUNTBLANK(INDIRECT(CONCATENATE("'Input Sheet'!",ADDRESS(2,21),":",ADDRESS(C6+2,21))))</f>
        <v>0</v>
      </c>
    </row>
    <row r="18" spans="2:3" x14ac:dyDescent="0.2">
      <c r="B18" s="226" t="s">
        <v>777</v>
      </c>
      <c r="C18" s="227">
        <f ca="1">COUNTBLANK(INDIRECT(CONCATENATE("'Input Sheet'!",ADDRESS(2,23),":",ADDRESS(C6+2,23))))</f>
        <v>0</v>
      </c>
    </row>
    <row r="19" spans="2:3" x14ac:dyDescent="0.2">
      <c r="B19" s="226" t="s">
        <v>778</v>
      </c>
      <c r="C19" s="227">
        <f ca="1">COUNTBLANK(INDIRECT(CONCATENATE("'Input Sheet'!",ADDRESS(2,24),":",ADDRESS(C6+2,24))))</f>
        <v>0</v>
      </c>
    </row>
  </sheetData>
  <mergeCells count="1">
    <mergeCell ref="B2:C2"/>
  </mergeCells>
  <conditionalFormatting sqref="C6">
    <cfRule type="cellIs" dxfId="4" priority="3" operator="equal">
      <formula>0</formula>
    </cfRule>
    <cfRule type="cellIs" dxfId="3" priority="4" operator="greaterThan">
      <formula>0</formula>
    </cfRule>
  </conditionalFormatting>
  <conditionalFormatting sqref="C7:C19">
    <cfRule type="cellIs" dxfId="2" priority="1" operator="equal">
      <formula>0</formula>
    </cfRule>
    <cfRule type="cellIs" dxfId="1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CO1000"/>
  <sheetViews>
    <sheetView showGridLines="0" topLeftCell="BA1" zoomScale="98" zoomScaleNormal="70" workbookViewId="0">
      <selection activeCell="BF3" sqref="BF3"/>
    </sheetView>
  </sheetViews>
  <sheetFormatPr defaultColWidth="59.75" defaultRowHeight="12.75" x14ac:dyDescent="0.2"/>
  <cols>
    <col min="1" max="1" width="12.375" style="41" bestFit="1" customWidth="1"/>
    <col min="2" max="2" width="50.375" style="47" customWidth="1"/>
    <col min="3" max="3" width="20.5" style="47" customWidth="1"/>
    <col min="4" max="6" width="20.5" style="68" customWidth="1"/>
    <col min="7" max="7" width="20.5" style="79" customWidth="1"/>
    <col min="8" max="8" width="20.5" style="68" customWidth="1"/>
    <col min="9" max="11" width="20.5" style="67" customWidth="1"/>
    <col min="12" max="14" width="20.5" style="41" customWidth="1"/>
    <col min="15" max="15" width="20.5" style="67" customWidth="1"/>
    <col min="16" max="16" width="20.5" style="216" customWidth="1"/>
    <col min="17" max="17" width="20.5" style="125" customWidth="1"/>
    <col min="18" max="18" width="20.5" style="67" customWidth="1"/>
    <col min="19" max="22" width="20.5" style="41" customWidth="1"/>
    <col min="23" max="24" width="20.5" style="67" customWidth="1"/>
    <col min="25" max="25" width="20.5" style="79" customWidth="1"/>
    <col min="26" max="26" width="20.5" style="67" customWidth="1"/>
    <col min="27" max="27" width="7.25" style="41" bestFit="1" customWidth="1"/>
    <col min="28" max="28" width="3.625" style="41" bestFit="1" customWidth="1"/>
    <col min="29" max="29" width="8.25" style="41" customWidth="1"/>
    <col min="30" max="30" width="14.75" style="41" customWidth="1"/>
    <col min="31" max="31" width="12" style="41" customWidth="1"/>
    <col min="32" max="32" width="13" style="41" customWidth="1"/>
    <col min="33" max="33" width="16.75" style="41" customWidth="1"/>
    <col min="34" max="34" width="7.25" style="41" bestFit="1" customWidth="1"/>
    <col min="35" max="35" width="11.875" style="41" bestFit="1" customWidth="1"/>
    <col min="36" max="36" width="12.625" style="41" customWidth="1"/>
    <col min="37" max="37" width="5" style="41" customWidth="1"/>
    <col min="38" max="38" width="25.75" style="41" bestFit="1" customWidth="1"/>
    <col min="39" max="39" width="18.375" style="41" bestFit="1" customWidth="1"/>
    <col min="40" max="40" width="22.375" style="41" customWidth="1"/>
    <col min="41" max="41" width="39.875" style="41" customWidth="1"/>
    <col min="42" max="42" width="22.625" style="41" customWidth="1"/>
    <col min="43" max="43" width="42.25" style="41" customWidth="1"/>
    <col min="44" max="44" width="22.375" style="41" customWidth="1"/>
    <col min="45" max="45" width="25" style="41" customWidth="1"/>
    <col min="46" max="46" width="23.25" style="41" customWidth="1"/>
    <col min="47" max="47" width="22.375" style="41" customWidth="1"/>
    <col min="48" max="48" width="38.75" style="41" customWidth="1"/>
    <col min="49" max="49" width="95.625" style="41" bestFit="1" customWidth="1"/>
    <col min="50" max="50" width="22.375" style="41" bestFit="1" customWidth="1"/>
    <col min="51" max="51" width="21.375" style="41" bestFit="1" customWidth="1"/>
    <col min="52" max="52" width="24.25" style="41" customWidth="1"/>
    <col min="53" max="53" width="29.5" style="41" bestFit="1" customWidth="1"/>
    <col min="54" max="54" width="15" style="41" bestFit="1" customWidth="1"/>
    <col min="55" max="55" width="28.875" style="41" bestFit="1" customWidth="1"/>
    <col min="56" max="56" width="17.375" style="41" bestFit="1" customWidth="1"/>
    <col min="57" max="58" width="16.625" style="41" bestFit="1" customWidth="1"/>
    <col min="59" max="59" width="15.375" style="41" bestFit="1" customWidth="1"/>
    <col min="60" max="60" width="19.875" style="41" customWidth="1"/>
    <col min="61" max="61" width="18.5" style="41" bestFit="1" customWidth="1"/>
    <col min="62" max="62" width="19.75" style="41" customWidth="1"/>
    <col min="63" max="63" width="12.25" style="41" customWidth="1"/>
    <col min="64" max="64" width="9.875" style="41" bestFit="1" customWidth="1"/>
    <col min="65" max="65" width="14.875" style="41" bestFit="1" customWidth="1"/>
    <col min="66" max="69" width="11.375" style="41" customWidth="1"/>
    <col min="70" max="70" width="24" style="41" bestFit="1" customWidth="1"/>
    <col min="71" max="71" width="9.375" style="41" bestFit="1" customWidth="1"/>
    <col min="72" max="72" width="255.625" style="41" bestFit="1" customWidth="1"/>
    <col min="73" max="73" width="11.75" style="41" bestFit="1" customWidth="1"/>
    <col min="74" max="74" width="16.375" style="41" customWidth="1"/>
    <col min="75" max="75" width="23.25" style="41" bestFit="1" customWidth="1"/>
    <col min="76" max="76" width="9.375" style="41" bestFit="1" customWidth="1"/>
    <col min="77" max="77" width="255.625" style="41" bestFit="1" customWidth="1"/>
    <col min="78" max="78" width="18.25" style="41" bestFit="1" customWidth="1"/>
    <col min="79" max="79" width="16.25" style="41" customWidth="1"/>
    <col min="80" max="80" width="20.75" style="41" bestFit="1" customWidth="1"/>
    <col min="81" max="81" width="17.625" style="41" bestFit="1" customWidth="1"/>
    <col min="82" max="82" width="255.625" style="41" bestFit="1" customWidth="1"/>
    <col min="83" max="83" width="18.25" style="41" bestFit="1" customWidth="1"/>
    <col min="84" max="91" width="59.75" style="41"/>
    <col min="92" max="92" width="3.625" style="41" bestFit="1" customWidth="1"/>
    <col min="93" max="93" width="1.75" style="41" bestFit="1" customWidth="1"/>
    <col min="94" max="16384" width="59.75" style="41"/>
  </cols>
  <sheetData>
    <row r="1" spans="1:93" ht="30" customHeight="1" x14ac:dyDescent="0.2">
      <c r="A1" s="39" t="s">
        <v>200</v>
      </c>
      <c r="B1" s="40">
        <v>43465</v>
      </c>
      <c r="C1" s="41"/>
      <c r="I1" s="55"/>
      <c r="J1" s="55"/>
      <c r="K1" s="55"/>
      <c r="O1" s="55"/>
      <c r="P1" s="215"/>
      <c r="Q1" s="124"/>
      <c r="R1" s="55"/>
      <c r="W1" s="55"/>
      <c r="X1" s="55"/>
      <c r="Y1" s="42"/>
      <c r="Z1" s="220"/>
      <c r="AH1" s="43"/>
      <c r="AI1" s="43"/>
      <c r="AN1" s="115" t="s">
        <v>180</v>
      </c>
      <c r="AO1" s="115" t="s">
        <v>571</v>
      </c>
      <c r="AP1" s="115" t="s">
        <v>572</v>
      </c>
      <c r="AQ1" s="115" t="s">
        <v>569</v>
      </c>
      <c r="AR1" s="115" t="s">
        <v>181</v>
      </c>
      <c r="AS1" s="115" t="s">
        <v>216</v>
      </c>
      <c r="AT1" s="115" t="s">
        <v>201</v>
      </c>
      <c r="AU1" s="115" t="s">
        <v>555</v>
      </c>
      <c r="AV1" s="115" t="s">
        <v>557</v>
      </c>
      <c r="AW1" s="106" t="s">
        <v>558</v>
      </c>
      <c r="AX1" s="106" t="s">
        <v>563</v>
      </c>
      <c r="AY1" s="106" t="s">
        <v>230</v>
      </c>
      <c r="AZ1" s="106" t="s">
        <v>234</v>
      </c>
      <c r="BA1" s="106" t="s">
        <v>233</v>
      </c>
      <c r="BB1" s="115" t="s">
        <v>243</v>
      </c>
      <c r="BC1" s="106" t="s">
        <v>232</v>
      </c>
      <c r="BD1" s="106" t="s">
        <v>182</v>
      </c>
      <c r="BE1" s="106" t="s">
        <v>183</v>
      </c>
      <c r="BF1" s="106" t="s">
        <v>184</v>
      </c>
      <c r="BG1" s="106" t="s">
        <v>179</v>
      </c>
      <c r="BH1" s="141" t="s">
        <v>227</v>
      </c>
      <c r="BI1" s="44">
        <f ca="1">SUM(AS6:AS510)</f>
        <v>5</v>
      </c>
      <c r="BJ1" s="141" t="s">
        <v>228</v>
      </c>
      <c r="BK1" s="44">
        <f ca="1">SUM(AZ6:AZ510)</f>
        <v>10</v>
      </c>
      <c r="BL1" s="45"/>
      <c r="BM1" s="46" t="s">
        <v>185</v>
      </c>
      <c r="BN1" s="46" t="s">
        <v>186</v>
      </c>
      <c r="CN1" s="38">
        <v>108</v>
      </c>
      <c r="CO1" s="38">
        <v>1</v>
      </c>
    </row>
    <row r="2" spans="1:93" ht="31.15" customHeight="1" x14ac:dyDescent="0.2">
      <c r="I2" s="55"/>
      <c r="J2" s="55"/>
      <c r="K2" s="55"/>
      <c r="W2" s="55"/>
      <c r="X2" s="55"/>
      <c r="Y2" s="130"/>
      <c r="Z2" s="48"/>
      <c r="AN2" s="49">
        <f ca="1">INDIRECT("D"&amp;$CN$1+3)</f>
        <v>43465</v>
      </c>
      <c r="AO2" s="49">
        <f ca="1">INDIRECT("E"&amp;$CN$1+3)</f>
        <v>36829</v>
      </c>
      <c r="AP2" s="49">
        <f ca="1">INDIRECT("F"&amp;$CN$1+3)</f>
        <v>35733</v>
      </c>
      <c r="AQ2" s="122">
        <f ca="1">INDIRECT("G"&amp;$CN$1+3)</f>
        <v>6</v>
      </c>
      <c r="AR2" s="49">
        <f ca="1">INDIRECT("H"&amp;$CN$1+3)</f>
        <v>45291</v>
      </c>
      <c r="AS2" s="50">
        <f ca="1">INDIRECT("M"&amp;$CN$1+3)</f>
        <v>1</v>
      </c>
      <c r="AT2" s="50">
        <f ca="1">INDIRECT("N"&amp;$CN$1+3)</f>
        <v>2</v>
      </c>
      <c r="AU2" s="50">
        <f ca="1">INDIRECT("L"&amp;$CN$1+3)</f>
        <v>1</v>
      </c>
      <c r="AV2" s="50">
        <f ca="1">AW2/SUM($AO$6:$AO$510)</f>
        <v>0</v>
      </c>
      <c r="AW2" s="50">
        <f ca="1">INDIRECT("K"&amp;$CN$1+3)</f>
        <v>0</v>
      </c>
      <c r="AX2" s="50">
        <f ca="1">INDIRECT("O"&amp;$CN$1+3)</f>
        <v>4500000</v>
      </c>
      <c r="AY2" s="50">
        <f ca="1">AW2+AX2</f>
        <v>4500000</v>
      </c>
      <c r="AZ2" s="51">
        <f ca="1">INDIRECT("P"&amp;$CN$1+3)</f>
        <v>3.5000000000000003E-2</v>
      </c>
      <c r="BA2" s="50">
        <f ca="1">INDIRECT("Q"&amp;$CN$1+3)</f>
        <v>3290077.33</v>
      </c>
      <c r="BB2" s="80">
        <f ca="1">SUM(AW6:AW510)</f>
        <v>446794.60590498894</v>
      </c>
      <c r="BC2" s="80">
        <f ca="1">$AY$2+$BA$2+SUM($AW$6:$AW$510)</f>
        <v>8236871.935904989</v>
      </c>
      <c r="BD2" s="51" t="str">
        <f ca="1">INDIRECT("S"&amp;$CN$1+3)</f>
        <v>Aa2</v>
      </c>
      <c r="BE2" s="51">
        <f ca="1">INDIRECT("T"&amp;$CN$1+3)</f>
        <v>2.4375000000000001E-2</v>
      </c>
      <c r="BF2" s="51">
        <f ca="1">INDIRECT("U"&amp;$CN$1+3)</f>
        <v>0.45</v>
      </c>
      <c r="BG2" s="51" t="str">
        <f ca="1">INDIRECT("V"&amp;$CN$1+3)</f>
        <v>United Arab Emirates</v>
      </c>
      <c r="BH2" s="141" t="s">
        <v>780</v>
      </c>
      <c r="BI2" s="44">
        <f ca="1">AY2/BI1</f>
        <v>900000</v>
      </c>
      <c r="BJ2" s="141" t="s">
        <v>781</v>
      </c>
      <c r="BK2" s="44">
        <f ca="1">SUM(BA6:BA510)</f>
        <v>3736871.935904989</v>
      </c>
      <c r="BL2" s="54"/>
      <c r="BM2" s="50">
        <f ca="1">SUM(BH6:BH241)</f>
        <v>3765.457435778651</v>
      </c>
      <c r="BN2" s="50">
        <f ca="1">SUM(BK6:BK241)</f>
        <v>1007.8237621647362</v>
      </c>
      <c r="BP2" s="55"/>
    </row>
    <row r="3" spans="1:93" s="53" customFormat="1" ht="30.6" customHeight="1" x14ac:dyDescent="0.2">
      <c r="A3" s="56" t="s">
        <v>219</v>
      </c>
      <c r="B3" s="213" t="s">
        <v>252</v>
      </c>
      <c r="C3" s="56" t="s">
        <v>800</v>
      </c>
      <c r="D3" s="214" t="s">
        <v>200</v>
      </c>
      <c r="E3" s="214" t="s">
        <v>567</v>
      </c>
      <c r="F3" s="214" t="s">
        <v>568</v>
      </c>
      <c r="G3" s="57" t="s">
        <v>569</v>
      </c>
      <c r="H3" s="214" t="s">
        <v>696</v>
      </c>
      <c r="I3" s="123" t="s">
        <v>559</v>
      </c>
      <c r="J3" s="123" t="s">
        <v>723</v>
      </c>
      <c r="K3" s="123" t="s">
        <v>798</v>
      </c>
      <c r="L3" s="56" t="s">
        <v>555</v>
      </c>
      <c r="M3" s="56" t="s">
        <v>216</v>
      </c>
      <c r="N3" s="56" t="s">
        <v>201</v>
      </c>
      <c r="O3" s="123" t="s">
        <v>220</v>
      </c>
      <c r="P3" s="217" t="s">
        <v>234</v>
      </c>
      <c r="Q3" s="123" t="s">
        <v>233</v>
      </c>
      <c r="R3" s="123" t="s">
        <v>243</v>
      </c>
      <c r="S3" s="56" t="s">
        <v>570</v>
      </c>
      <c r="T3" s="56" t="s">
        <v>194</v>
      </c>
      <c r="U3" s="56" t="s">
        <v>184</v>
      </c>
      <c r="V3" s="56" t="s">
        <v>179</v>
      </c>
      <c r="W3" s="219" t="s">
        <v>185</v>
      </c>
      <c r="X3" s="219" t="s">
        <v>186</v>
      </c>
      <c r="Y3" s="57" t="s">
        <v>707</v>
      </c>
      <c r="Z3" s="123" t="s">
        <v>187</v>
      </c>
      <c r="AC3" s="53" t="s">
        <v>820</v>
      </c>
      <c r="AP3" s="59"/>
      <c r="AT3" s="62"/>
      <c r="AU3" s="62"/>
      <c r="AW3" s="59"/>
      <c r="BB3" s="58"/>
      <c r="BC3" s="52"/>
      <c r="BF3" s="59"/>
      <c r="BI3" s="60"/>
      <c r="BO3" s="61"/>
      <c r="BP3" s="62"/>
      <c r="BR3" s="63" t="s">
        <v>216</v>
      </c>
      <c r="BS3" s="64">
        <f ca="1">AS2</f>
        <v>1</v>
      </c>
      <c r="BT3" s="59"/>
      <c r="BW3" s="63" t="s">
        <v>201</v>
      </c>
      <c r="BX3" s="64">
        <f ca="1">AT2</f>
        <v>2</v>
      </c>
      <c r="CB3" s="63" t="s">
        <v>556</v>
      </c>
      <c r="CC3" s="64">
        <f ca="1">AU2</f>
        <v>1</v>
      </c>
      <c r="CE3" s="59"/>
    </row>
    <row r="4" spans="1:93" x14ac:dyDescent="0.2">
      <c r="A4" s="38">
        <v>1</v>
      </c>
      <c r="B4" s="108" t="s">
        <v>262</v>
      </c>
      <c r="C4" s="38" t="s">
        <v>806</v>
      </c>
      <c r="D4" s="137">
        <v>43465</v>
      </c>
      <c r="E4" s="137">
        <v>30589</v>
      </c>
      <c r="F4" s="137">
        <v>29675</v>
      </c>
      <c r="G4" s="122">
        <v>15</v>
      </c>
      <c r="H4" s="137">
        <v>45291</v>
      </c>
      <c r="I4" s="50">
        <v>39845190.630000003</v>
      </c>
      <c r="J4" s="50">
        <v>39845190.630000003</v>
      </c>
      <c r="K4" s="50">
        <v>0</v>
      </c>
      <c r="L4" s="38">
        <v>1</v>
      </c>
      <c r="M4" s="38">
        <v>2</v>
      </c>
      <c r="N4" s="38">
        <v>2</v>
      </c>
      <c r="O4" s="50">
        <v>15845196.630000001</v>
      </c>
      <c r="P4" s="218">
        <v>3.5000000000000003E-2</v>
      </c>
      <c r="Q4" s="50">
        <v>14835843.76</v>
      </c>
      <c r="R4" s="50">
        <v>1388019.5600104935</v>
      </c>
      <c r="S4" s="38" t="s">
        <v>62</v>
      </c>
      <c r="T4" s="51">
        <v>3.3636363636363638E-2</v>
      </c>
      <c r="U4" s="65">
        <v>0.45</v>
      </c>
      <c r="V4" s="105" t="s">
        <v>478</v>
      </c>
      <c r="W4" s="66">
        <v>1349126.6414551556</v>
      </c>
      <c r="X4" s="66">
        <v>379222.58411066793</v>
      </c>
      <c r="Y4" s="38" t="s">
        <v>238</v>
      </c>
      <c r="Z4" s="66">
        <f>IF(Y4="Stage 1",X4,IF(Y4="Stage 2",W4,O4))</f>
        <v>15845196.630000001</v>
      </c>
      <c r="AA4" s="78"/>
      <c r="AC4" s="41" t="e">
        <f>VLOOKUP(B4,'Input Sheet'!$A$2:$B$232,2,0)</f>
        <v>#N/A</v>
      </c>
      <c r="AD4" s="259">
        <f>Z4</f>
        <v>15845196.630000001</v>
      </c>
      <c r="AI4" s="68"/>
      <c r="AO4" s="69"/>
      <c r="AP4" s="55"/>
      <c r="AQ4" s="55"/>
      <c r="AR4" s="54"/>
      <c r="AS4" s="55"/>
      <c r="AT4" s="55"/>
      <c r="AU4" s="55"/>
      <c r="AV4" s="55"/>
      <c r="AW4" s="69"/>
      <c r="AX4" s="69"/>
      <c r="AZ4" s="69"/>
      <c r="BA4" s="69"/>
      <c r="BB4" s="69"/>
      <c r="BC4" s="144"/>
    </row>
    <row r="5" spans="1:93" ht="15.6" customHeight="1" x14ac:dyDescent="0.2">
      <c r="A5" s="38">
        <f>IF(B5=0," ",A4+1)</f>
        <v>2</v>
      </c>
      <c r="B5" s="108" t="s">
        <v>296</v>
      </c>
      <c r="C5" s="38" t="s">
        <v>806</v>
      </c>
      <c r="D5" s="137">
        <v>43465</v>
      </c>
      <c r="E5" s="137">
        <v>30317</v>
      </c>
      <c r="F5" s="137">
        <v>29646</v>
      </c>
      <c r="G5" s="122">
        <v>15</v>
      </c>
      <c r="H5" s="137">
        <v>45291</v>
      </c>
      <c r="I5" s="50">
        <v>4987838.25</v>
      </c>
      <c r="J5" s="50">
        <v>4987838.25</v>
      </c>
      <c r="K5" s="50">
        <v>0</v>
      </c>
      <c r="L5" s="38">
        <v>1</v>
      </c>
      <c r="M5" s="38">
        <v>2</v>
      </c>
      <c r="N5" s="38">
        <v>2</v>
      </c>
      <c r="O5" s="50">
        <v>1821184.25</v>
      </c>
      <c r="P5" s="218">
        <v>0.02</v>
      </c>
      <c r="Q5" s="50">
        <v>996590.84</v>
      </c>
      <c r="R5" s="50">
        <v>85078.958431806124</v>
      </c>
      <c r="S5" s="38" t="s">
        <v>62</v>
      </c>
      <c r="T5" s="51">
        <v>3.3636363636363638E-2</v>
      </c>
      <c r="U5" s="65">
        <v>0.45</v>
      </c>
      <c r="V5" s="105" t="s">
        <v>478</v>
      </c>
      <c r="W5" s="66">
        <v>144563.74433328031</v>
      </c>
      <c r="X5" s="66">
        <v>38460.166000859957</v>
      </c>
      <c r="Y5" s="38" t="s">
        <v>238</v>
      </c>
      <c r="Z5" s="66">
        <f t="shared" ref="Z5:Z68" si="0">IF(Y5="Stage 1",X5,IF(Y5="Stage 2",W5,O5))</f>
        <v>1821184.25</v>
      </c>
      <c r="AA5" s="78"/>
      <c r="AC5" s="41">
        <f>VLOOKUP(A5,'Input Sheet'!$A$2:$B$232,2,0)</f>
        <v>1002</v>
      </c>
      <c r="AD5" s="259">
        <f t="shared" ref="AD5:AD68" si="1">Z5</f>
        <v>1821184.25</v>
      </c>
      <c r="AI5" s="68"/>
      <c r="AL5" s="109" t="s">
        <v>189</v>
      </c>
      <c r="AM5" s="109" t="s">
        <v>190</v>
      </c>
      <c r="AN5" s="109" t="s">
        <v>560</v>
      </c>
      <c r="AO5" s="109" t="s">
        <v>561</v>
      </c>
      <c r="AP5" s="109" t="s">
        <v>562</v>
      </c>
      <c r="AQ5" s="109" t="s">
        <v>565</v>
      </c>
      <c r="AR5" s="109" t="s">
        <v>217</v>
      </c>
      <c r="AS5" s="109" t="s">
        <v>221</v>
      </c>
      <c r="AT5" s="109" t="s">
        <v>222</v>
      </c>
      <c r="AU5" s="109" t="s">
        <v>566</v>
      </c>
      <c r="AV5" s="109" t="s">
        <v>564</v>
      </c>
      <c r="AW5" s="109" t="s">
        <v>235</v>
      </c>
      <c r="AX5" s="109" t="s">
        <v>236</v>
      </c>
      <c r="AY5" s="109" t="s">
        <v>223</v>
      </c>
      <c r="AZ5" s="109" t="s">
        <v>224</v>
      </c>
      <c r="BA5" s="109" t="s">
        <v>225</v>
      </c>
      <c r="BB5" s="109" t="s">
        <v>226</v>
      </c>
      <c r="BC5" s="109" t="s">
        <v>191</v>
      </c>
      <c r="BD5" s="109" t="s">
        <v>192</v>
      </c>
      <c r="BE5" s="109" t="s">
        <v>193</v>
      </c>
      <c r="BF5" s="109" t="s">
        <v>184</v>
      </c>
      <c r="BG5" s="109" t="s">
        <v>194</v>
      </c>
      <c r="BH5" s="109" t="s">
        <v>195</v>
      </c>
      <c r="BI5" s="109" t="s">
        <v>196</v>
      </c>
      <c r="BJ5" s="109" t="s">
        <v>197</v>
      </c>
      <c r="BK5" s="109" t="s">
        <v>198</v>
      </c>
      <c r="BM5" s="71" t="s">
        <v>199</v>
      </c>
      <c r="BR5" s="72" t="s">
        <v>180</v>
      </c>
      <c r="BS5" s="72" t="s">
        <v>175</v>
      </c>
      <c r="BT5" s="72" t="s">
        <v>214</v>
      </c>
      <c r="BU5" s="72" t="s">
        <v>215</v>
      </c>
      <c r="BW5" s="72" t="s">
        <v>180</v>
      </c>
      <c r="BX5" s="72" t="s">
        <v>175</v>
      </c>
      <c r="BY5" s="72" t="s">
        <v>214</v>
      </c>
      <c r="BZ5" s="72" t="s">
        <v>215</v>
      </c>
      <c r="CB5" s="72" t="s">
        <v>180</v>
      </c>
      <c r="CC5" s="72" t="s">
        <v>175</v>
      </c>
      <c r="CD5" s="72" t="s">
        <v>214</v>
      </c>
      <c r="CE5" s="72" t="s">
        <v>215</v>
      </c>
    </row>
    <row r="6" spans="1:93" x14ac:dyDescent="0.2">
      <c r="A6" s="38">
        <f>IF(B6=0," ",A5+1)</f>
        <v>3</v>
      </c>
      <c r="B6" s="108" t="s">
        <v>299</v>
      </c>
      <c r="C6" s="38" t="s">
        <v>806</v>
      </c>
      <c r="D6" s="137">
        <v>43465</v>
      </c>
      <c r="E6" s="137">
        <v>30619</v>
      </c>
      <c r="F6" s="137">
        <v>28975</v>
      </c>
      <c r="G6" s="122">
        <v>15</v>
      </c>
      <c r="H6" s="137">
        <v>45291</v>
      </c>
      <c r="I6" s="50">
        <v>54875258.560000002</v>
      </c>
      <c r="J6" s="50">
        <v>54875258.560000002</v>
      </c>
      <c r="K6" s="50">
        <v>0</v>
      </c>
      <c r="L6" s="38">
        <v>1</v>
      </c>
      <c r="M6" s="38">
        <v>2</v>
      </c>
      <c r="N6" s="38">
        <v>2</v>
      </c>
      <c r="O6" s="50">
        <v>23709158.559999999</v>
      </c>
      <c r="P6" s="218">
        <v>0.04</v>
      </c>
      <c r="Q6" s="50">
        <v>25768637.690000001</v>
      </c>
      <c r="R6" s="50">
        <v>2452767.5178220877</v>
      </c>
      <c r="S6" s="38" t="s">
        <v>62</v>
      </c>
      <c r="T6" s="51">
        <v>3.3636363636363638E-2</v>
      </c>
      <c r="U6" s="65">
        <v>0.45</v>
      </c>
      <c r="V6" s="105" t="s">
        <v>478</v>
      </c>
      <c r="W6" s="66">
        <v>2123812.7042606478</v>
      </c>
      <c r="X6" s="66">
        <v>640575.23851409054</v>
      </c>
      <c r="Y6" s="38" t="s">
        <v>238</v>
      </c>
      <c r="Z6" s="66">
        <f t="shared" si="0"/>
        <v>23709158.559999999</v>
      </c>
      <c r="AA6" s="78"/>
      <c r="AC6" s="41">
        <f>VLOOKUP(A6,'Input Sheet'!$A$2:$B$232,2,0)</f>
        <v>1003</v>
      </c>
      <c r="AD6" s="259">
        <f t="shared" si="1"/>
        <v>23709158.559999999</v>
      </c>
      <c r="AI6" s="68"/>
      <c r="AL6" s="107">
        <v>1</v>
      </c>
      <c r="AM6" s="49">
        <f ca="1">AN2</f>
        <v>43465</v>
      </c>
      <c r="AN6" s="137" t="str">
        <f ca="1">CE6</f>
        <v xml:space="preserve"> </v>
      </c>
      <c r="AO6" s="107">
        <v>1</v>
      </c>
      <c r="AP6" s="143">
        <f t="shared" ref="AP6:AP69" ca="1" si="2">AO6*$AV$2</f>
        <v>0</v>
      </c>
      <c r="AQ6" s="143">
        <f ca="1">AX2+AP6</f>
        <v>4500000</v>
      </c>
      <c r="AR6" s="49" t="str">
        <f t="shared" ref="AR6:AR69" ca="1" si="3">BU6</f>
        <v xml:space="preserve"> </v>
      </c>
      <c r="AS6" s="107">
        <f t="shared" ref="AS6:AS69" ca="1" si="4">BT6</f>
        <v>0</v>
      </c>
      <c r="AT6" s="107">
        <f t="shared" ref="AT6:AT69" ca="1" si="5">AS6*$BI$2</f>
        <v>0</v>
      </c>
      <c r="AU6" s="107"/>
      <c r="AV6" s="107">
        <f ca="1">MAX(SUM($AQ$6:AQ6)-SUM($AT$6:AT6),0)</f>
        <v>4500000</v>
      </c>
      <c r="AW6" s="107">
        <v>0</v>
      </c>
      <c r="AX6" s="107">
        <f ca="1">$BA$2</f>
        <v>3290077.33</v>
      </c>
      <c r="AY6" s="138" t="str">
        <f t="shared" ref="AY6:AY69" ca="1" si="6">BZ6</f>
        <v xml:space="preserve"> </v>
      </c>
      <c r="AZ6" s="107">
        <f t="shared" ref="AZ6:AZ69" ca="1" si="7">BY6</f>
        <v>0</v>
      </c>
      <c r="BA6" s="107">
        <f ca="1">IF(AZ6=1,SUM(AX6,AW6),0)</f>
        <v>0</v>
      </c>
      <c r="BB6" s="107"/>
      <c r="BC6" s="107">
        <f ca="1">AV6+AW6+AX6-BA6</f>
        <v>7790077.3300000001</v>
      </c>
      <c r="BD6" s="107">
        <v>0</v>
      </c>
      <c r="BE6" s="51">
        <f ca="1">'PiT PD Structure'!J46</f>
        <v>3.4182372795954485E-5</v>
      </c>
      <c r="BF6" s="139">
        <f ca="1">BF2</f>
        <v>0.45</v>
      </c>
      <c r="BG6" s="51">
        <v>1</v>
      </c>
      <c r="BH6" s="50">
        <f t="shared" ref="BH6:BH69" ca="1" si="8">IF(AL6=0,0,BC6*BE6*BF6*BG6)</f>
        <v>119.82749733151819</v>
      </c>
      <c r="BI6" s="50">
        <f ca="1">SUM(BH6:BH240)</f>
        <v>3765.457435778651</v>
      </c>
      <c r="BJ6" s="140">
        <v>1</v>
      </c>
      <c r="BK6" s="50">
        <f ca="1">BJ6*BH6</f>
        <v>119.82749733151819</v>
      </c>
      <c r="BR6" s="75">
        <f ca="1">AN2</f>
        <v>43465</v>
      </c>
      <c r="BS6" s="74">
        <f ca="1">MONTH(BR6)</f>
        <v>12</v>
      </c>
      <c r="BT6" s="74">
        <f ca="1">IF(EOMONTH(BR6,0)&gt;EOMONTH($AR$2,0),0,IF(EOMONTH(BR6,0)&gt;=EOMONTH($AO$2,0),(IF($BS$3=1,IF(MONTH($AO$2)=BS6,1,0),IF($BS$3=2,IF(OR(MONTH($AO$2)=BS6,MONTH($AO$2)+6=BS6,MONTH($AO$2)-6=BS6),1,0),IF($BS$3=4,IF(OR(MONTH($AO$2)=BS6,MONTH($AO$2)+3=BS6,MONTH($AO$2)+6=BS6,MONTH($AO$2)+9=BS6,MONTH($AO$2)-9=BS6,MONTH($AO$2)-3=BS6,MONTH($AO$2)-6=BS6),1,0),IF($BS$3=6,IF(OR(MONTH($AO$2)=BS6,MONTH($AO$2)+2=BS6,MONTH($AO$2)+4=BS6,MONTH($AO$2)+6=BS6,MONTH($AO$2)+8=BS6,MONTH($AO$2)+10=BS6,MONTH($AO$2)-2=BS6,MONTH($AO$2)-4=BS6,MONTH($AO$2)-6=BS6,MONTH($AO$2)-8=BS6,MONTH($AO$2)-10=BS6),1,0),IF($BS$3=12,1,IF(AND($BS$3=0,EOMONTH(BR6,0)=EOMONTH($AR$2,0)),1,0))))))),0))</f>
        <v>0</v>
      </c>
      <c r="BU6" s="73" t="str">
        <f ca="1">IF(BT6=1,BR6," ")</f>
        <v xml:space="preserve"> </v>
      </c>
      <c r="BW6" s="75">
        <f ca="1">AN2</f>
        <v>43465</v>
      </c>
      <c r="BX6" s="74">
        <f ca="1">MONTH(BW6)</f>
        <v>12</v>
      </c>
      <c r="BY6" s="74">
        <f ca="1">IF(EOMONTH(BW6,0)&gt;EOMONTH($AR$2,0),0,IF(EOMONTH(BW6,0)&gt;=EOMONTH($AP$2,0),(IF($BX$3=1,IF(MONTH($AP$2)=BX6,1,0),IF($BX$3=2,IF(OR(MONTH($AP$2)=BX6,MONTH($AP$2)+6=BX6,MONTH($AP$2)-6=BX6),1,0),IF($BX$3=4,IF(OR(MONTH($AP$2)=BX6,MONTH($AP$2)+3=BX6,MONTH($AP$2)+6=BX6,MONTH($AP$2)+9=BX6,MONTH($AP$2)-9=BX6,MONTH($AP$2)-3=BX6,MONTH($AP$2)-6=BX6),1,0),IF($BX$3=6,IF(OR(MONTH($AP$2)=BX6,MONTH($AP$2)+2=BX6,MONTH($AP$2)+4=BX6,MONTH($AP$2)+6=BX6,MONTH($AP$2)+8=BX6,MONTH($AP$2)+10=BX6,MONTH($AP$2)-2=BX6,MONTH($AP$2)-4=BX6,MONTH($AP$2)-6=BX6,MONTH($AP$2)-8=BX6,MONTH($AP$2)-10=BX6),1,0),IF($BX$3=12,1,IF(AND($BX$3=0,EOMONTH(BW6,0)=EOMONTH($AR$2,0)),1,0))))))),0))</f>
        <v>0</v>
      </c>
      <c r="BZ6" s="73" t="str">
        <f ca="1">IF(BY6=1,BW6," ")</f>
        <v xml:space="preserve"> </v>
      </c>
      <c r="CB6" s="75">
        <f ca="1">AN2</f>
        <v>43465</v>
      </c>
      <c r="CC6" s="74">
        <f ca="1">MONTH(CB6)</f>
        <v>12</v>
      </c>
      <c r="CD6" s="74">
        <f ca="1">IF(EOMONTH(CB6,0)&gt;EOMONTH($AR$2,0),0,IF(EOMONTH(BR6,0)&gt;=EOMONTH($AO$2,0),IF($CC$3=1,IF(MONTH($AO$2)=CC6,1,0),IF($CC$3=2,IF(OR(MONTH($AO$2)=CC6,MONTH($AO$2)+6=CC6),1,0),IF($CC$3=4,IF(OR(MONTH($AO$2)=CC6,MONTH($AO$2)+3=CC6,MONTH($AO$2)+6=CC6,MONTH($AO$2)+9=CC6,MONTH($AO$2)-9=CC6,MONTH($AO$2)-3=CC6,MONTH($AO$2)-6=CC6),1,0),IF($CC$3=6,IF(OR(MONTH($AO$2)=CC6,MONTH($AO$2)+2=CC6,MONTH($AO$2)+4=CC6,MONTH($AO$2)+6=CC6,MONTH($AO$2)+8=CC6,MONTH($AO$2)+10=CC6,MONTH($AO$2)-2=CC6,MONTH($AO$2)-4=CC6,MONTH($AO$2)-6=CC6,MONTH($AO$2)-8=CC6,MONTH($AO$2)-10=CC6),1,0),IF($CC$3=12,1,IF(AND($CC$3=0,EOMONTH(CB6,0)=EOMONTH($AR$2,0)),1,0)))))),0))</f>
        <v>0</v>
      </c>
      <c r="CE6" s="73" t="str">
        <f ca="1">IF(CD6=1,CB6," ")</f>
        <v xml:space="preserve"> </v>
      </c>
    </row>
    <row r="7" spans="1:93" x14ac:dyDescent="0.2">
      <c r="A7" s="38">
        <f>IF(B7=0," ",A6+1)</f>
        <v>4</v>
      </c>
      <c r="B7" s="108" t="s">
        <v>306</v>
      </c>
      <c r="C7" s="38" t="s">
        <v>806</v>
      </c>
      <c r="D7" s="137">
        <v>43465</v>
      </c>
      <c r="E7" s="137">
        <v>30864</v>
      </c>
      <c r="F7" s="137">
        <v>29587</v>
      </c>
      <c r="G7" s="122">
        <v>15</v>
      </c>
      <c r="H7" s="137">
        <v>45291</v>
      </c>
      <c r="I7" s="50">
        <v>37856164.390000001</v>
      </c>
      <c r="J7" s="50">
        <v>37856164.390000001</v>
      </c>
      <c r="K7" s="50">
        <v>0</v>
      </c>
      <c r="L7" s="38">
        <v>1</v>
      </c>
      <c r="M7" s="38">
        <v>2</v>
      </c>
      <c r="N7" s="38">
        <v>2</v>
      </c>
      <c r="O7" s="50">
        <v>20000000</v>
      </c>
      <c r="P7" s="218">
        <v>0.02</v>
      </c>
      <c r="Q7" s="50">
        <v>14946219.880000001</v>
      </c>
      <c r="R7" s="50">
        <v>934325.65575730358</v>
      </c>
      <c r="S7" s="38" t="s">
        <v>62</v>
      </c>
      <c r="T7" s="51">
        <v>2.2499999999999999E-2</v>
      </c>
      <c r="U7" s="65">
        <v>0.45</v>
      </c>
      <c r="V7" s="105" t="s">
        <v>493</v>
      </c>
      <c r="W7" s="66">
        <v>805896.0438199233</v>
      </c>
      <c r="X7" s="66">
        <v>200038.44990825109</v>
      </c>
      <c r="Y7" s="38" t="s">
        <v>238</v>
      </c>
      <c r="Z7" s="66">
        <f t="shared" si="0"/>
        <v>20000000</v>
      </c>
      <c r="AA7" s="78"/>
      <c r="AC7" s="41">
        <f>VLOOKUP(A7,'Input Sheet'!$A$2:$B$232,2,0)</f>
        <v>1004</v>
      </c>
      <c r="AD7" s="259">
        <f t="shared" si="1"/>
        <v>20000000</v>
      </c>
      <c r="AI7" s="68"/>
      <c r="AL7" s="107">
        <f ca="1">IF(BU7&gt;0,AL6+1," ")</f>
        <v>2</v>
      </c>
      <c r="AM7" s="49">
        <f ca="1">EOMONTH(AM6,1)</f>
        <v>43496</v>
      </c>
      <c r="AN7" s="137" t="str">
        <f t="shared" ref="AN7:AN70" ca="1" si="9">CE7</f>
        <v xml:space="preserve"> </v>
      </c>
      <c r="AO7" s="107">
        <f t="shared" ref="AO7:AO70" ca="1" si="10">IF(EOMONTH(AM7,0)=EOMONTH($AN$2,12),1,0)</f>
        <v>0</v>
      </c>
      <c r="AP7" s="143">
        <f t="shared" ca="1" si="2"/>
        <v>0</v>
      </c>
      <c r="AQ7" s="143">
        <f t="shared" ref="AQ7:AQ70" ca="1" si="11">IF(AND(AP7&gt;0,AM7&lt;=$AR$2),AQ6+AP7,0)</f>
        <v>0</v>
      </c>
      <c r="AR7" s="49" t="str">
        <f t="shared" ca="1" si="3"/>
        <v xml:space="preserve"> </v>
      </c>
      <c r="AS7" s="107">
        <f t="shared" ca="1" si="4"/>
        <v>0</v>
      </c>
      <c r="AT7" s="107">
        <f t="shared" ca="1" si="5"/>
        <v>0</v>
      </c>
      <c r="AU7" s="107"/>
      <c r="AV7" s="107">
        <f ca="1">MAX(SUM($AQ$6:AQ7)-SUM($AT$6:AT7),0)</f>
        <v>4500000</v>
      </c>
      <c r="AW7" s="107">
        <f ca="1">IFERROR(IF(AND(AV6&gt;0,AM7&lt;=$AR$2),(AV6*($AZ$2*(DATEDIF(AM7,$AR$2,"d")/365)))/(DATEDIF(AM7,$AR$2,"m")),0),0)</f>
        <v>13128.04736475505</v>
      </c>
      <c r="AX7" s="107">
        <v>0</v>
      </c>
      <c r="AY7" s="138" t="str">
        <f t="shared" ca="1" si="6"/>
        <v xml:space="preserve"> </v>
      </c>
      <c r="AZ7" s="107">
        <f t="shared" ca="1" si="7"/>
        <v>0</v>
      </c>
      <c r="BA7" s="107">
        <f ca="1">IF(AZ7=1,(SUM($AW$6:AW7,$AX$6:AX7)-SUM($BA$6:BA6)),0)</f>
        <v>0</v>
      </c>
      <c r="BB7" s="107"/>
      <c r="BC7" s="107">
        <f ca="1">AV7+SUM($AW$6:AW7)+SUM($AX$6:AX7)-SUM($BA$6:BA7)</f>
        <v>7803205.3773647547</v>
      </c>
      <c r="BD7" s="107">
        <f t="shared" ref="BD7:BD70" ca="1" si="12">IF(AL7&gt;0,AM7-AM6,0)</f>
        <v>31</v>
      </c>
      <c r="BE7" s="51">
        <f ca="1">'PiT PD Structure'!J47</f>
        <v>3.4181204361272144E-5</v>
      </c>
      <c r="BF7" s="139">
        <f ca="1">BF6</f>
        <v>0.45</v>
      </c>
      <c r="BG7" s="51">
        <f t="shared" ref="BG7:BG70" ca="1" si="13">1/(1+$BE$2)^(BD7/360)</f>
        <v>0.99792836329088741</v>
      </c>
      <c r="BH7" s="50">
        <f t="shared" ca="1" si="8"/>
        <v>119.77668207287833</v>
      </c>
      <c r="BI7" s="50">
        <f ca="1">SUM(BH7:BH241)</f>
        <v>3645.6299384471326</v>
      </c>
      <c r="BJ7" s="140">
        <v>1</v>
      </c>
      <c r="BK7" s="50">
        <f ca="1">BJ7*BH7</f>
        <v>119.77668207287833</v>
      </c>
      <c r="BM7" s="67"/>
      <c r="BR7" s="75">
        <f ca="1">EOMONTH(BR6,1)</f>
        <v>43496</v>
      </c>
      <c r="BS7" s="74">
        <f t="shared" ref="BS7:BS70" ca="1" si="14">MONTH(BR7)</f>
        <v>1</v>
      </c>
      <c r="BT7" s="74">
        <f t="shared" ref="BT7:BT70" ca="1" si="15">IF(EOMONTH(BR7,0)&gt;EOMONTH($AR$2,0),0,IF(EOMONTH(BR7,0)&gt;=EOMONTH($AO$2,0),(IF($BS$3=1,IF(MONTH($AO$2)=BS7,1,0),IF($BS$3=2,IF(OR(MONTH($AO$2)=BS7,MONTH($AO$2)+6=BS7,MONTH($AO$2)-6=BS7),1,0),IF($BS$3=4,IF(OR(MONTH($AO$2)=BS7,MONTH($AO$2)+3=BS7,MONTH($AO$2)+6=BS7,MONTH($AO$2)+9=BS7,MONTH($AO$2)-9=BS7,MONTH($AO$2)-3=BS7,MONTH($AO$2)-6=BS7),1,0),IF($BS$3=6,IF(OR(MONTH($AO$2)=BS7,MONTH($AO$2)+2=BS7,MONTH($AO$2)+4=BS7,MONTH($AO$2)+6=BS7,MONTH($AO$2)+8=BS7,MONTH($AO$2)+10=BS7,MONTH($AO$2)-2=BS7,MONTH($AO$2)-4=BS7,MONTH($AO$2)-6=BS7,MONTH($AO$2)-8=BS7,MONTH($AO$2)-10=BS7),1,0),IF($BS$3=12,1,IF(AND($BS$3=0,EOMONTH(BR7,0)=EOMONTH($AR$2,0)),1,0))))))),0))</f>
        <v>0</v>
      </c>
      <c r="BU7" s="73" t="str">
        <f t="shared" ref="BU7:BU70" ca="1" si="16">IF(BT7=1,BR7," ")</f>
        <v xml:space="preserve"> </v>
      </c>
      <c r="BW7" s="75">
        <f ca="1">EOMONTH(BR6,1)</f>
        <v>43496</v>
      </c>
      <c r="BX7" s="74">
        <f ca="1">MONTH(BR7)</f>
        <v>1</v>
      </c>
      <c r="BY7" s="74">
        <f t="shared" ref="BY7:BY70" ca="1" si="17">IF(EOMONTH(BW7,0)&gt;EOMONTH($AR$2,0),0,IF(EOMONTH(BW7,0)&gt;=EOMONTH($AP$2,0),(IF($BX$3=1,IF(MONTH($AP$2)=BX7,1,0),IF($BX$3=2,IF(OR(MONTH($AP$2)=BX7,MONTH($AP$2)+6=BX7,MONTH($AP$2)-6=BX7),1,0),IF($BX$3=4,IF(OR(MONTH($AP$2)=BX7,MONTH($AP$2)+3=BX7,MONTH($AP$2)+6=BX7,MONTH($AP$2)+9=BX7,MONTH($AP$2)-9=BX7,MONTH($AP$2)-3=BX7,MONTH($AP$2)-6=BX7),1,0),IF($BX$3=6,IF(OR(MONTH($AP$2)=BX7,MONTH($AP$2)+2=BX7,MONTH($AP$2)+4=BX7,MONTH($AP$2)+6=BX7,MONTH($AP$2)+8=BX7,MONTH($AP$2)+10=BX7,MONTH($AP$2)-2=BX7,MONTH($AP$2)-4=BX7,MONTH($AP$2)-6=BX7,MONTH($AP$2)-8=BX7,MONTH($AP$2)-10=BX7),1,0),IF($BX$3=12,1,IF(AND($BX$3=0,EOMONTH(BW7,0)=EOMONTH($AR$2,0)),1,0))))))),0))</f>
        <v>0</v>
      </c>
      <c r="BZ7" s="73" t="str">
        <f t="shared" ref="BZ7:BZ70" ca="1" si="18">IF(BY7=1,BW7," ")</f>
        <v xml:space="preserve"> </v>
      </c>
      <c r="CB7" s="75">
        <f ca="1">EOMONTH(CB6,1)</f>
        <v>43496</v>
      </c>
      <c r="CC7" s="74">
        <f t="shared" ref="CC7:CC70" ca="1" si="19">MONTH(CB7)</f>
        <v>1</v>
      </c>
      <c r="CD7" s="74">
        <f t="shared" ref="CD7:CD70" ca="1" si="20">IF(EOMONTH(CB7,0)&gt;EOMONTH($AR$2,0),0,IF(EOMONTH(BR7,0)&gt;=EOMONTH($AO$2,0),IF($CC$3=1,IF(MONTH($AO$2)=CC7,1,0),IF($CC$3=2,IF(OR(MONTH($AO$2)=CC7,MONTH($AO$2)+6=CC7),1,0),IF($CC$3=4,IF(OR(MONTH($AO$2)=CC7,MONTH($AO$2)+3=CC7,MONTH($AO$2)+6=CC7,MONTH($AO$2)+9=CC7,MONTH($AO$2)-9=CC7,MONTH($AO$2)-3=CC7,MONTH($AO$2)-6=CC7),1,0),IF($CC$3=6,IF(OR(MONTH($AO$2)=CC7,MONTH($AO$2)+2=CC7,MONTH($AO$2)+4=CC7,MONTH($AO$2)+6=CC7,MONTH($AO$2)+8=CC7,MONTH($AO$2)+10=CC7,MONTH($AO$2)-2=CC7,MONTH($AO$2)-4=CC7,MONTH($AO$2)-6=CC7,MONTH($AO$2)-8=CC7,MONTH($AO$2)-10=CC7),1,0),IF($CC$3=12,1,IF(AND($CC$3=0,EOMONTH(CB7,0)=EOMONTH($AR$2,0)),1,0)))))),0))</f>
        <v>0</v>
      </c>
      <c r="CE7" s="73" t="str">
        <f t="shared" ref="CE7:CE70" ca="1" si="21">IF(CD7=1,CB7," ")</f>
        <v xml:space="preserve"> </v>
      </c>
    </row>
    <row r="8" spans="1:93" x14ac:dyDescent="0.2">
      <c r="A8" s="38">
        <f>IF(B8=0," ",A7+1)</f>
        <v>5</v>
      </c>
      <c r="B8" s="108" t="s">
        <v>313</v>
      </c>
      <c r="C8" s="38" t="s">
        <v>806</v>
      </c>
      <c r="D8" s="137">
        <v>43465</v>
      </c>
      <c r="E8" s="137">
        <v>31167</v>
      </c>
      <c r="F8" s="137">
        <v>29706</v>
      </c>
      <c r="G8" s="122">
        <v>15</v>
      </c>
      <c r="H8" s="137">
        <v>45291</v>
      </c>
      <c r="I8" s="50">
        <v>60000000</v>
      </c>
      <c r="J8" s="50">
        <v>60000000</v>
      </c>
      <c r="K8" s="50">
        <v>0</v>
      </c>
      <c r="L8" s="38">
        <v>1</v>
      </c>
      <c r="M8" s="38">
        <v>2</v>
      </c>
      <c r="N8" s="38">
        <v>2</v>
      </c>
      <c r="O8" s="50">
        <v>30000000</v>
      </c>
      <c r="P8" s="218">
        <v>3.5000000000000003E-2</v>
      </c>
      <c r="Q8" s="50">
        <v>28002138.890000001</v>
      </c>
      <c r="R8" s="50">
        <v>2715623.4659231957</v>
      </c>
      <c r="S8" s="38" t="s">
        <v>62</v>
      </c>
      <c r="T8" s="51">
        <v>3.3636363636363638E-2</v>
      </c>
      <c r="U8" s="65">
        <v>0.45</v>
      </c>
      <c r="V8" s="105" t="s">
        <v>478</v>
      </c>
      <c r="W8" s="66">
        <v>2652412.2356784958</v>
      </c>
      <c r="X8" s="66">
        <v>777466.39147789811</v>
      </c>
      <c r="Y8" s="38" t="s">
        <v>238</v>
      </c>
      <c r="Z8" s="66">
        <f t="shared" si="0"/>
        <v>30000000</v>
      </c>
      <c r="AA8" s="78"/>
      <c r="AC8" s="41">
        <f>VLOOKUP(A8,'Input Sheet'!$A$2:$B$232,2,0)</f>
        <v>1005</v>
      </c>
      <c r="AD8" s="259">
        <f t="shared" si="1"/>
        <v>30000000</v>
      </c>
      <c r="AI8" s="68"/>
      <c r="AL8" s="107">
        <f t="shared" ref="AL8:AL71" ca="1" si="22">IF(AM8&lt;=$AR$2,AL7+1,0)</f>
        <v>3</v>
      </c>
      <c r="AM8" s="49">
        <f t="shared" ref="AM8:AM71" ca="1" si="23">EOMONTH(AM7,1)</f>
        <v>43524</v>
      </c>
      <c r="AN8" s="137" t="str">
        <f t="shared" ca="1" si="9"/>
        <v xml:space="preserve"> </v>
      </c>
      <c r="AO8" s="107">
        <f t="shared" ca="1" si="10"/>
        <v>0</v>
      </c>
      <c r="AP8" s="143">
        <f t="shared" ca="1" si="2"/>
        <v>0</v>
      </c>
      <c r="AQ8" s="143">
        <f t="shared" ca="1" si="11"/>
        <v>0</v>
      </c>
      <c r="AR8" s="49" t="str">
        <f t="shared" ca="1" si="3"/>
        <v xml:space="preserve"> </v>
      </c>
      <c r="AS8" s="107">
        <f t="shared" ca="1" si="4"/>
        <v>0</v>
      </c>
      <c r="AT8" s="107">
        <f t="shared" ca="1" si="5"/>
        <v>0</v>
      </c>
      <c r="AU8" s="107"/>
      <c r="AV8" s="107">
        <f ca="1">MAX(SUM($AQ$6:AQ8)-SUM($AT$6:AT8),0)</f>
        <v>4500000</v>
      </c>
      <c r="AW8" s="107">
        <f t="shared" ref="AW8:AW71" ca="1" si="24">IFERROR(IF(AND(AV7&gt;0,AM8&lt;=$AR$2),(AV7*($AZ$2*(DATEDIF(AM8,$AR$2,"d")/365)))/(DATEDIF(AM8,$AR$2,"m")),0),0)</f>
        <v>13146.079357581486</v>
      </c>
      <c r="AX8" s="107">
        <v>0</v>
      </c>
      <c r="AY8" s="138" t="str">
        <f t="shared" ca="1" si="6"/>
        <v xml:space="preserve"> </v>
      </c>
      <c r="AZ8" s="107">
        <f t="shared" ca="1" si="7"/>
        <v>0</v>
      </c>
      <c r="BA8" s="107">
        <f ca="1">IF(AZ8=1,(SUM($AW$6:AW8,$AX$6:AX8)-SUM($BA$6:BA7)),0)</f>
        <v>0</v>
      </c>
      <c r="BB8" s="107"/>
      <c r="BC8" s="107">
        <f ca="1">AV8+SUM($AW$6:AW8)+SUM($AX$6:AX8)-SUM($BA$6:BA8)</f>
        <v>7816351.4567223368</v>
      </c>
      <c r="BD8" s="107">
        <f t="shared" ca="1" si="12"/>
        <v>28</v>
      </c>
      <c r="BE8" s="51">
        <f ca="1">'PiT PD Structure'!J48</f>
        <v>3.4180035966668854E-5</v>
      </c>
      <c r="BF8" s="139">
        <f t="shared" ref="BF8:BF71" ca="1" si="25">BF7</f>
        <v>0.45</v>
      </c>
      <c r="BG8" s="51">
        <f t="shared" ca="1" si="13"/>
        <v>0.99812865655496519</v>
      </c>
      <c r="BH8" s="50">
        <f t="shared" ca="1" si="8"/>
        <v>119.99844893908177</v>
      </c>
      <c r="BI8" s="50">
        <f ca="1">BI7-BH7</f>
        <v>3525.8532563742542</v>
      </c>
      <c r="BJ8" s="140">
        <v>1</v>
      </c>
      <c r="BK8" s="50">
        <f t="shared" ref="BK8:BK18" ca="1" si="26">BJ8*BH8</f>
        <v>119.99844893908177</v>
      </c>
      <c r="BM8" s="76"/>
      <c r="BR8" s="75">
        <f t="shared" ref="BR8:BR66" ca="1" si="27">EOMONTH(BR7,1)</f>
        <v>43524</v>
      </c>
      <c r="BS8" s="74">
        <f t="shared" ca="1" si="14"/>
        <v>2</v>
      </c>
      <c r="BT8" s="74">
        <f t="shared" ca="1" si="15"/>
        <v>0</v>
      </c>
      <c r="BU8" s="73" t="str">
        <f t="shared" ca="1" si="16"/>
        <v xml:space="preserve"> </v>
      </c>
      <c r="BW8" s="75">
        <f t="shared" ref="BW8:BW71" ca="1" si="28">EOMONTH(BR7,1)</f>
        <v>43524</v>
      </c>
      <c r="BX8" s="74">
        <f t="shared" ref="BX8:BX71" ca="1" si="29">MONTH(BR8)</f>
        <v>2</v>
      </c>
      <c r="BY8" s="74">
        <f t="shared" ca="1" si="17"/>
        <v>0</v>
      </c>
      <c r="BZ8" s="73" t="str">
        <f t="shared" ca="1" si="18"/>
        <v xml:space="preserve"> </v>
      </c>
      <c r="CB8" s="75">
        <f t="shared" ref="CB8:CB71" ca="1" si="30">EOMONTH(CB7,1)</f>
        <v>43524</v>
      </c>
      <c r="CC8" s="74">
        <f t="shared" ca="1" si="19"/>
        <v>2</v>
      </c>
      <c r="CD8" s="74">
        <f t="shared" ca="1" si="20"/>
        <v>0</v>
      </c>
      <c r="CE8" s="73" t="str">
        <f t="shared" ca="1" si="21"/>
        <v xml:space="preserve"> </v>
      </c>
    </row>
    <row r="9" spans="1:93" x14ac:dyDescent="0.2">
      <c r="A9" s="38">
        <f>IF(B9=0," ",A8+1)</f>
        <v>6</v>
      </c>
      <c r="B9" s="108" t="s">
        <v>314</v>
      </c>
      <c r="C9" s="38" t="s">
        <v>806</v>
      </c>
      <c r="D9" s="137">
        <v>43465</v>
      </c>
      <c r="E9" s="137">
        <v>31167</v>
      </c>
      <c r="F9" s="137">
        <v>29706</v>
      </c>
      <c r="G9" s="122">
        <v>15</v>
      </c>
      <c r="H9" s="137">
        <v>45291</v>
      </c>
      <c r="I9" s="50">
        <v>109301465.81</v>
      </c>
      <c r="J9" s="50">
        <v>109301465.81</v>
      </c>
      <c r="K9" s="50">
        <v>0</v>
      </c>
      <c r="L9" s="38">
        <v>1</v>
      </c>
      <c r="M9" s="38">
        <v>2</v>
      </c>
      <c r="N9" s="38">
        <v>2</v>
      </c>
      <c r="O9" s="50">
        <v>53051465.810000002</v>
      </c>
      <c r="P9" s="218">
        <v>3.5000000000000003E-2</v>
      </c>
      <c r="Q9" s="50">
        <v>49518711.409999996</v>
      </c>
      <c r="R9" s="50">
        <v>4802260.1818419369</v>
      </c>
      <c r="S9" s="38" t="s">
        <v>62</v>
      </c>
      <c r="T9" s="51">
        <v>3.3636363636363638E-2</v>
      </c>
      <c r="U9" s="65">
        <v>0.45</v>
      </c>
      <c r="V9" s="105" t="s">
        <v>478</v>
      </c>
      <c r="W9" s="66">
        <v>4690480.1812502127</v>
      </c>
      <c r="X9" s="66">
        <v>1374859.3362765599</v>
      </c>
      <c r="Y9" s="38" t="s">
        <v>238</v>
      </c>
      <c r="Z9" s="66">
        <f t="shared" si="0"/>
        <v>53051465.810000002</v>
      </c>
      <c r="AA9" s="78"/>
      <c r="AC9" s="41">
        <f>VLOOKUP(A9,'Input Sheet'!$A$2:$B$232,2,0)</f>
        <v>1006</v>
      </c>
      <c r="AD9" s="259">
        <f t="shared" si="1"/>
        <v>53051465.810000002</v>
      </c>
      <c r="AI9" s="68"/>
      <c r="AL9" s="107">
        <f t="shared" ca="1" si="22"/>
        <v>4</v>
      </c>
      <c r="AM9" s="49">
        <f t="shared" ca="1" si="23"/>
        <v>43555</v>
      </c>
      <c r="AN9" s="137" t="str">
        <f t="shared" ca="1" si="9"/>
        <v xml:space="preserve"> </v>
      </c>
      <c r="AO9" s="107">
        <f t="shared" ca="1" si="10"/>
        <v>0</v>
      </c>
      <c r="AP9" s="143">
        <f t="shared" ca="1" si="2"/>
        <v>0</v>
      </c>
      <c r="AQ9" s="143">
        <f t="shared" ca="1" si="11"/>
        <v>0</v>
      </c>
      <c r="AR9" s="49" t="str">
        <f t="shared" ca="1" si="3"/>
        <v xml:space="preserve"> </v>
      </c>
      <c r="AS9" s="107">
        <f t="shared" ca="1" si="4"/>
        <v>0</v>
      </c>
      <c r="AT9" s="107">
        <f t="shared" ca="1" si="5"/>
        <v>0</v>
      </c>
      <c r="AU9" s="107"/>
      <c r="AV9" s="107">
        <f ca="1">MAX(SUM($AQ$6:AQ9)-SUM($AT$6:AT9),0)</f>
        <v>4500000</v>
      </c>
      <c r="AW9" s="107">
        <f t="shared" ca="1" si="24"/>
        <v>13142.033165104544</v>
      </c>
      <c r="AX9" s="107">
        <v>0</v>
      </c>
      <c r="AY9" s="138" t="str">
        <f t="shared" ca="1" si="6"/>
        <v xml:space="preserve"> </v>
      </c>
      <c r="AZ9" s="107">
        <f t="shared" ca="1" si="7"/>
        <v>0</v>
      </c>
      <c r="BA9" s="107">
        <f ca="1">IF(AZ9=1,(SUM($AW$6:AW9,$AX$6:AX9)-SUM($BA$6:BA8)),0)</f>
        <v>0</v>
      </c>
      <c r="BB9" s="107"/>
      <c r="BC9" s="107">
        <f ca="1">AV9+SUM($AW$6:AW9)+SUM($AX$6:AX9)-SUM($BA$6:BA9)</f>
        <v>7829493.4898874415</v>
      </c>
      <c r="BD9" s="107">
        <f t="shared" ca="1" si="12"/>
        <v>31</v>
      </c>
      <c r="BE9" s="51">
        <f ca="1">'PiT PD Structure'!J49</f>
        <v>3.417886761192257E-5</v>
      </c>
      <c r="BF9" s="139">
        <f t="shared" ca="1" si="25"/>
        <v>0.45</v>
      </c>
      <c r="BG9" s="51">
        <f t="shared" ca="1" si="13"/>
        <v>0.99792836329088741</v>
      </c>
      <c r="BH9" s="50">
        <f t="shared" ca="1" si="8"/>
        <v>120.17198016099933</v>
      </c>
      <c r="BI9" s="50">
        <f t="shared" ref="BI9:BI72" ca="1" si="31">BI8-BH8</f>
        <v>3405.8548074351725</v>
      </c>
      <c r="BJ9" s="140">
        <v>1</v>
      </c>
      <c r="BK9" s="50">
        <f t="shared" ca="1" si="26"/>
        <v>120.17198016099933</v>
      </c>
      <c r="BM9" s="76"/>
      <c r="BR9" s="75">
        <f t="shared" ca="1" si="27"/>
        <v>43555</v>
      </c>
      <c r="BS9" s="74">
        <f t="shared" ca="1" si="14"/>
        <v>3</v>
      </c>
      <c r="BT9" s="74">
        <f t="shared" ca="1" si="15"/>
        <v>0</v>
      </c>
      <c r="BU9" s="73" t="str">
        <f t="shared" ca="1" si="16"/>
        <v xml:space="preserve"> </v>
      </c>
      <c r="BW9" s="75">
        <f t="shared" ca="1" si="28"/>
        <v>43555</v>
      </c>
      <c r="BX9" s="74">
        <f t="shared" ca="1" si="29"/>
        <v>3</v>
      </c>
      <c r="BY9" s="74">
        <f t="shared" ca="1" si="17"/>
        <v>0</v>
      </c>
      <c r="BZ9" s="73" t="str">
        <f t="shared" ca="1" si="18"/>
        <v xml:space="preserve"> </v>
      </c>
      <c r="CB9" s="75">
        <f t="shared" ca="1" si="30"/>
        <v>43555</v>
      </c>
      <c r="CC9" s="74">
        <f t="shared" ca="1" si="19"/>
        <v>3</v>
      </c>
      <c r="CD9" s="74">
        <f t="shared" ca="1" si="20"/>
        <v>0</v>
      </c>
      <c r="CE9" s="73" t="str">
        <f t="shared" ca="1" si="21"/>
        <v xml:space="preserve"> </v>
      </c>
    </row>
    <row r="10" spans="1:93" x14ac:dyDescent="0.2">
      <c r="A10" s="38">
        <f t="shared" ref="A10:A73" si="32">IF(B10=0," ",A9+1)</f>
        <v>7</v>
      </c>
      <c r="B10" s="108" t="s">
        <v>315</v>
      </c>
      <c r="C10" s="38" t="s">
        <v>806</v>
      </c>
      <c r="D10" s="137">
        <v>43465</v>
      </c>
      <c r="E10" s="137">
        <v>32416</v>
      </c>
      <c r="F10" s="137">
        <v>29675</v>
      </c>
      <c r="G10" s="122">
        <v>15</v>
      </c>
      <c r="H10" s="137">
        <v>45291</v>
      </c>
      <c r="I10" s="50">
        <v>37500000</v>
      </c>
      <c r="J10" s="50">
        <v>37500000</v>
      </c>
      <c r="K10" s="50">
        <v>0</v>
      </c>
      <c r="L10" s="38">
        <v>1</v>
      </c>
      <c r="M10" s="38">
        <v>2</v>
      </c>
      <c r="N10" s="38">
        <v>2</v>
      </c>
      <c r="O10" s="50">
        <v>27500000</v>
      </c>
      <c r="P10" s="218">
        <v>3.5000000000000003E-2</v>
      </c>
      <c r="Q10" s="50">
        <v>25747603.48</v>
      </c>
      <c r="R10" s="50">
        <v>2408965.8709579902</v>
      </c>
      <c r="S10" s="38" t="s">
        <v>62</v>
      </c>
      <c r="T10" s="51">
        <v>3.3636363636363638E-2</v>
      </c>
      <c r="U10" s="65">
        <v>0.45</v>
      </c>
      <c r="V10" s="105" t="s">
        <v>478</v>
      </c>
      <c r="W10" s="66">
        <v>2341462.2709337408</v>
      </c>
      <c r="X10" s="66">
        <v>658153.30356667284</v>
      </c>
      <c r="Y10" s="38" t="s">
        <v>238</v>
      </c>
      <c r="Z10" s="66">
        <f t="shared" si="0"/>
        <v>27500000</v>
      </c>
      <c r="AA10" s="78"/>
      <c r="AC10" s="41">
        <f>VLOOKUP(A10,'Input Sheet'!$A$2:$B$232,2,0)</f>
        <v>1007</v>
      </c>
      <c r="AD10" s="259">
        <f t="shared" si="1"/>
        <v>27500000</v>
      </c>
      <c r="AI10" s="68"/>
      <c r="AL10" s="107">
        <f t="shared" ca="1" si="22"/>
        <v>5</v>
      </c>
      <c r="AM10" s="49">
        <f t="shared" ca="1" si="23"/>
        <v>43585</v>
      </c>
      <c r="AN10" s="137" t="str">
        <f t="shared" ca="1" si="9"/>
        <v xml:space="preserve"> </v>
      </c>
      <c r="AO10" s="107">
        <f t="shared" ca="1" si="10"/>
        <v>0</v>
      </c>
      <c r="AP10" s="143">
        <f t="shared" ca="1" si="2"/>
        <v>0</v>
      </c>
      <c r="AQ10" s="143">
        <f t="shared" ca="1" si="11"/>
        <v>0</v>
      </c>
      <c r="AR10" s="49" t="str">
        <f t="shared" ca="1" si="3"/>
        <v xml:space="preserve"> </v>
      </c>
      <c r="AS10" s="107">
        <f t="shared" ca="1" si="4"/>
        <v>0</v>
      </c>
      <c r="AT10" s="107">
        <f t="shared" ca="1" si="5"/>
        <v>0</v>
      </c>
      <c r="AU10" s="107"/>
      <c r="AV10" s="107">
        <f ca="1">MAX(SUM($AQ$6:AQ10)-SUM($AT$6:AT10),0)</f>
        <v>4500000</v>
      </c>
      <c r="AW10" s="107">
        <f t="shared" ca="1" si="24"/>
        <v>13145.547945205481</v>
      </c>
      <c r="AX10" s="107">
        <v>0</v>
      </c>
      <c r="AY10" s="138">
        <f t="shared" ca="1" si="6"/>
        <v>43585</v>
      </c>
      <c r="AZ10" s="107">
        <f t="shared" ca="1" si="7"/>
        <v>1</v>
      </c>
      <c r="BA10" s="107">
        <f ca="1">IF(AZ10=1,(SUM($AW$6:AW10,$AX$6:AX10)-SUM($BA$6:BA9)),0)</f>
        <v>3342639.0378326466</v>
      </c>
      <c r="BB10" s="107"/>
      <c r="BC10" s="107">
        <f ca="1">AV10+SUM($AW$6:AW10)+SUM($AX$6:AX10)-SUM($BA$6:BA10)</f>
        <v>4500000</v>
      </c>
      <c r="BD10" s="107">
        <f t="shared" ca="1" si="12"/>
        <v>30</v>
      </c>
      <c r="BE10" s="51">
        <f ca="1">'PiT PD Structure'!J50</f>
        <v>3.4177699297144315E-5</v>
      </c>
      <c r="BF10" s="139">
        <f t="shared" ca="1" si="25"/>
        <v>0.45</v>
      </c>
      <c r="BG10" s="51">
        <f t="shared" ca="1" si="13"/>
        <v>0.99799512324600315</v>
      </c>
      <c r="BH10" s="50">
        <f t="shared" ca="1" si="8"/>
        <v>69.071083875194716</v>
      </c>
      <c r="BI10" s="50">
        <f t="shared" ca="1" si="31"/>
        <v>3285.6828272741732</v>
      </c>
      <c r="BJ10" s="140">
        <v>1</v>
      </c>
      <c r="BK10" s="50">
        <f t="shared" ca="1" si="26"/>
        <v>69.071083875194716</v>
      </c>
      <c r="BM10" s="76"/>
      <c r="BR10" s="75">
        <f t="shared" ca="1" si="27"/>
        <v>43585</v>
      </c>
      <c r="BS10" s="74">
        <f t="shared" ca="1" si="14"/>
        <v>4</v>
      </c>
      <c r="BT10" s="74">
        <f t="shared" ca="1" si="15"/>
        <v>0</v>
      </c>
      <c r="BU10" s="73" t="str">
        <f t="shared" ca="1" si="16"/>
        <v xml:space="preserve"> </v>
      </c>
      <c r="BW10" s="75">
        <f t="shared" ca="1" si="28"/>
        <v>43585</v>
      </c>
      <c r="BX10" s="74">
        <f t="shared" ca="1" si="29"/>
        <v>4</v>
      </c>
      <c r="BY10" s="74">
        <f t="shared" ca="1" si="17"/>
        <v>1</v>
      </c>
      <c r="BZ10" s="73">
        <f t="shared" ca="1" si="18"/>
        <v>43585</v>
      </c>
      <c r="CB10" s="75">
        <f t="shared" ca="1" si="30"/>
        <v>43585</v>
      </c>
      <c r="CC10" s="74">
        <f t="shared" ca="1" si="19"/>
        <v>4</v>
      </c>
      <c r="CD10" s="74">
        <f t="shared" ca="1" si="20"/>
        <v>0</v>
      </c>
      <c r="CE10" s="73" t="str">
        <f t="shared" ca="1" si="21"/>
        <v xml:space="preserve"> </v>
      </c>
    </row>
    <row r="11" spans="1:93" x14ac:dyDescent="0.2">
      <c r="A11" s="38">
        <f t="shared" si="32"/>
        <v>8</v>
      </c>
      <c r="B11" s="108" t="s">
        <v>317</v>
      </c>
      <c r="C11" s="38" t="s">
        <v>806</v>
      </c>
      <c r="D11" s="137">
        <v>43465</v>
      </c>
      <c r="E11" s="137">
        <v>31897</v>
      </c>
      <c r="F11" s="137">
        <v>29706</v>
      </c>
      <c r="G11" s="122">
        <v>20</v>
      </c>
      <c r="H11" s="137">
        <v>45291</v>
      </c>
      <c r="I11" s="50">
        <v>14610982.800000001</v>
      </c>
      <c r="J11" s="50">
        <v>14610982.800000001</v>
      </c>
      <c r="K11" s="50">
        <v>0</v>
      </c>
      <c r="L11" s="38">
        <v>1</v>
      </c>
      <c r="M11" s="38">
        <v>2</v>
      </c>
      <c r="N11" s="38">
        <v>2</v>
      </c>
      <c r="O11" s="50">
        <v>9800000</v>
      </c>
      <c r="P11" s="218">
        <v>0.02</v>
      </c>
      <c r="Q11" s="50">
        <v>4708362.45</v>
      </c>
      <c r="R11" s="50">
        <v>506916.38030566298</v>
      </c>
      <c r="S11" s="38" t="s">
        <v>62</v>
      </c>
      <c r="T11" s="51">
        <v>2.2499999999999999E-2</v>
      </c>
      <c r="U11" s="65">
        <v>0.45</v>
      </c>
      <c r="V11" s="105" t="s">
        <v>493</v>
      </c>
      <c r="W11" s="66">
        <v>431412.74624047207</v>
      </c>
      <c r="X11" s="66">
        <v>113596.10755587845</v>
      </c>
      <c r="Y11" s="38" t="s">
        <v>238</v>
      </c>
      <c r="Z11" s="66">
        <f t="shared" si="0"/>
        <v>9800000</v>
      </c>
      <c r="AA11" s="78"/>
      <c r="AB11" s="77"/>
      <c r="AC11" s="41">
        <f>VLOOKUP(A11,'Input Sheet'!$A$2:$B$232,2,0)</f>
        <v>1008</v>
      </c>
      <c r="AD11" s="259">
        <f t="shared" si="1"/>
        <v>9800000</v>
      </c>
      <c r="AI11" s="68"/>
      <c r="AL11" s="107">
        <f t="shared" ca="1" si="22"/>
        <v>6</v>
      </c>
      <c r="AM11" s="49">
        <f t="shared" ca="1" si="23"/>
        <v>43616</v>
      </c>
      <c r="AN11" s="137" t="str">
        <f t="shared" ca="1" si="9"/>
        <v xml:space="preserve"> </v>
      </c>
      <c r="AO11" s="107">
        <f t="shared" ca="1" si="10"/>
        <v>0</v>
      </c>
      <c r="AP11" s="143">
        <f t="shared" ca="1" si="2"/>
        <v>0</v>
      </c>
      <c r="AQ11" s="143">
        <f t="shared" ca="1" si="11"/>
        <v>0</v>
      </c>
      <c r="AR11" s="49" t="str">
        <f t="shared" ca="1" si="3"/>
        <v xml:space="preserve"> </v>
      </c>
      <c r="AS11" s="107">
        <f t="shared" ca="1" si="4"/>
        <v>0</v>
      </c>
      <c r="AT11" s="107">
        <f t="shared" ca="1" si="5"/>
        <v>0</v>
      </c>
      <c r="AU11" s="107"/>
      <c r="AV11" s="107">
        <f ca="1">MAX(SUM($AQ$6:AQ11)-SUM($AT$6:AT11),0)</f>
        <v>4500000</v>
      </c>
      <c r="AW11" s="107">
        <f t="shared" ca="1" si="24"/>
        <v>13141.344956413452</v>
      </c>
      <c r="AX11" s="107">
        <v>0</v>
      </c>
      <c r="AY11" s="138" t="str">
        <f t="shared" ca="1" si="6"/>
        <v xml:space="preserve"> </v>
      </c>
      <c r="AZ11" s="107">
        <f t="shared" ca="1" si="7"/>
        <v>0</v>
      </c>
      <c r="BA11" s="107">
        <f ca="1">IF(AZ11=1,(SUM($AW$6:AW11,$AX$6:AX11)-SUM($BA$6:BA10)),0)</f>
        <v>0</v>
      </c>
      <c r="BB11" s="107"/>
      <c r="BC11" s="107">
        <f ca="1">AV11+SUM($AW$6:AW11)+SUM($AX$6:AX11)-SUM($BA$6:BA11)</f>
        <v>4513141.3449564138</v>
      </c>
      <c r="BD11" s="107">
        <f t="shared" ca="1" si="12"/>
        <v>31</v>
      </c>
      <c r="BE11" s="51">
        <f ca="1">'PiT PD Structure'!J51</f>
        <v>3.4176531022223067E-5</v>
      </c>
      <c r="BF11" s="139">
        <f t="shared" ca="1" si="25"/>
        <v>0.45</v>
      </c>
      <c r="BG11" s="51">
        <f t="shared" ca="1" si="13"/>
        <v>0.99792836329088741</v>
      </c>
      <c r="BH11" s="50">
        <f t="shared" ca="1" si="8"/>
        <v>69.26579039492259</v>
      </c>
      <c r="BI11" s="50">
        <f t="shared" ca="1" si="31"/>
        <v>3216.6117433989784</v>
      </c>
      <c r="BJ11" s="140">
        <v>1</v>
      </c>
      <c r="BK11" s="50">
        <f t="shared" ca="1" si="26"/>
        <v>69.26579039492259</v>
      </c>
      <c r="BM11" s="78"/>
      <c r="BR11" s="75">
        <f t="shared" ca="1" si="27"/>
        <v>43616</v>
      </c>
      <c r="BS11" s="74">
        <f t="shared" ca="1" si="14"/>
        <v>5</v>
      </c>
      <c r="BT11" s="74">
        <f t="shared" ca="1" si="15"/>
        <v>0</v>
      </c>
      <c r="BU11" s="73" t="str">
        <f t="shared" ca="1" si="16"/>
        <v xml:space="preserve"> </v>
      </c>
      <c r="BW11" s="75">
        <f t="shared" ca="1" si="28"/>
        <v>43616</v>
      </c>
      <c r="BX11" s="74">
        <f t="shared" ca="1" si="29"/>
        <v>5</v>
      </c>
      <c r="BY11" s="74">
        <f t="shared" ca="1" si="17"/>
        <v>0</v>
      </c>
      <c r="BZ11" s="73" t="str">
        <f t="shared" ca="1" si="18"/>
        <v xml:space="preserve"> </v>
      </c>
      <c r="CB11" s="75">
        <f t="shared" ca="1" si="30"/>
        <v>43616</v>
      </c>
      <c r="CC11" s="74">
        <f t="shared" ca="1" si="19"/>
        <v>5</v>
      </c>
      <c r="CD11" s="74">
        <f t="shared" ca="1" si="20"/>
        <v>0</v>
      </c>
      <c r="CE11" s="73" t="str">
        <f t="shared" ca="1" si="21"/>
        <v xml:space="preserve"> </v>
      </c>
    </row>
    <row r="12" spans="1:93" x14ac:dyDescent="0.2">
      <c r="A12" s="38">
        <f t="shared" si="32"/>
        <v>9</v>
      </c>
      <c r="B12" s="108" t="s">
        <v>320</v>
      </c>
      <c r="C12" s="38" t="s">
        <v>806</v>
      </c>
      <c r="D12" s="137">
        <v>43465</v>
      </c>
      <c r="E12" s="137">
        <v>31532</v>
      </c>
      <c r="F12" s="137">
        <v>29706</v>
      </c>
      <c r="G12" s="122">
        <v>10</v>
      </c>
      <c r="H12" s="137">
        <v>45291</v>
      </c>
      <c r="I12" s="50">
        <v>23985981.620000001</v>
      </c>
      <c r="J12" s="50">
        <v>23985981.620000001</v>
      </c>
      <c r="K12" s="50">
        <v>0</v>
      </c>
      <c r="L12" s="38">
        <v>1</v>
      </c>
      <c r="M12" s="38">
        <v>2</v>
      </c>
      <c r="N12" s="38">
        <v>2</v>
      </c>
      <c r="O12" s="50">
        <v>7736153.6200000001</v>
      </c>
      <c r="P12" s="218">
        <v>3.5000000000000003E-2</v>
      </c>
      <c r="Q12" s="50">
        <v>7221746.5899999999</v>
      </c>
      <c r="R12" s="50">
        <v>700282.67688195594</v>
      </c>
      <c r="S12" s="38" t="s">
        <v>62</v>
      </c>
      <c r="T12" s="51">
        <v>3.3636363636363638E-2</v>
      </c>
      <c r="U12" s="65">
        <v>0.45</v>
      </c>
      <c r="V12" s="105" t="s">
        <v>478</v>
      </c>
      <c r="W12" s="66">
        <v>683987.84826761181</v>
      </c>
      <c r="X12" s="66">
        <v>200492.21227039816</v>
      </c>
      <c r="Y12" s="38" t="s">
        <v>238</v>
      </c>
      <c r="Z12" s="66">
        <f t="shared" si="0"/>
        <v>7736153.6200000001</v>
      </c>
      <c r="AA12" s="78"/>
      <c r="AC12" s="41">
        <f>VLOOKUP(A12,'Input Sheet'!$A$2:$B$232,2,0)</f>
        <v>1009</v>
      </c>
      <c r="AD12" s="259">
        <f t="shared" si="1"/>
        <v>7736153.6200000001</v>
      </c>
      <c r="AI12" s="68"/>
      <c r="AL12" s="107">
        <f t="shared" ca="1" si="22"/>
        <v>7</v>
      </c>
      <c r="AM12" s="49">
        <f t="shared" ca="1" si="23"/>
        <v>43646</v>
      </c>
      <c r="AN12" s="137" t="str">
        <f t="shared" ca="1" si="9"/>
        <v xml:space="preserve"> </v>
      </c>
      <c r="AO12" s="107">
        <f t="shared" ca="1" si="10"/>
        <v>0</v>
      </c>
      <c r="AP12" s="143">
        <f t="shared" ca="1" si="2"/>
        <v>0</v>
      </c>
      <c r="AQ12" s="143">
        <f t="shared" ca="1" si="11"/>
        <v>0</v>
      </c>
      <c r="AR12" s="49" t="str">
        <f t="shared" ca="1" si="3"/>
        <v xml:space="preserve"> </v>
      </c>
      <c r="AS12" s="107">
        <f t="shared" ca="1" si="4"/>
        <v>0</v>
      </c>
      <c r="AT12" s="107">
        <f t="shared" ca="1" si="5"/>
        <v>0</v>
      </c>
      <c r="AU12" s="107"/>
      <c r="AV12" s="107">
        <f ca="1">MAX(SUM($AQ$6:AQ12)-SUM($AT$6:AT12),0)</f>
        <v>4500000</v>
      </c>
      <c r="AW12" s="107">
        <f t="shared" ca="1" si="24"/>
        <v>13144.977168949774</v>
      </c>
      <c r="AX12" s="107">
        <v>0</v>
      </c>
      <c r="AY12" s="138" t="str">
        <f t="shared" ca="1" si="6"/>
        <v xml:space="preserve"> </v>
      </c>
      <c r="AZ12" s="107">
        <f t="shared" ca="1" si="7"/>
        <v>0</v>
      </c>
      <c r="BA12" s="107">
        <f ca="1">IF(AZ12=1,(SUM($AW$6:AW12,$AX$6:AX12)-SUM($BA$6:BA11)),0)</f>
        <v>0</v>
      </c>
      <c r="BB12" s="107"/>
      <c r="BC12" s="107">
        <f ca="1">AV12+SUM($AW$6:AW12)+SUM($AX$6:AX12)-SUM($BA$6:BA12)</f>
        <v>4526286.3221253632</v>
      </c>
      <c r="BD12" s="107">
        <f t="shared" ca="1" si="12"/>
        <v>30</v>
      </c>
      <c r="BE12" s="51">
        <f ca="1">'PiT PD Structure'!J52</f>
        <v>3.417536278738087E-5</v>
      </c>
      <c r="BF12" s="139">
        <f t="shared" ca="1" si="25"/>
        <v>0.45</v>
      </c>
      <c r="BG12" s="51">
        <f t="shared" ca="1" si="13"/>
        <v>0.99799512324600315</v>
      </c>
      <c r="BH12" s="50">
        <f t="shared" ca="1" si="8"/>
        <v>69.469806515015421</v>
      </c>
      <c r="BI12" s="50">
        <f t="shared" ca="1" si="31"/>
        <v>3147.3459530040559</v>
      </c>
      <c r="BJ12" s="140">
        <v>1</v>
      </c>
      <c r="BK12" s="50">
        <f t="shared" ca="1" si="26"/>
        <v>69.469806515015421</v>
      </c>
      <c r="BM12" s="78"/>
      <c r="BR12" s="75">
        <f t="shared" ca="1" si="27"/>
        <v>43646</v>
      </c>
      <c r="BS12" s="74">
        <f t="shared" ca="1" si="14"/>
        <v>6</v>
      </c>
      <c r="BT12" s="74">
        <f t="shared" ca="1" si="15"/>
        <v>0</v>
      </c>
      <c r="BU12" s="73" t="str">
        <f t="shared" ca="1" si="16"/>
        <v xml:space="preserve"> </v>
      </c>
      <c r="BW12" s="75">
        <f t="shared" ca="1" si="28"/>
        <v>43646</v>
      </c>
      <c r="BX12" s="74">
        <f t="shared" ca="1" si="29"/>
        <v>6</v>
      </c>
      <c r="BY12" s="74">
        <f t="shared" ca="1" si="17"/>
        <v>0</v>
      </c>
      <c r="BZ12" s="73" t="str">
        <f t="shared" ca="1" si="18"/>
        <v xml:space="preserve"> </v>
      </c>
      <c r="CB12" s="75">
        <f t="shared" ca="1" si="30"/>
        <v>43646</v>
      </c>
      <c r="CC12" s="74">
        <f t="shared" ca="1" si="19"/>
        <v>6</v>
      </c>
      <c r="CD12" s="74">
        <f t="shared" ca="1" si="20"/>
        <v>0</v>
      </c>
      <c r="CE12" s="73" t="str">
        <f t="shared" ca="1" si="21"/>
        <v xml:space="preserve"> </v>
      </c>
    </row>
    <row r="13" spans="1:93" x14ac:dyDescent="0.2">
      <c r="A13" s="38">
        <f t="shared" si="32"/>
        <v>10</v>
      </c>
      <c r="B13" s="108" t="s">
        <v>321</v>
      </c>
      <c r="C13" s="38" t="s">
        <v>806</v>
      </c>
      <c r="D13" s="137">
        <v>43465</v>
      </c>
      <c r="E13" s="137">
        <v>31048</v>
      </c>
      <c r="F13" s="137">
        <v>29706</v>
      </c>
      <c r="G13" s="122">
        <v>10</v>
      </c>
      <c r="H13" s="137">
        <v>45291</v>
      </c>
      <c r="I13" s="50">
        <v>23162380.27</v>
      </c>
      <c r="J13" s="50">
        <v>23162380.27</v>
      </c>
      <c r="K13" s="50">
        <v>0</v>
      </c>
      <c r="L13" s="38">
        <v>1</v>
      </c>
      <c r="M13" s="38">
        <v>2</v>
      </c>
      <c r="N13" s="38">
        <v>2</v>
      </c>
      <c r="O13" s="50">
        <v>8932380.2699999996</v>
      </c>
      <c r="P13" s="218">
        <v>2.5000000000000001E-2</v>
      </c>
      <c r="Q13" s="50">
        <v>9668060.4499999993</v>
      </c>
      <c r="R13" s="50">
        <v>521609.50332758448</v>
      </c>
      <c r="S13" s="38" t="s">
        <v>62</v>
      </c>
      <c r="T13" s="51">
        <v>2.2499999999999999E-2</v>
      </c>
      <c r="U13" s="65">
        <v>0.45</v>
      </c>
      <c r="V13" s="105" t="s">
        <v>506</v>
      </c>
      <c r="W13" s="66">
        <v>447753.56466514856</v>
      </c>
      <c r="X13" s="66">
        <v>136429.95473552548</v>
      </c>
      <c r="Y13" s="38" t="s">
        <v>238</v>
      </c>
      <c r="Z13" s="66">
        <f t="shared" si="0"/>
        <v>8932380.2699999996</v>
      </c>
      <c r="AA13" s="78"/>
      <c r="AC13" s="41">
        <f>VLOOKUP(A13,'Input Sheet'!$A$2:$B$232,2,0)</f>
        <v>1010</v>
      </c>
      <c r="AD13" s="259">
        <f t="shared" si="1"/>
        <v>8932380.2699999996</v>
      </c>
      <c r="AI13" s="68"/>
      <c r="AL13" s="107">
        <f t="shared" ca="1" si="22"/>
        <v>8</v>
      </c>
      <c r="AM13" s="49">
        <f t="shared" ca="1" si="23"/>
        <v>43677</v>
      </c>
      <c r="AN13" s="137" t="str">
        <f t="shared" ca="1" si="9"/>
        <v xml:space="preserve"> </v>
      </c>
      <c r="AO13" s="107">
        <f t="shared" ca="1" si="10"/>
        <v>0</v>
      </c>
      <c r="AP13" s="143">
        <f t="shared" ca="1" si="2"/>
        <v>0</v>
      </c>
      <c r="AQ13" s="143">
        <f t="shared" ca="1" si="11"/>
        <v>0</v>
      </c>
      <c r="AR13" s="49" t="str">
        <f t="shared" ca="1" si="3"/>
        <v xml:space="preserve"> </v>
      </c>
      <c r="AS13" s="107">
        <f t="shared" ca="1" si="4"/>
        <v>0</v>
      </c>
      <c r="AT13" s="107">
        <f t="shared" ca="1" si="5"/>
        <v>0</v>
      </c>
      <c r="AU13" s="107"/>
      <c r="AV13" s="107">
        <f ca="1">MAX(SUM($AQ$6:AQ13)-SUM($AT$6:AT13),0)</f>
        <v>4500000</v>
      </c>
      <c r="AW13" s="107">
        <f t="shared" ca="1" si="24"/>
        <v>13140.604807443786</v>
      </c>
      <c r="AX13" s="107">
        <v>0</v>
      </c>
      <c r="AY13" s="138" t="str">
        <f t="shared" ca="1" si="6"/>
        <v xml:space="preserve"> </v>
      </c>
      <c r="AZ13" s="107">
        <f t="shared" ca="1" si="7"/>
        <v>0</v>
      </c>
      <c r="BA13" s="107">
        <f ca="1">IF(AZ13=1,(SUM($AW$6:AW13,$AX$6:AX13)-SUM($BA$6:BA12)),0)</f>
        <v>0</v>
      </c>
      <c r="BB13" s="107"/>
      <c r="BC13" s="107">
        <f ca="1">AV13+SUM($AW$6:AW13)+SUM($AX$6:AX13)-SUM($BA$6:BA13)</f>
        <v>4539426.9269328071</v>
      </c>
      <c r="BD13" s="107">
        <f t="shared" ca="1" si="12"/>
        <v>31</v>
      </c>
      <c r="BE13" s="51">
        <f ca="1">'PiT PD Structure'!J53</f>
        <v>3.4174194592395679E-5</v>
      </c>
      <c r="BF13" s="139">
        <f t="shared" ca="1" si="25"/>
        <v>0.45</v>
      </c>
      <c r="BG13" s="51">
        <f t="shared" ca="1" si="13"/>
        <v>0.99792836329088741</v>
      </c>
      <c r="BH13" s="50">
        <f t="shared" ca="1" si="8"/>
        <v>69.664447587509699</v>
      </c>
      <c r="BI13" s="50">
        <f t="shared" ca="1" si="31"/>
        <v>3077.8761464890404</v>
      </c>
      <c r="BJ13" s="140">
        <v>1</v>
      </c>
      <c r="BK13" s="50">
        <f t="shared" ca="1" si="26"/>
        <v>69.664447587509699</v>
      </c>
      <c r="BM13" s="78"/>
      <c r="BR13" s="75">
        <f t="shared" ca="1" si="27"/>
        <v>43677</v>
      </c>
      <c r="BS13" s="74">
        <f t="shared" ca="1" si="14"/>
        <v>7</v>
      </c>
      <c r="BT13" s="74">
        <f t="shared" ca="1" si="15"/>
        <v>0</v>
      </c>
      <c r="BU13" s="73" t="str">
        <f t="shared" ca="1" si="16"/>
        <v xml:space="preserve"> </v>
      </c>
      <c r="BW13" s="75">
        <f t="shared" ca="1" si="28"/>
        <v>43677</v>
      </c>
      <c r="BX13" s="74">
        <f t="shared" ca="1" si="29"/>
        <v>7</v>
      </c>
      <c r="BY13" s="74">
        <f t="shared" ca="1" si="17"/>
        <v>0</v>
      </c>
      <c r="BZ13" s="73" t="str">
        <f t="shared" ca="1" si="18"/>
        <v xml:space="preserve"> </v>
      </c>
      <c r="CB13" s="75">
        <f t="shared" ca="1" si="30"/>
        <v>43677</v>
      </c>
      <c r="CC13" s="74">
        <f t="shared" ca="1" si="19"/>
        <v>7</v>
      </c>
      <c r="CD13" s="74">
        <f t="shared" ca="1" si="20"/>
        <v>0</v>
      </c>
      <c r="CE13" s="73" t="str">
        <f t="shared" ca="1" si="21"/>
        <v xml:space="preserve"> </v>
      </c>
    </row>
    <row r="14" spans="1:93" x14ac:dyDescent="0.2">
      <c r="A14" s="38">
        <f t="shared" si="32"/>
        <v>11</v>
      </c>
      <c r="B14" s="108" t="s">
        <v>322</v>
      </c>
      <c r="C14" s="38" t="s">
        <v>806</v>
      </c>
      <c r="D14" s="137">
        <v>43465</v>
      </c>
      <c r="E14" s="137">
        <v>30956</v>
      </c>
      <c r="F14" s="137">
        <v>29706</v>
      </c>
      <c r="G14" s="122">
        <v>14</v>
      </c>
      <c r="H14" s="137">
        <v>45291</v>
      </c>
      <c r="I14" s="50">
        <v>14005217.189999999</v>
      </c>
      <c r="J14" s="50">
        <v>14005217.189999999</v>
      </c>
      <c r="K14" s="50">
        <v>0</v>
      </c>
      <c r="L14" s="38">
        <v>1</v>
      </c>
      <c r="M14" s="38">
        <v>2</v>
      </c>
      <c r="N14" s="38">
        <v>2</v>
      </c>
      <c r="O14" s="50">
        <v>5855217.1900000004</v>
      </c>
      <c r="P14" s="218">
        <v>1.4999999999999999E-2</v>
      </c>
      <c r="Q14" s="50">
        <v>4047200.31</v>
      </c>
      <c r="R14" s="50">
        <v>227150.93141772668</v>
      </c>
      <c r="S14" s="38" t="s">
        <v>12</v>
      </c>
      <c r="T14" s="51">
        <v>1.4999999999999999E-2</v>
      </c>
      <c r="U14" s="65">
        <v>0.45</v>
      </c>
      <c r="V14" s="105" t="s">
        <v>507</v>
      </c>
      <c r="W14" s="66">
        <v>293814.83486555406</v>
      </c>
      <c r="X14" s="66">
        <v>81175.18390435935</v>
      </c>
      <c r="Y14" s="38" t="s">
        <v>238</v>
      </c>
      <c r="Z14" s="66">
        <f t="shared" si="0"/>
        <v>5855217.1900000004</v>
      </c>
      <c r="AA14" s="78"/>
      <c r="AC14" s="41">
        <f>VLOOKUP(A14,'Input Sheet'!$A$2:$B$232,2,0)</f>
        <v>1011</v>
      </c>
      <c r="AD14" s="259">
        <f t="shared" si="1"/>
        <v>5855217.1900000004</v>
      </c>
      <c r="AI14" s="68"/>
      <c r="AL14" s="107">
        <f t="shared" ca="1" si="22"/>
        <v>9</v>
      </c>
      <c r="AM14" s="49">
        <f t="shared" ca="1" si="23"/>
        <v>43708</v>
      </c>
      <c r="AN14" s="137" t="str">
        <f t="shared" ca="1" si="9"/>
        <v xml:space="preserve"> </v>
      </c>
      <c r="AO14" s="107">
        <f t="shared" ca="1" si="10"/>
        <v>0</v>
      </c>
      <c r="AP14" s="143">
        <f t="shared" ca="1" si="2"/>
        <v>0</v>
      </c>
      <c r="AQ14" s="143">
        <f t="shared" ca="1" si="11"/>
        <v>0</v>
      </c>
      <c r="AR14" s="49" t="str">
        <f t="shared" ca="1" si="3"/>
        <v xml:space="preserve"> </v>
      </c>
      <c r="AS14" s="107">
        <f t="shared" ca="1" si="4"/>
        <v>0</v>
      </c>
      <c r="AT14" s="107">
        <f t="shared" ca="1" si="5"/>
        <v>0</v>
      </c>
      <c r="AU14" s="107"/>
      <c r="AV14" s="107">
        <f ca="1">MAX(SUM($AQ$6:AQ14)-SUM($AT$6:AT14),0)</f>
        <v>4500000</v>
      </c>
      <c r="AW14" s="107">
        <f t="shared" ca="1" si="24"/>
        <v>13136.064278187567</v>
      </c>
      <c r="AX14" s="107">
        <v>0</v>
      </c>
      <c r="AY14" s="138" t="str">
        <f t="shared" ca="1" si="6"/>
        <v xml:space="preserve"> </v>
      </c>
      <c r="AZ14" s="107">
        <f t="shared" ca="1" si="7"/>
        <v>0</v>
      </c>
      <c r="BA14" s="107">
        <f ca="1">IF(AZ14=1,(SUM($AW$6:AW14,$AX$6:AX14)-SUM($BA$6:BA13)),0)</f>
        <v>0</v>
      </c>
      <c r="BB14" s="107"/>
      <c r="BC14" s="107">
        <f ca="1">AV14+SUM($AW$6:AW14)+SUM($AX$6:AX14)-SUM($BA$6:BA14)</f>
        <v>4552562.9912109943</v>
      </c>
      <c r="BD14" s="107">
        <f t="shared" ca="1" si="12"/>
        <v>31</v>
      </c>
      <c r="BE14" s="51">
        <f ca="1">'PiT PD Structure'!J54</f>
        <v>3.4173026437267495E-5</v>
      </c>
      <c r="BF14" s="139">
        <f t="shared" ca="1" si="25"/>
        <v>0.45</v>
      </c>
      <c r="BG14" s="51">
        <f t="shared" ca="1" si="13"/>
        <v>0.99792836329088741</v>
      </c>
      <c r="BH14" s="50">
        <f t="shared" ca="1" si="8"/>
        <v>69.863652393480635</v>
      </c>
      <c r="BI14" s="50">
        <f t="shared" ca="1" si="31"/>
        <v>3008.2116989015308</v>
      </c>
      <c r="BJ14" s="140">
        <v>1</v>
      </c>
      <c r="BK14" s="50">
        <f t="shared" ca="1" si="26"/>
        <v>69.863652393480635</v>
      </c>
      <c r="BM14" s="78"/>
      <c r="BR14" s="75">
        <f t="shared" ca="1" si="27"/>
        <v>43708</v>
      </c>
      <c r="BS14" s="74">
        <f t="shared" ca="1" si="14"/>
        <v>8</v>
      </c>
      <c r="BT14" s="74">
        <f t="shared" ca="1" si="15"/>
        <v>0</v>
      </c>
      <c r="BU14" s="73" t="str">
        <f t="shared" ca="1" si="16"/>
        <v xml:space="preserve"> </v>
      </c>
      <c r="BW14" s="75">
        <f t="shared" ca="1" si="28"/>
        <v>43708</v>
      </c>
      <c r="BX14" s="74">
        <f t="shared" ca="1" si="29"/>
        <v>8</v>
      </c>
      <c r="BY14" s="74">
        <f t="shared" ca="1" si="17"/>
        <v>0</v>
      </c>
      <c r="BZ14" s="73" t="str">
        <f t="shared" ca="1" si="18"/>
        <v xml:space="preserve"> </v>
      </c>
      <c r="CB14" s="75">
        <f t="shared" ca="1" si="30"/>
        <v>43708</v>
      </c>
      <c r="CC14" s="74">
        <f t="shared" ca="1" si="19"/>
        <v>8</v>
      </c>
      <c r="CD14" s="74">
        <f t="shared" ca="1" si="20"/>
        <v>0</v>
      </c>
      <c r="CE14" s="73" t="str">
        <f t="shared" ca="1" si="21"/>
        <v xml:space="preserve"> </v>
      </c>
    </row>
    <row r="15" spans="1:93" x14ac:dyDescent="0.2">
      <c r="A15" s="38">
        <f t="shared" si="32"/>
        <v>12</v>
      </c>
      <c r="B15" s="108" t="s">
        <v>324</v>
      </c>
      <c r="C15" s="38" t="s">
        <v>806</v>
      </c>
      <c r="D15" s="137">
        <v>43465</v>
      </c>
      <c r="E15" s="137">
        <v>31472</v>
      </c>
      <c r="F15" s="137">
        <v>29706</v>
      </c>
      <c r="G15" s="122">
        <v>13</v>
      </c>
      <c r="H15" s="137">
        <v>45291</v>
      </c>
      <c r="I15" s="50">
        <v>35014316.229999997</v>
      </c>
      <c r="J15" s="50">
        <v>35014316.229999997</v>
      </c>
      <c r="K15" s="50">
        <v>0</v>
      </c>
      <c r="L15" s="38">
        <v>1</v>
      </c>
      <c r="M15" s="38">
        <v>2</v>
      </c>
      <c r="N15" s="38">
        <v>2</v>
      </c>
      <c r="O15" s="50">
        <v>35014316.229999997</v>
      </c>
      <c r="P15" s="218">
        <v>0.04</v>
      </c>
      <c r="Q15" s="50">
        <v>46564214.939999998</v>
      </c>
      <c r="R15" s="50">
        <v>3505383.596592227</v>
      </c>
      <c r="S15" s="38" t="s">
        <v>62</v>
      </c>
      <c r="T15" s="51">
        <v>0.04</v>
      </c>
      <c r="U15" s="65">
        <v>0.45</v>
      </c>
      <c r="V15" s="105" t="s">
        <v>508</v>
      </c>
      <c r="W15" s="66">
        <v>1884355.7406579787</v>
      </c>
      <c r="X15" s="66">
        <v>591123.43473504332</v>
      </c>
      <c r="Y15" s="38" t="s">
        <v>238</v>
      </c>
      <c r="Z15" s="66">
        <f t="shared" si="0"/>
        <v>35014316.229999997</v>
      </c>
      <c r="AA15" s="78"/>
      <c r="AC15" s="41">
        <f>VLOOKUP(A15,'Input Sheet'!$A$2:$B$232,2,0)</f>
        <v>1012</v>
      </c>
      <c r="AD15" s="259">
        <f t="shared" si="1"/>
        <v>35014316.229999997</v>
      </c>
      <c r="AI15" s="68"/>
      <c r="AL15" s="107">
        <f t="shared" ca="1" si="22"/>
        <v>10</v>
      </c>
      <c r="AM15" s="49">
        <f t="shared" ca="1" si="23"/>
        <v>43738</v>
      </c>
      <c r="AN15" s="137" t="str">
        <f t="shared" ca="1" si="9"/>
        <v xml:space="preserve"> </v>
      </c>
      <c r="AO15" s="107">
        <f t="shared" ca="1" si="10"/>
        <v>0</v>
      </c>
      <c r="AP15" s="143">
        <f t="shared" ca="1" si="2"/>
        <v>0</v>
      </c>
      <c r="AQ15" s="143">
        <f t="shared" ca="1" si="11"/>
        <v>0</v>
      </c>
      <c r="AR15" s="49" t="str">
        <f t="shared" ca="1" si="3"/>
        <v xml:space="preserve"> </v>
      </c>
      <c r="AS15" s="107">
        <f t="shared" ca="1" si="4"/>
        <v>0</v>
      </c>
      <c r="AT15" s="107">
        <f t="shared" ca="1" si="5"/>
        <v>0</v>
      </c>
      <c r="AU15" s="107"/>
      <c r="AV15" s="107">
        <f ca="1">MAX(SUM($AQ$6:AQ15)-SUM($AT$6:AT15),0)</f>
        <v>4500000</v>
      </c>
      <c r="AW15" s="107">
        <f t="shared" ca="1" si="24"/>
        <v>13139.806607574539</v>
      </c>
      <c r="AX15" s="107">
        <v>0</v>
      </c>
      <c r="AY15" s="138" t="str">
        <f t="shared" ca="1" si="6"/>
        <v xml:space="preserve"> </v>
      </c>
      <c r="AZ15" s="107">
        <f t="shared" ca="1" si="7"/>
        <v>0</v>
      </c>
      <c r="BA15" s="107">
        <f ca="1">IF(AZ15=1,(SUM($AW$6:AW15,$AX$6:AX15)-SUM($BA$6:BA14)),0)</f>
        <v>0</v>
      </c>
      <c r="BB15" s="107"/>
      <c r="BC15" s="107">
        <f ca="1">AV15+SUM($AW$6:AW15)+SUM($AX$6:AX15)-SUM($BA$6:BA15)</f>
        <v>4565702.7978185695</v>
      </c>
      <c r="BD15" s="107">
        <f t="shared" ca="1" si="12"/>
        <v>30</v>
      </c>
      <c r="BE15" s="51">
        <f ca="1">'PiT PD Structure'!J55</f>
        <v>3.4171858322218363E-5</v>
      </c>
      <c r="BF15" s="139">
        <f t="shared" ca="1" si="25"/>
        <v>0.45</v>
      </c>
      <c r="BG15" s="51">
        <f t="shared" ca="1" si="13"/>
        <v>0.99799512324600315</v>
      </c>
      <c r="BH15" s="50">
        <f t="shared" ca="1" si="8"/>
        <v>70.067588033714486</v>
      </c>
      <c r="BI15" s="50">
        <f t="shared" ca="1" si="31"/>
        <v>2938.3480465080502</v>
      </c>
      <c r="BJ15" s="140">
        <v>1</v>
      </c>
      <c r="BK15" s="50">
        <f t="shared" ca="1" si="26"/>
        <v>70.067588033714486</v>
      </c>
      <c r="BM15" s="78"/>
      <c r="BR15" s="75">
        <f t="shared" ca="1" si="27"/>
        <v>43738</v>
      </c>
      <c r="BS15" s="74">
        <f t="shared" ca="1" si="14"/>
        <v>9</v>
      </c>
      <c r="BT15" s="74">
        <f t="shared" ca="1" si="15"/>
        <v>0</v>
      </c>
      <c r="BU15" s="73" t="str">
        <f t="shared" ca="1" si="16"/>
        <v xml:space="preserve"> </v>
      </c>
      <c r="BW15" s="75">
        <f t="shared" ca="1" si="28"/>
        <v>43738</v>
      </c>
      <c r="BX15" s="74">
        <f t="shared" ca="1" si="29"/>
        <v>9</v>
      </c>
      <c r="BY15" s="74">
        <f t="shared" ca="1" si="17"/>
        <v>0</v>
      </c>
      <c r="BZ15" s="73" t="str">
        <f t="shared" ca="1" si="18"/>
        <v xml:space="preserve"> </v>
      </c>
      <c r="CB15" s="75">
        <f t="shared" ca="1" si="30"/>
        <v>43738</v>
      </c>
      <c r="CC15" s="74">
        <f t="shared" ca="1" si="19"/>
        <v>9</v>
      </c>
      <c r="CD15" s="74">
        <f t="shared" ca="1" si="20"/>
        <v>0</v>
      </c>
      <c r="CE15" s="73" t="str">
        <f t="shared" ca="1" si="21"/>
        <v xml:space="preserve"> </v>
      </c>
    </row>
    <row r="16" spans="1:93" x14ac:dyDescent="0.2">
      <c r="A16" s="38">
        <f t="shared" si="32"/>
        <v>13</v>
      </c>
      <c r="B16" s="108" t="s">
        <v>329</v>
      </c>
      <c r="C16" s="38" t="s">
        <v>806</v>
      </c>
      <c r="D16" s="137">
        <v>43465</v>
      </c>
      <c r="E16" s="137">
        <v>32811</v>
      </c>
      <c r="F16" s="137">
        <v>30071</v>
      </c>
      <c r="G16" s="122">
        <v>10</v>
      </c>
      <c r="H16" s="137">
        <v>45291</v>
      </c>
      <c r="I16" s="50">
        <v>20000000</v>
      </c>
      <c r="J16" s="50">
        <v>20000000</v>
      </c>
      <c r="K16" s="50">
        <v>0</v>
      </c>
      <c r="L16" s="38">
        <v>1</v>
      </c>
      <c r="M16" s="38">
        <v>2</v>
      </c>
      <c r="N16" s="38">
        <v>2</v>
      </c>
      <c r="O16" s="50">
        <v>2130000</v>
      </c>
      <c r="P16" s="218">
        <v>3.5000000000000003E-2</v>
      </c>
      <c r="Q16" s="50">
        <v>1071412.6000000001</v>
      </c>
      <c r="R16" s="50">
        <v>192809.26608054686</v>
      </c>
      <c r="S16" s="38" t="s">
        <v>62</v>
      </c>
      <c r="T16" s="51">
        <v>3.2500000000000001E-2</v>
      </c>
      <c r="U16" s="65">
        <v>0.45</v>
      </c>
      <c r="V16" s="105" t="s">
        <v>481</v>
      </c>
      <c r="W16" s="66">
        <v>161639.70818388686</v>
      </c>
      <c r="X16" s="66">
        <v>43160.018494834301</v>
      </c>
      <c r="Y16" s="38" t="s">
        <v>238</v>
      </c>
      <c r="Z16" s="66">
        <f t="shared" si="0"/>
        <v>2130000</v>
      </c>
      <c r="AA16" s="78"/>
      <c r="AC16" s="41">
        <f>VLOOKUP(A16,'Input Sheet'!$A$2:$B$232,2,0)</f>
        <v>1013</v>
      </c>
      <c r="AD16" s="259">
        <f t="shared" si="1"/>
        <v>2130000</v>
      </c>
      <c r="AI16" s="68"/>
      <c r="AL16" s="107">
        <f t="shared" ca="1" si="22"/>
        <v>11</v>
      </c>
      <c r="AM16" s="49">
        <f t="shared" ca="1" si="23"/>
        <v>43769</v>
      </c>
      <c r="AN16" s="137">
        <f t="shared" ca="1" si="9"/>
        <v>43769</v>
      </c>
      <c r="AO16" s="107">
        <f t="shared" ca="1" si="10"/>
        <v>0</v>
      </c>
      <c r="AP16" s="143">
        <f t="shared" ca="1" si="2"/>
        <v>0</v>
      </c>
      <c r="AQ16" s="143">
        <f t="shared" ca="1" si="11"/>
        <v>0</v>
      </c>
      <c r="AR16" s="49">
        <f t="shared" ca="1" si="3"/>
        <v>43769</v>
      </c>
      <c r="AS16" s="107">
        <f t="shared" ca="1" si="4"/>
        <v>1</v>
      </c>
      <c r="AT16" s="107">
        <f t="shared" ca="1" si="5"/>
        <v>900000</v>
      </c>
      <c r="AU16" s="107"/>
      <c r="AV16" s="107">
        <f ca="1">MAX(SUM($AQ$6:AQ16)-SUM($AT$6:AT16),0)</f>
        <v>3600000</v>
      </c>
      <c r="AW16" s="107">
        <f t="shared" ca="1" si="24"/>
        <v>13135.068493150684</v>
      </c>
      <c r="AX16" s="107">
        <v>0</v>
      </c>
      <c r="AY16" s="138">
        <f t="shared" ca="1" si="6"/>
        <v>43769</v>
      </c>
      <c r="AZ16" s="107">
        <f t="shared" ca="1" si="7"/>
        <v>1</v>
      </c>
      <c r="BA16" s="107">
        <f ca="1">IF(AZ16=1,(SUM($AW$6:AW16,$AX$6:AX16)-SUM($BA$6:BA15)),0)</f>
        <v>78837.866311719641</v>
      </c>
      <c r="BB16" s="107"/>
      <c r="BC16" s="107">
        <f ca="1">AV16+SUM($AW$6:AW16)+SUM($AX$6:AX16)-SUM($BA$6:BA16)</f>
        <v>3600000</v>
      </c>
      <c r="BD16" s="107">
        <f t="shared" ca="1" si="12"/>
        <v>31</v>
      </c>
      <c r="BE16" s="51">
        <f ca="1">'PiT PD Structure'!J56</f>
        <v>3.4170690246915214E-5</v>
      </c>
      <c r="BF16" s="139">
        <f t="shared" ca="1" si="25"/>
        <v>0.45</v>
      </c>
      <c r="BG16" s="51">
        <f t="shared" ca="1" si="13"/>
        <v>0.99792836329088741</v>
      </c>
      <c r="BH16" s="50">
        <f t="shared" ca="1" si="8"/>
        <v>55.241839604810863</v>
      </c>
      <c r="BI16" s="50">
        <f t="shared" ca="1" si="31"/>
        <v>2868.2804584743358</v>
      </c>
      <c r="BJ16" s="140">
        <v>1</v>
      </c>
      <c r="BK16" s="50">
        <f t="shared" ca="1" si="26"/>
        <v>55.241839604810863</v>
      </c>
      <c r="BM16" s="78"/>
      <c r="BR16" s="75">
        <f t="shared" ca="1" si="27"/>
        <v>43769</v>
      </c>
      <c r="BS16" s="74">
        <f t="shared" ca="1" si="14"/>
        <v>10</v>
      </c>
      <c r="BT16" s="74">
        <f t="shared" ca="1" si="15"/>
        <v>1</v>
      </c>
      <c r="BU16" s="73">
        <f t="shared" ca="1" si="16"/>
        <v>43769</v>
      </c>
      <c r="BW16" s="75">
        <f t="shared" ca="1" si="28"/>
        <v>43769</v>
      </c>
      <c r="BX16" s="74">
        <f t="shared" ca="1" si="29"/>
        <v>10</v>
      </c>
      <c r="BY16" s="74">
        <f t="shared" ca="1" si="17"/>
        <v>1</v>
      </c>
      <c r="BZ16" s="73">
        <f t="shared" ca="1" si="18"/>
        <v>43769</v>
      </c>
      <c r="CB16" s="75">
        <f t="shared" ca="1" si="30"/>
        <v>43769</v>
      </c>
      <c r="CC16" s="74">
        <f t="shared" ca="1" si="19"/>
        <v>10</v>
      </c>
      <c r="CD16" s="74">
        <f t="shared" ca="1" si="20"/>
        <v>1</v>
      </c>
      <c r="CE16" s="73">
        <f t="shared" ca="1" si="21"/>
        <v>43769</v>
      </c>
    </row>
    <row r="17" spans="1:83" x14ac:dyDescent="0.2">
      <c r="A17" s="38">
        <f t="shared" si="32"/>
        <v>14</v>
      </c>
      <c r="B17" s="108" t="s">
        <v>335</v>
      </c>
      <c r="C17" s="38" t="s">
        <v>806</v>
      </c>
      <c r="D17" s="137">
        <v>43465</v>
      </c>
      <c r="E17" s="137">
        <v>32993</v>
      </c>
      <c r="F17" s="137">
        <v>31532</v>
      </c>
      <c r="G17" s="122">
        <v>15</v>
      </c>
      <c r="H17" s="137">
        <v>45291</v>
      </c>
      <c r="I17" s="50">
        <v>23601846.550000001</v>
      </c>
      <c r="J17" s="50">
        <v>23601846.550000001</v>
      </c>
      <c r="K17" s="50">
        <v>0</v>
      </c>
      <c r="L17" s="38">
        <v>1</v>
      </c>
      <c r="M17" s="38">
        <v>2</v>
      </c>
      <c r="N17" s="38">
        <v>2</v>
      </c>
      <c r="O17" s="50">
        <v>17351846.550000001</v>
      </c>
      <c r="P17" s="218">
        <v>3.5000000000000003E-2</v>
      </c>
      <c r="Q17" s="50">
        <v>16196393.01</v>
      </c>
      <c r="R17" s="50">
        <v>1570702.7222759484</v>
      </c>
      <c r="S17" s="38" t="s">
        <v>62</v>
      </c>
      <c r="T17" s="51">
        <v>3.3636363636363638E-2</v>
      </c>
      <c r="U17" s="65">
        <v>0.45</v>
      </c>
      <c r="V17" s="105" t="s">
        <v>478</v>
      </c>
      <c r="W17" s="66">
        <v>1534142.3725400297</v>
      </c>
      <c r="X17" s="66">
        <v>449683.28660239652</v>
      </c>
      <c r="Y17" s="38" t="s">
        <v>238</v>
      </c>
      <c r="Z17" s="66">
        <f t="shared" si="0"/>
        <v>17351846.550000001</v>
      </c>
      <c r="AA17" s="78"/>
      <c r="AC17" s="41">
        <f>VLOOKUP(A17,'Input Sheet'!$A$2:$B$232,2,0)</f>
        <v>1014</v>
      </c>
      <c r="AD17" s="259">
        <f t="shared" si="1"/>
        <v>17351846.550000001</v>
      </c>
      <c r="AI17" s="68"/>
      <c r="AL17" s="107">
        <f t="shared" ca="1" si="22"/>
        <v>12</v>
      </c>
      <c r="AM17" s="49">
        <f t="shared" ca="1" si="23"/>
        <v>43799</v>
      </c>
      <c r="AN17" s="137" t="str">
        <f t="shared" ca="1" si="9"/>
        <v xml:space="preserve"> </v>
      </c>
      <c r="AO17" s="107">
        <f t="shared" ca="1" si="10"/>
        <v>0</v>
      </c>
      <c r="AP17" s="143">
        <f t="shared" ca="1" si="2"/>
        <v>0</v>
      </c>
      <c r="AQ17" s="143">
        <f t="shared" ca="1" si="11"/>
        <v>0</v>
      </c>
      <c r="AR17" s="49" t="str">
        <f t="shared" ca="1" si="3"/>
        <v xml:space="preserve"> </v>
      </c>
      <c r="AS17" s="107">
        <f t="shared" ca="1" si="4"/>
        <v>0</v>
      </c>
      <c r="AT17" s="107">
        <f t="shared" ca="1" si="5"/>
        <v>0</v>
      </c>
      <c r="AU17" s="107"/>
      <c r="AV17" s="107">
        <f ca="1">MAX(SUM($AQ$6:AQ17)-SUM($AT$6:AT17),0)</f>
        <v>3600000</v>
      </c>
      <c r="AW17" s="107">
        <f t="shared" ca="1" si="24"/>
        <v>10511.154598825831</v>
      </c>
      <c r="AX17" s="107">
        <v>0</v>
      </c>
      <c r="AY17" s="138" t="str">
        <f t="shared" ca="1" si="6"/>
        <v xml:space="preserve"> </v>
      </c>
      <c r="AZ17" s="107">
        <f t="shared" ca="1" si="7"/>
        <v>0</v>
      </c>
      <c r="BA17" s="107">
        <f ca="1">IF(AZ17=1,(SUM($AW$6:AW17,$AX$6:AX17)-SUM($BA$6:BA16)),0)</f>
        <v>0</v>
      </c>
      <c r="BB17" s="107"/>
      <c r="BC17" s="107">
        <f ca="1">AV17+SUM($AW$6:AW17)+SUM($AX$6:AX17)-SUM($BA$6:BA17)</f>
        <v>3610511.1545988256</v>
      </c>
      <c r="BD17" s="107">
        <f t="shared" ca="1" si="12"/>
        <v>30</v>
      </c>
      <c r="BE17" s="51">
        <f ca="1">'PiT PD Structure'!J57</f>
        <v>3.4169522211691117E-5</v>
      </c>
      <c r="BF17" s="139">
        <f t="shared" ca="1" si="25"/>
        <v>0.45</v>
      </c>
      <c r="BG17" s="51">
        <f t="shared" ca="1" si="13"/>
        <v>0.99799512324600315</v>
      </c>
      <c r="BH17" s="50">
        <f t="shared" ca="1" si="8"/>
        <v>55.404945255610315</v>
      </c>
      <c r="BI17" s="50">
        <f t="shared" ca="1" si="31"/>
        <v>2813.0386188695247</v>
      </c>
      <c r="BJ17" s="140">
        <v>1</v>
      </c>
      <c r="BK17" s="50">
        <f t="shared" ca="1" si="26"/>
        <v>55.404945255610315</v>
      </c>
      <c r="BM17" s="78"/>
      <c r="BR17" s="75">
        <f t="shared" ca="1" si="27"/>
        <v>43799</v>
      </c>
      <c r="BS17" s="74">
        <f t="shared" ca="1" si="14"/>
        <v>11</v>
      </c>
      <c r="BT17" s="74">
        <f t="shared" ca="1" si="15"/>
        <v>0</v>
      </c>
      <c r="BU17" s="73" t="str">
        <f t="shared" ca="1" si="16"/>
        <v xml:space="preserve"> </v>
      </c>
      <c r="BW17" s="75">
        <f t="shared" ca="1" si="28"/>
        <v>43799</v>
      </c>
      <c r="BX17" s="74">
        <f t="shared" ca="1" si="29"/>
        <v>11</v>
      </c>
      <c r="BY17" s="74">
        <f t="shared" ca="1" si="17"/>
        <v>0</v>
      </c>
      <c r="BZ17" s="73" t="str">
        <f t="shared" ca="1" si="18"/>
        <v xml:space="preserve"> </v>
      </c>
      <c r="CB17" s="75">
        <f t="shared" ca="1" si="30"/>
        <v>43799</v>
      </c>
      <c r="CC17" s="74">
        <f t="shared" ca="1" si="19"/>
        <v>11</v>
      </c>
      <c r="CD17" s="74">
        <f t="shared" ca="1" si="20"/>
        <v>0</v>
      </c>
      <c r="CE17" s="73" t="str">
        <f t="shared" ca="1" si="21"/>
        <v xml:space="preserve"> </v>
      </c>
    </row>
    <row r="18" spans="1:83" x14ac:dyDescent="0.2">
      <c r="A18" s="38">
        <f t="shared" si="32"/>
        <v>15</v>
      </c>
      <c r="B18" s="108" t="s">
        <v>348</v>
      </c>
      <c r="C18" s="38" t="s">
        <v>806</v>
      </c>
      <c r="D18" s="137">
        <v>43465</v>
      </c>
      <c r="E18" s="137">
        <v>37741</v>
      </c>
      <c r="F18" s="137">
        <v>35002</v>
      </c>
      <c r="G18" s="122">
        <v>15</v>
      </c>
      <c r="H18" s="137">
        <v>45291</v>
      </c>
      <c r="I18" s="50">
        <v>91193689.349999994</v>
      </c>
      <c r="J18" s="50">
        <v>91193689.349999994</v>
      </c>
      <c r="K18" s="50">
        <v>0</v>
      </c>
      <c r="L18" s="38">
        <v>1</v>
      </c>
      <c r="M18" s="38">
        <v>2</v>
      </c>
      <c r="N18" s="38">
        <v>2</v>
      </c>
      <c r="O18" s="50">
        <v>55844689.350000001</v>
      </c>
      <c r="P18" s="218">
        <v>0.03</v>
      </c>
      <c r="Q18" s="50">
        <v>18935975.329999998</v>
      </c>
      <c r="R18" s="50">
        <v>4332947.1098871734</v>
      </c>
      <c r="S18" s="38" t="s">
        <v>62</v>
      </c>
      <c r="T18" s="51">
        <v>2.5000000000000001E-2</v>
      </c>
      <c r="U18" s="65">
        <v>0.45</v>
      </c>
      <c r="V18" s="105" t="s">
        <v>514</v>
      </c>
      <c r="W18" s="66">
        <v>3615277.8133197501</v>
      </c>
      <c r="X18" s="66">
        <v>926116.89427572314</v>
      </c>
      <c r="Y18" s="38" t="s">
        <v>238</v>
      </c>
      <c r="Z18" s="66">
        <f t="shared" si="0"/>
        <v>55844689.350000001</v>
      </c>
      <c r="AA18" s="78"/>
      <c r="AC18" s="41">
        <f>VLOOKUP(A18,'Input Sheet'!$A$2:$B$232,2,0)</f>
        <v>1015</v>
      </c>
      <c r="AD18" s="259">
        <f t="shared" si="1"/>
        <v>55844689.350000001</v>
      </c>
      <c r="AI18" s="68"/>
      <c r="AL18" s="107">
        <f t="shared" ca="1" si="22"/>
        <v>13</v>
      </c>
      <c r="AM18" s="49">
        <f t="shared" ca="1" si="23"/>
        <v>43830</v>
      </c>
      <c r="AN18" s="137" t="str">
        <f t="shared" ca="1" si="9"/>
        <v xml:space="preserve"> </v>
      </c>
      <c r="AO18" s="107">
        <v>0</v>
      </c>
      <c r="AP18" s="143">
        <f t="shared" ca="1" si="2"/>
        <v>0</v>
      </c>
      <c r="AQ18" s="143">
        <f t="shared" ca="1" si="11"/>
        <v>0</v>
      </c>
      <c r="AR18" s="49" t="str">
        <f t="shared" ca="1" si="3"/>
        <v xml:space="preserve"> </v>
      </c>
      <c r="AS18" s="107">
        <f t="shared" ca="1" si="4"/>
        <v>0</v>
      </c>
      <c r="AT18" s="107">
        <f t="shared" ca="1" si="5"/>
        <v>0</v>
      </c>
      <c r="AU18" s="107"/>
      <c r="AV18" s="107">
        <f ca="1">MAX(SUM($AQ$6:AQ18)-SUM($AT$6:AT18),0)</f>
        <v>3600000</v>
      </c>
      <c r="AW18" s="107">
        <f t="shared" ca="1" si="24"/>
        <v>10507.19178082192</v>
      </c>
      <c r="AX18" s="107">
        <v>0</v>
      </c>
      <c r="AY18" s="138" t="str">
        <f t="shared" ca="1" si="6"/>
        <v xml:space="preserve"> </v>
      </c>
      <c r="AZ18" s="107">
        <f t="shared" ca="1" si="7"/>
        <v>0</v>
      </c>
      <c r="BA18" s="107">
        <f ca="1">IF(AZ18=1,(SUM($AW$6:AW18,$AX$6:AX18)-SUM($BA$6:BA17)),0)</f>
        <v>0</v>
      </c>
      <c r="BB18" s="107"/>
      <c r="BC18" s="107">
        <f ca="1">AV18+SUM($AW$6:AW18)+SUM($AX$6:AX18)-SUM($BA$6:BA18)</f>
        <v>3621018.346379648</v>
      </c>
      <c r="BD18" s="107">
        <f t="shared" ca="1" si="12"/>
        <v>31</v>
      </c>
      <c r="BE18" s="51">
        <f ca="1">'PiT PD Structure'!J58</f>
        <v>3.4698258350007727E-5</v>
      </c>
      <c r="BF18" s="139">
        <f t="shared" ca="1" si="25"/>
        <v>0.45</v>
      </c>
      <c r="BG18" s="51">
        <f t="shared" ca="1" si="13"/>
        <v>0.99792836329088741</v>
      </c>
      <c r="BH18" s="50">
        <f t="shared" ca="1" si="8"/>
        <v>56.422234511755136</v>
      </c>
      <c r="BI18" s="50">
        <f t="shared" ca="1" si="31"/>
        <v>2757.6336736139142</v>
      </c>
      <c r="BJ18" s="140">
        <v>0</v>
      </c>
      <c r="BK18" s="50">
        <f t="shared" ca="1" si="26"/>
        <v>0</v>
      </c>
      <c r="BM18" s="78"/>
      <c r="BR18" s="75">
        <f t="shared" ca="1" si="27"/>
        <v>43830</v>
      </c>
      <c r="BS18" s="74">
        <f t="shared" ca="1" si="14"/>
        <v>12</v>
      </c>
      <c r="BT18" s="74">
        <f t="shared" ca="1" si="15"/>
        <v>0</v>
      </c>
      <c r="BU18" s="73" t="str">
        <f t="shared" ca="1" si="16"/>
        <v xml:space="preserve"> </v>
      </c>
      <c r="BW18" s="75">
        <f t="shared" ca="1" si="28"/>
        <v>43830</v>
      </c>
      <c r="BX18" s="74">
        <f t="shared" ca="1" si="29"/>
        <v>12</v>
      </c>
      <c r="BY18" s="74">
        <f t="shared" ca="1" si="17"/>
        <v>0</v>
      </c>
      <c r="BZ18" s="73" t="str">
        <f t="shared" ca="1" si="18"/>
        <v xml:space="preserve"> </v>
      </c>
      <c r="CB18" s="75">
        <f t="shared" ca="1" si="30"/>
        <v>43830</v>
      </c>
      <c r="CC18" s="74">
        <f t="shared" ca="1" si="19"/>
        <v>12</v>
      </c>
      <c r="CD18" s="74">
        <f t="shared" ca="1" si="20"/>
        <v>0</v>
      </c>
      <c r="CE18" s="73" t="str">
        <f t="shared" ca="1" si="21"/>
        <v xml:space="preserve"> </v>
      </c>
    </row>
    <row r="19" spans="1:83" x14ac:dyDescent="0.2">
      <c r="A19" s="38">
        <f t="shared" si="32"/>
        <v>16</v>
      </c>
      <c r="B19" s="108" t="s">
        <v>349</v>
      </c>
      <c r="C19" s="38" t="s">
        <v>806</v>
      </c>
      <c r="D19" s="137">
        <v>43465</v>
      </c>
      <c r="E19" s="137">
        <v>35886</v>
      </c>
      <c r="F19" s="137">
        <v>35185</v>
      </c>
      <c r="G19" s="122">
        <v>10</v>
      </c>
      <c r="H19" s="137">
        <v>45291</v>
      </c>
      <c r="I19" s="50">
        <v>16315669.82</v>
      </c>
      <c r="J19" s="50">
        <v>16315669.82</v>
      </c>
      <c r="K19" s="50">
        <v>0</v>
      </c>
      <c r="L19" s="38">
        <v>1</v>
      </c>
      <c r="M19" s="38">
        <v>2</v>
      </c>
      <c r="N19" s="38">
        <v>2</v>
      </c>
      <c r="O19" s="50">
        <v>7063419.8200000003</v>
      </c>
      <c r="P19" s="218">
        <v>2.75E-2</v>
      </c>
      <c r="Q19" s="50">
        <v>32310.28</v>
      </c>
      <c r="R19" s="50">
        <v>502374.93986059236</v>
      </c>
      <c r="S19" s="38" t="s">
        <v>62</v>
      </c>
      <c r="T19" s="51">
        <v>3.7499999999999999E-2</v>
      </c>
      <c r="U19" s="65">
        <v>0.45</v>
      </c>
      <c r="V19" s="105" t="s">
        <v>502</v>
      </c>
      <c r="W19" s="66">
        <v>338198.58444148721</v>
      </c>
      <c r="X19" s="66">
        <v>79067.932806500627</v>
      </c>
      <c r="Y19" s="38" t="s">
        <v>238</v>
      </c>
      <c r="Z19" s="66">
        <f t="shared" si="0"/>
        <v>7063419.8200000003</v>
      </c>
      <c r="AA19" s="78"/>
      <c r="AC19" s="41">
        <f>VLOOKUP(A19,'Input Sheet'!$A$2:$B$232,2,0)</f>
        <v>1016</v>
      </c>
      <c r="AD19" s="259">
        <f t="shared" si="1"/>
        <v>7063419.8200000003</v>
      </c>
      <c r="AI19" s="68"/>
      <c r="AL19" s="107">
        <f t="shared" ca="1" si="22"/>
        <v>14</v>
      </c>
      <c r="AM19" s="49">
        <f t="shared" ca="1" si="23"/>
        <v>43861</v>
      </c>
      <c r="AN19" s="137" t="str">
        <f t="shared" ca="1" si="9"/>
        <v xml:space="preserve"> </v>
      </c>
      <c r="AO19" s="107">
        <f t="shared" ca="1" si="10"/>
        <v>0</v>
      </c>
      <c r="AP19" s="143">
        <f t="shared" ca="1" si="2"/>
        <v>0</v>
      </c>
      <c r="AQ19" s="143">
        <f t="shared" ca="1" si="11"/>
        <v>0</v>
      </c>
      <c r="AR19" s="49" t="str">
        <f t="shared" ca="1" si="3"/>
        <v xml:space="preserve"> </v>
      </c>
      <c r="AS19" s="107">
        <f t="shared" ca="1" si="4"/>
        <v>0</v>
      </c>
      <c r="AT19" s="107">
        <f t="shared" ca="1" si="5"/>
        <v>0</v>
      </c>
      <c r="AU19" s="107"/>
      <c r="AV19" s="107">
        <f ca="1">MAX(SUM($AQ$6:AQ19)-SUM($AT$6:AT19),0)</f>
        <v>3600000</v>
      </c>
      <c r="AW19" s="107">
        <f t="shared" ca="1" si="24"/>
        <v>10503.060332264646</v>
      </c>
      <c r="AX19" s="107">
        <v>0</v>
      </c>
      <c r="AY19" s="138" t="str">
        <f t="shared" ca="1" si="6"/>
        <v xml:space="preserve"> </v>
      </c>
      <c r="AZ19" s="107">
        <f t="shared" ca="1" si="7"/>
        <v>0</v>
      </c>
      <c r="BA19" s="107">
        <f ca="1">IF(AZ19=1,(SUM($AW$6:AW19,$AX$6:AX19)-SUM($BA$6:BA18)),0)</f>
        <v>0</v>
      </c>
      <c r="BB19" s="107"/>
      <c r="BC19" s="107">
        <f ca="1">AV19+SUM($AW$6:AW19)+SUM($AX$6:AX19)-SUM($BA$6:BA19)</f>
        <v>3631521.4067119127</v>
      </c>
      <c r="BD19" s="107">
        <f t="shared" ca="1" si="12"/>
        <v>31</v>
      </c>
      <c r="BE19" s="51">
        <f ca="1">'PiT PD Structure'!J59</f>
        <v>3.4697053887033924E-5</v>
      </c>
      <c r="BF19" s="139">
        <f t="shared" ca="1" si="25"/>
        <v>0.45</v>
      </c>
      <c r="BG19" s="51">
        <f t="shared" ca="1" si="13"/>
        <v>0.99792836329088741</v>
      </c>
      <c r="BH19" s="50">
        <f t="shared" ca="1" si="8"/>
        <v>56.583927587579119</v>
      </c>
      <c r="BI19" s="50">
        <f t="shared" ca="1" si="31"/>
        <v>2701.2114391021591</v>
      </c>
      <c r="BJ19" s="140">
        <v>0</v>
      </c>
      <c r="BK19" s="140">
        <v>0</v>
      </c>
      <c r="BM19" s="78"/>
      <c r="BR19" s="75">
        <f t="shared" ca="1" si="27"/>
        <v>43861</v>
      </c>
      <c r="BS19" s="74">
        <f t="shared" ca="1" si="14"/>
        <v>1</v>
      </c>
      <c r="BT19" s="74">
        <f t="shared" ca="1" si="15"/>
        <v>0</v>
      </c>
      <c r="BU19" s="73" t="str">
        <f t="shared" ca="1" si="16"/>
        <v xml:space="preserve"> </v>
      </c>
      <c r="BW19" s="75">
        <f t="shared" ca="1" si="28"/>
        <v>43861</v>
      </c>
      <c r="BX19" s="74">
        <f t="shared" ca="1" si="29"/>
        <v>1</v>
      </c>
      <c r="BY19" s="74">
        <f t="shared" ca="1" si="17"/>
        <v>0</v>
      </c>
      <c r="BZ19" s="73" t="str">
        <f t="shared" ca="1" si="18"/>
        <v xml:space="preserve"> </v>
      </c>
      <c r="CB19" s="75">
        <f t="shared" ca="1" si="30"/>
        <v>43861</v>
      </c>
      <c r="CC19" s="74">
        <f t="shared" ca="1" si="19"/>
        <v>1</v>
      </c>
      <c r="CD19" s="74">
        <f t="shared" ca="1" si="20"/>
        <v>0</v>
      </c>
      <c r="CE19" s="73" t="str">
        <f t="shared" ca="1" si="21"/>
        <v xml:space="preserve"> </v>
      </c>
    </row>
    <row r="20" spans="1:83" x14ac:dyDescent="0.2">
      <c r="A20" s="38">
        <f t="shared" si="32"/>
        <v>17</v>
      </c>
      <c r="B20" s="108" t="s">
        <v>342</v>
      </c>
      <c r="C20" s="38" t="s">
        <v>806</v>
      </c>
      <c r="D20" s="137">
        <v>43465</v>
      </c>
      <c r="E20" s="137">
        <v>39202</v>
      </c>
      <c r="F20" s="137">
        <v>35550</v>
      </c>
      <c r="G20" s="122">
        <v>15</v>
      </c>
      <c r="H20" s="137">
        <v>44499</v>
      </c>
      <c r="I20" s="50">
        <v>36730000</v>
      </c>
      <c r="J20" s="50">
        <v>36730000</v>
      </c>
      <c r="K20" s="50">
        <v>0</v>
      </c>
      <c r="L20" s="38">
        <v>1</v>
      </c>
      <c r="M20" s="38">
        <v>2</v>
      </c>
      <c r="N20" s="38">
        <v>2</v>
      </c>
      <c r="O20" s="50">
        <v>7354000</v>
      </c>
      <c r="P20" s="218">
        <v>0.02</v>
      </c>
      <c r="Q20" s="50">
        <v>24446.35</v>
      </c>
      <c r="R20" s="50">
        <v>241504.41221478756</v>
      </c>
      <c r="S20" s="38" t="s">
        <v>12</v>
      </c>
      <c r="T20" s="51">
        <v>2.8999999999999998E-2</v>
      </c>
      <c r="U20" s="65">
        <v>0.45</v>
      </c>
      <c r="V20" s="105" t="s">
        <v>231</v>
      </c>
      <c r="W20" s="66">
        <v>202129.29323247875</v>
      </c>
      <c r="X20" s="66">
        <v>87604.78530934469</v>
      </c>
      <c r="Y20" s="38" t="s">
        <v>239</v>
      </c>
      <c r="Z20" s="66">
        <f t="shared" si="0"/>
        <v>87604.78530934469</v>
      </c>
      <c r="AA20" s="78"/>
      <c r="AC20" s="41">
        <f>VLOOKUP(A20,'Input Sheet'!$A$2:$B$232,2,0)</f>
        <v>1017</v>
      </c>
      <c r="AD20" s="259">
        <f t="shared" si="1"/>
        <v>87604.78530934469</v>
      </c>
      <c r="AI20" s="68"/>
      <c r="AL20" s="107">
        <f t="shared" ca="1" si="22"/>
        <v>15</v>
      </c>
      <c r="AM20" s="49">
        <f t="shared" ca="1" si="23"/>
        <v>43890</v>
      </c>
      <c r="AN20" s="137" t="str">
        <f t="shared" ca="1" si="9"/>
        <v xml:space="preserve"> </v>
      </c>
      <c r="AO20" s="107">
        <f t="shared" ca="1" si="10"/>
        <v>0</v>
      </c>
      <c r="AP20" s="143">
        <f t="shared" ca="1" si="2"/>
        <v>0</v>
      </c>
      <c r="AQ20" s="143">
        <f t="shared" ca="1" si="11"/>
        <v>0</v>
      </c>
      <c r="AR20" s="49" t="str">
        <f t="shared" ca="1" si="3"/>
        <v xml:space="preserve"> </v>
      </c>
      <c r="AS20" s="107">
        <f t="shared" ca="1" si="4"/>
        <v>0</v>
      </c>
      <c r="AT20" s="107">
        <f t="shared" ca="1" si="5"/>
        <v>0</v>
      </c>
      <c r="AU20" s="107"/>
      <c r="AV20" s="107">
        <f ca="1">MAX(SUM($AQ$6:AQ20)-SUM($AT$6:AT20),0)</f>
        <v>3600000</v>
      </c>
      <c r="AW20" s="107">
        <f t="shared" ca="1" si="24"/>
        <v>10513.758189398452</v>
      </c>
      <c r="AX20" s="107">
        <v>0</v>
      </c>
      <c r="AY20" s="138" t="str">
        <f t="shared" ca="1" si="6"/>
        <v xml:space="preserve"> </v>
      </c>
      <c r="AZ20" s="107">
        <f t="shared" ca="1" si="7"/>
        <v>0</v>
      </c>
      <c r="BA20" s="107">
        <f ca="1">IF(AZ20=1,(SUM($AW$6:AW20,$AX$6:AX20)-SUM($BA$6:BA19)),0)</f>
        <v>0</v>
      </c>
      <c r="BB20" s="107"/>
      <c r="BC20" s="107">
        <f ca="1">AV20+SUM($AW$6:AW20)+SUM($AX$6:AX20)-SUM($BA$6:BA20)</f>
        <v>3642035.1649013115</v>
      </c>
      <c r="BD20" s="107">
        <f t="shared" ca="1" si="12"/>
        <v>29</v>
      </c>
      <c r="BE20" s="51">
        <f ca="1">'PiT PD Structure'!J60</f>
        <v>3.4695849465582462E-5</v>
      </c>
      <c r="BF20" s="139">
        <f t="shared" ca="1" si="25"/>
        <v>0.45</v>
      </c>
      <c r="BG20" s="51">
        <f t="shared" ca="1" si="13"/>
        <v>0.998061887667263</v>
      </c>
      <c r="BH20" s="50">
        <f t="shared" ca="1" si="8"/>
        <v>56.753368724067016</v>
      </c>
      <c r="BI20" s="50">
        <f t="shared" ca="1" si="31"/>
        <v>2644.62751151458</v>
      </c>
      <c r="BJ20" s="140">
        <v>0</v>
      </c>
      <c r="BK20" s="140">
        <v>0</v>
      </c>
      <c r="BM20" s="78"/>
      <c r="BR20" s="75">
        <f t="shared" ca="1" si="27"/>
        <v>43890</v>
      </c>
      <c r="BS20" s="74">
        <f t="shared" ca="1" si="14"/>
        <v>2</v>
      </c>
      <c r="BT20" s="74">
        <f t="shared" ca="1" si="15"/>
        <v>0</v>
      </c>
      <c r="BU20" s="73" t="str">
        <f t="shared" ca="1" si="16"/>
        <v xml:space="preserve"> </v>
      </c>
      <c r="BW20" s="75">
        <f t="shared" ca="1" si="28"/>
        <v>43890</v>
      </c>
      <c r="BX20" s="74">
        <f t="shared" ca="1" si="29"/>
        <v>2</v>
      </c>
      <c r="BY20" s="74">
        <f t="shared" ca="1" si="17"/>
        <v>0</v>
      </c>
      <c r="BZ20" s="73" t="str">
        <f t="shared" ca="1" si="18"/>
        <v xml:space="preserve"> </v>
      </c>
      <c r="CB20" s="75">
        <f t="shared" ca="1" si="30"/>
        <v>43890</v>
      </c>
      <c r="CC20" s="74">
        <f t="shared" ca="1" si="19"/>
        <v>2</v>
      </c>
      <c r="CD20" s="74">
        <f t="shared" ca="1" si="20"/>
        <v>0</v>
      </c>
      <c r="CE20" s="73" t="str">
        <f t="shared" ca="1" si="21"/>
        <v xml:space="preserve"> </v>
      </c>
    </row>
    <row r="21" spans="1:83" x14ac:dyDescent="0.2">
      <c r="A21" s="38">
        <f t="shared" si="32"/>
        <v>18</v>
      </c>
      <c r="B21" s="108" t="s">
        <v>351</v>
      </c>
      <c r="C21" s="38" t="s">
        <v>806</v>
      </c>
      <c r="D21" s="137">
        <v>43465</v>
      </c>
      <c r="E21" s="137">
        <v>39385</v>
      </c>
      <c r="F21" s="137">
        <v>36280</v>
      </c>
      <c r="G21" s="122">
        <v>15</v>
      </c>
      <c r="H21" s="137">
        <v>45291</v>
      </c>
      <c r="I21" s="50">
        <v>16163044.539999999</v>
      </c>
      <c r="J21" s="50">
        <v>16163044.539999999</v>
      </c>
      <c r="K21" s="50">
        <v>0</v>
      </c>
      <c r="L21" s="38">
        <v>1</v>
      </c>
      <c r="M21" s="38">
        <v>2</v>
      </c>
      <c r="N21" s="38">
        <v>2</v>
      </c>
      <c r="O21" s="50">
        <v>251044.54</v>
      </c>
      <c r="P21" s="218">
        <v>3.5000000000000003E-2</v>
      </c>
      <c r="Q21" s="50">
        <v>129952.92</v>
      </c>
      <c r="R21" s="50">
        <v>22724.748127196464</v>
      </c>
      <c r="S21" s="38" t="s">
        <v>62</v>
      </c>
      <c r="T21" s="51">
        <v>2.75E-2</v>
      </c>
      <c r="U21" s="65">
        <v>0.45</v>
      </c>
      <c r="V21" s="105" t="s">
        <v>515</v>
      </c>
      <c r="W21" s="66">
        <v>12180.413176981583</v>
      </c>
      <c r="X21" s="66">
        <v>3236.0319150303949</v>
      </c>
      <c r="Y21" s="38" t="s">
        <v>238</v>
      </c>
      <c r="Z21" s="66">
        <f t="shared" si="0"/>
        <v>251044.54</v>
      </c>
      <c r="AA21" s="78"/>
      <c r="AC21" s="41">
        <f>VLOOKUP(A21,'Input Sheet'!$A$2:$B$232,2,0)</f>
        <v>1018</v>
      </c>
      <c r="AD21" s="259">
        <f t="shared" si="1"/>
        <v>251044.54</v>
      </c>
      <c r="AI21" s="68"/>
      <c r="AL21" s="107">
        <f t="shared" ca="1" si="22"/>
        <v>16</v>
      </c>
      <c r="AM21" s="49">
        <f t="shared" ca="1" si="23"/>
        <v>43921</v>
      </c>
      <c r="AN21" s="137" t="str">
        <f t="shared" ca="1" si="9"/>
        <v xml:space="preserve"> </v>
      </c>
      <c r="AO21" s="107">
        <f t="shared" ca="1" si="10"/>
        <v>0</v>
      </c>
      <c r="AP21" s="143">
        <f t="shared" ca="1" si="2"/>
        <v>0</v>
      </c>
      <c r="AQ21" s="143">
        <f t="shared" ca="1" si="11"/>
        <v>0</v>
      </c>
      <c r="AR21" s="49" t="str">
        <f t="shared" ca="1" si="3"/>
        <v xml:space="preserve"> </v>
      </c>
      <c r="AS21" s="107">
        <f t="shared" ca="1" si="4"/>
        <v>0</v>
      </c>
      <c r="AT21" s="107">
        <f t="shared" ca="1" si="5"/>
        <v>0</v>
      </c>
      <c r="AU21" s="107"/>
      <c r="AV21" s="107">
        <f ca="1">MAX(SUM($AQ$6:AQ21)-SUM($AT$6:AT21),0)</f>
        <v>3600000</v>
      </c>
      <c r="AW21" s="107">
        <f t="shared" ca="1" si="24"/>
        <v>10509.589041095891</v>
      </c>
      <c r="AX21" s="107">
        <v>0</v>
      </c>
      <c r="AY21" s="138" t="str">
        <f t="shared" ca="1" si="6"/>
        <v xml:space="preserve"> </v>
      </c>
      <c r="AZ21" s="107">
        <f t="shared" ca="1" si="7"/>
        <v>0</v>
      </c>
      <c r="BA21" s="107">
        <f ca="1">IF(AZ21=1,(SUM($AW$6:AW21,$AX$6:AX21)-SUM($BA$6:BA20)),0)</f>
        <v>0</v>
      </c>
      <c r="BB21" s="107"/>
      <c r="BC21" s="107">
        <f ca="1">AV21+SUM($AW$6:AW21)+SUM($AX$6:AX21)-SUM($BA$6:BA21)</f>
        <v>3652544.7539424067</v>
      </c>
      <c r="BD21" s="107">
        <f t="shared" ca="1" si="12"/>
        <v>31</v>
      </c>
      <c r="BE21" s="51">
        <f ca="1">'PiT PD Structure'!J61</f>
        <v>3.4694645086208453E-5</v>
      </c>
      <c r="BF21" s="139">
        <f t="shared" ca="1" si="25"/>
        <v>0.45</v>
      </c>
      <c r="BG21" s="51">
        <f t="shared" ca="1" si="13"/>
        <v>0.99792836329088741</v>
      </c>
      <c r="BH21" s="50">
        <f t="shared" ca="1" si="8"/>
        <v>56.907548252885675</v>
      </c>
      <c r="BI21" s="50">
        <f t="shared" ca="1" si="31"/>
        <v>2587.8741427905129</v>
      </c>
      <c r="BJ21" s="140">
        <v>0</v>
      </c>
      <c r="BK21" s="140">
        <v>0</v>
      </c>
      <c r="BM21" s="78"/>
      <c r="BR21" s="75">
        <f t="shared" ca="1" si="27"/>
        <v>43921</v>
      </c>
      <c r="BS21" s="74">
        <f t="shared" ca="1" si="14"/>
        <v>3</v>
      </c>
      <c r="BT21" s="74">
        <f t="shared" ca="1" si="15"/>
        <v>0</v>
      </c>
      <c r="BU21" s="73" t="str">
        <f t="shared" ca="1" si="16"/>
        <v xml:space="preserve"> </v>
      </c>
      <c r="BW21" s="75">
        <f t="shared" ca="1" si="28"/>
        <v>43921</v>
      </c>
      <c r="BX21" s="74">
        <f t="shared" ca="1" si="29"/>
        <v>3</v>
      </c>
      <c r="BY21" s="74">
        <f t="shared" ca="1" si="17"/>
        <v>0</v>
      </c>
      <c r="BZ21" s="73" t="str">
        <f t="shared" ca="1" si="18"/>
        <v xml:space="preserve"> </v>
      </c>
      <c r="CB21" s="75">
        <f t="shared" ca="1" si="30"/>
        <v>43921</v>
      </c>
      <c r="CC21" s="74">
        <f t="shared" ca="1" si="19"/>
        <v>3</v>
      </c>
      <c r="CD21" s="74">
        <f t="shared" ca="1" si="20"/>
        <v>0</v>
      </c>
      <c r="CE21" s="73" t="str">
        <f t="shared" ca="1" si="21"/>
        <v xml:space="preserve"> </v>
      </c>
    </row>
    <row r="22" spans="1:83" x14ac:dyDescent="0.2">
      <c r="A22" s="38">
        <f t="shared" si="32"/>
        <v>19</v>
      </c>
      <c r="B22" s="108" t="s">
        <v>355</v>
      </c>
      <c r="C22" s="38" t="s">
        <v>806</v>
      </c>
      <c r="D22" s="137">
        <v>43465</v>
      </c>
      <c r="E22" s="137">
        <v>37741</v>
      </c>
      <c r="F22" s="137">
        <v>36280</v>
      </c>
      <c r="G22" s="122">
        <v>15</v>
      </c>
      <c r="H22" s="137">
        <v>45291</v>
      </c>
      <c r="I22" s="50">
        <v>367297608.13999999</v>
      </c>
      <c r="J22" s="50">
        <v>367297608.13999999</v>
      </c>
      <c r="K22" s="50">
        <v>0</v>
      </c>
      <c r="L22" s="38">
        <v>1</v>
      </c>
      <c r="M22" s="38">
        <v>2</v>
      </c>
      <c r="N22" s="38">
        <v>2</v>
      </c>
      <c r="O22" s="50">
        <v>146923608.13999999</v>
      </c>
      <c r="P22" s="218">
        <v>0.04</v>
      </c>
      <c r="Q22" s="50">
        <v>42607821</v>
      </c>
      <c r="R22" s="50">
        <v>15199588.493831927</v>
      </c>
      <c r="S22" s="38" t="s">
        <v>62</v>
      </c>
      <c r="T22" s="51">
        <v>3.6666666666666667E-2</v>
      </c>
      <c r="U22" s="65">
        <v>0.45</v>
      </c>
      <c r="V22" s="105" t="s">
        <v>476</v>
      </c>
      <c r="W22" s="66">
        <v>7421800.7654810837</v>
      </c>
      <c r="X22" s="66">
        <v>1869983.9080121613</v>
      </c>
      <c r="Y22" s="38" t="s">
        <v>238</v>
      </c>
      <c r="Z22" s="66">
        <f t="shared" si="0"/>
        <v>146923608.13999999</v>
      </c>
      <c r="AA22" s="78"/>
      <c r="AC22" s="41">
        <f>VLOOKUP(A22,'Input Sheet'!$A$2:$B$232,2,0)</f>
        <v>1019</v>
      </c>
      <c r="AD22" s="259">
        <f t="shared" si="1"/>
        <v>146923608.13999999</v>
      </c>
      <c r="AI22" s="68"/>
      <c r="AL22" s="107">
        <f t="shared" ca="1" si="22"/>
        <v>17</v>
      </c>
      <c r="AM22" s="49">
        <f t="shared" ca="1" si="23"/>
        <v>43951</v>
      </c>
      <c r="AN22" s="137" t="str">
        <f t="shared" ca="1" si="9"/>
        <v xml:space="preserve"> </v>
      </c>
      <c r="AO22" s="107">
        <f t="shared" ca="1" si="10"/>
        <v>0</v>
      </c>
      <c r="AP22" s="143">
        <f t="shared" ca="1" si="2"/>
        <v>0</v>
      </c>
      <c r="AQ22" s="143">
        <f t="shared" ca="1" si="11"/>
        <v>0</v>
      </c>
      <c r="AR22" s="49" t="str">
        <f t="shared" ca="1" si="3"/>
        <v xml:space="preserve"> </v>
      </c>
      <c r="AS22" s="107">
        <f t="shared" ca="1" si="4"/>
        <v>0</v>
      </c>
      <c r="AT22" s="107">
        <f t="shared" ca="1" si="5"/>
        <v>0</v>
      </c>
      <c r="AU22" s="107"/>
      <c r="AV22" s="107">
        <f ca="1">MAX(SUM($AQ$6:AQ22)-SUM($AT$6:AT22),0)</f>
        <v>3600000</v>
      </c>
      <c r="AW22" s="107">
        <f t="shared" ca="1" si="24"/>
        <v>10513.075965130762</v>
      </c>
      <c r="AX22" s="107">
        <v>0</v>
      </c>
      <c r="AY22" s="138">
        <f t="shared" ca="1" si="6"/>
        <v>43951</v>
      </c>
      <c r="AZ22" s="107">
        <f t="shared" ca="1" si="7"/>
        <v>1</v>
      </c>
      <c r="BA22" s="107">
        <f ca="1">IF(AZ22=1,(SUM($AW$6:AW22,$AX$6:AX22)-SUM($BA$6:BA21)),0)</f>
        <v>63057.829907537438</v>
      </c>
      <c r="BB22" s="107"/>
      <c r="BC22" s="107">
        <f ca="1">AV22+SUM($AW$6:AW22)+SUM($AX$6:AX22)-SUM($BA$6:BA22)</f>
        <v>3600000</v>
      </c>
      <c r="BD22" s="107">
        <f t="shared" ca="1" si="12"/>
        <v>30</v>
      </c>
      <c r="BE22" s="51">
        <f ca="1">'PiT PD Structure'!J62</f>
        <v>3.469344074857883E-5</v>
      </c>
      <c r="BF22" s="139">
        <f t="shared" ca="1" si="25"/>
        <v>0.45</v>
      </c>
      <c r="BG22" s="51">
        <f t="shared" ca="1" si="13"/>
        <v>0.99799512324600315</v>
      </c>
      <c r="BH22" s="50">
        <f t="shared" ca="1" si="8"/>
        <v>56.090693174643462</v>
      </c>
      <c r="BI22" s="50">
        <f t="shared" ca="1" si="31"/>
        <v>2530.9665945376273</v>
      </c>
      <c r="BJ22" s="140">
        <v>0</v>
      </c>
      <c r="BK22" s="140">
        <v>0</v>
      </c>
      <c r="BM22" s="78"/>
      <c r="BR22" s="75">
        <f t="shared" ca="1" si="27"/>
        <v>43951</v>
      </c>
      <c r="BS22" s="74">
        <f t="shared" ca="1" si="14"/>
        <v>4</v>
      </c>
      <c r="BT22" s="74">
        <f t="shared" ca="1" si="15"/>
        <v>0</v>
      </c>
      <c r="BU22" s="73" t="str">
        <f t="shared" ca="1" si="16"/>
        <v xml:space="preserve"> </v>
      </c>
      <c r="BW22" s="75">
        <f t="shared" ca="1" si="28"/>
        <v>43951</v>
      </c>
      <c r="BX22" s="74">
        <f t="shared" ca="1" si="29"/>
        <v>4</v>
      </c>
      <c r="BY22" s="74">
        <f t="shared" ca="1" si="17"/>
        <v>1</v>
      </c>
      <c r="BZ22" s="73">
        <f t="shared" ca="1" si="18"/>
        <v>43951</v>
      </c>
      <c r="CB22" s="75">
        <f t="shared" ca="1" si="30"/>
        <v>43951</v>
      </c>
      <c r="CC22" s="74">
        <f t="shared" ca="1" si="19"/>
        <v>4</v>
      </c>
      <c r="CD22" s="74">
        <f t="shared" ca="1" si="20"/>
        <v>0</v>
      </c>
      <c r="CE22" s="73" t="str">
        <f t="shared" ca="1" si="21"/>
        <v xml:space="preserve"> </v>
      </c>
    </row>
    <row r="23" spans="1:83" x14ac:dyDescent="0.2">
      <c r="A23" s="38">
        <f t="shared" si="32"/>
        <v>20</v>
      </c>
      <c r="B23" s="108" t="s">
        <v>357</v>
      </c>
      <c r="C23" s="38" t="s">
        <v>806</v>
      </c>
      <c r="D23" s="137">
        <v>43465</v>
      </c>
      <c r="E23" s="137">
        <v>36982</v>
      </c>
      <c r="F23" s="137">
        <v>36280</v>
      </c>
      <c r="G23" s="122">
        <v>10</v>
      </c>
      <c r="H23" s="137">
        <v>45291</v>
      </c>
      <c r="I23" s="50">
        <v>15176228.16</v>
      </c>
      <c r="J23" s="50">
        <v>15176228.16</v>
      </c>
      <c r="K23" s="50">
        <v>0</v>
      </c>
      <c r="L23" s="38">
        <v>1</v>
      </c>
      <c r="M23" s="38">
        <v>2</v>
      </c>
      <c r="N23" s="38">
        <v>2</v>
      </c>
      <c r="O23" s="50">
        <v>9920228.1600000001</v>
      </c>
      <c r="P23" s="218">
        <v>2.75E-2</v>
      </c>
      <c r="Q23" s="50">
        <v>80157.570000000007</v>
      </c>
      <c r="R23" s="50">
        <v>705561.06705878302</v>
      </c>
      <c r="S23" s="38" t="s">
        <v>62</v>
      </c>
      <c r="T23" s="51">
        <v>3.7499999999999999E-2</v>
      </c>
      <c r="U23" s="65">
        <v>0.45</v>
      </c>
      <c r="V23" s="105" t="s">
        <v>502</v>
      </c>
      <c r="W23" s="66">
        <v>475125.41972464562</v>
      </c>
      <c r="X23" s="66">
        <v>111189.07543574764</v>
      </c>
      <c r="Y23" s="38" t="s">
        <v>238</v>
      </c>
      <c r="Z23" s="66">
        <f t="shared" si="0"/>
        <v>9920228.1600000001</v>
      </c>
      <c r="AA23" s="78"/>
      <c r="AC23" s="41">
        <f>VLOOKUP(A23,'Input Sheet'!$A$2:$B$232,2,0)</f>
        <v>1020</v>
      </c>
      <c r="AD23" s="259">
        <f t="shared" si="1"/>
        <v>9920228.1600000001</v>
      </c>
      <c r="AI23" s="68"/>
      <c r="AL23" s="107">
        <f t="shared" ca="1" si="22"/>
        <v>18</v>
      </c>
      <c r="AM23" s="49">
        <f t="shared" ca="1" si="23"/>
        <v>43982</v>
      </c>
      <c r="AN23" s="137" t="str">
        <f t="shared" ca="1" si="9"/>
        <v xml:space="preserve"> </v>
      </c>
      <c r="AO23" s="107">
        <f t="shared" ca="1" si="10"/>
        <v>0</v>
      </c>
      <c r="AP23" s="143">
        <f t="shared" ca="1" si="2"/>
        <v>0</v>
      </c>
      <c r="AQ23" s="143">
        <f t="shared" ca="1" si="11"/>
        <v>0</v>
      </c>
      <c r="AR23" s="49" t="str">
        <f t="shared" ca="1" si="3"/>
        <v xml:space="preserve"> </v>
      </c>
      <c r="AS23" s="107">
        <f t="shared" ca="1" si="4"/>
        <v>0</v>
      </c>
      <c r="AT23" s="107">
        <f t="shared" ca="1" si="5"/>
        <v>0</v>
      </c>
      <c r="AU23" s="107"/>
      <c r="AV23" s="107">
        <f ca="1">MAX(SUM($AQ$6:AQ23)-SUM($AT$6:AT23),0)</f>
        <v>3600000</v>
      </c>
      <c r="AW23" s="107">
        <f t="shared" ca="1" si="24"/>
        <v>10508.697037273016</v>
      </c>
      <c r="AX23" s="107">
        <v>0</v>
      </c>
      <c r="AY23" s="138" t="str">
        <f t="shared" ca="1" si="6"/>
        <v xml:space="preserve"> </v>
      </c>
      <c r="AZ23" s="107">
        <f t="shared" ca="1" si="7"/>
        <v>0</v>
      </c>
      <c r="BA23" s="107">
        <f ca="1">IF(AZ23=1,(SUM($AW$6:AW23,$AX$6:AX23)-SUM($BA$6:BA22)),0)</f>
        <v>0</v>
      </c>
      <c r="BB23" s="107"/>
      <c r="BC23" s="107">
        <f ca="1">AV23+SUM($AW$6:AW23)+SUM($AX$6:AX23)-SUM($BA$6:BA23)</f>
        <v>3610508.6970372731</v>
      </c>
      <c r="BD23" s="107">
        <f t="shared" ca="1" si="12"/>
        <v>31</v>
      </c>
      <c r="BE23" s="51">
        <f ca="1">'PiT PD Structure'!J63</f>
        <v>3.469223645258257E-5</v>
      </c>
      <c r="BF23" s="139">
        <f t="shared" ca="1" si="25"/>
        <v>0.45</v>
      </c>
      <c r="BG23" s="51">
        <f t="shared" ca="1" si="13"/>
        <v>0.99792836329088741</v>
      </c>
      <c r="BH23" s="50">
        <f t="shared" ca="1" si="8"/>
        <v>56.248710847517479</v>
      </c>
      <c r="BI23" s="50">
        <f t="shared" ca="1" si="31"/>
        <v>2474.8759013629838</v>
      </c>
      <c r="BJ23" s="140">
        <v>0</v>
      </c>
      <c r="BK23" s="140">
        <v>0</v>
      </c>
      <c r="BM23" s="78"/>
      <c r="BR23" s="75">
        <f t="shared" ca="1" si="27"/>
        <v>43982</v>
      </c>
      <c r="BS23" s="74">
        <f t="shared" ca="1" si="14"/>
        <v>5</v>
      </c>
      <c r="BT23" s="74">
        <f t="shared" ca="1" si="15"/>
        <v>0</v>
      </c>
      <c r="BU23" s="73" t="str">
        <f t="shared" ca="1" si="16"/>
        <v xml:space="preserve"> </v>
      </c>
      <c r="BW23" s="75">
        <f t="shared" ca="1" si="28"/>
        <v>43982</v>
      </c>
      <c r="BX23" s="74">
        <f t="shared" ca="1" si="29"/>
        <v>5</v>
      </c>
      <c r="BY23" s="74">
        <f t="shared" ca="1" si="17"/>
        <v>0</v>
      </c>
      <c r="BZ23" s="73" t="str">
        <f t="shared" ca="1" si="18"/>
        <v xml:space="preserve"> </v>
      </c>
      <c r="CB23" s="75">
        <f t="shared" ca="1" si="30"/>
        <v>43982</v>
      </c>
      <c r="CC23" s="74">
        <f t="shared" ca="1" si="19"/>
        <v>5</v>
      </c>
      <c r="CD23" s="74">
        <f t="shared" ca="1" si="20"/>
        <v>0</v>
      </c>
      <c r="CE23" s="73" t="str">
        <f t="shared" ca="1" si="21"/>
        <v xml:space="preserve"> </v>
      </c>
    </row>
    <row r="24" spans="1:83" x14ac:dyDescent="0.2">
      <c r="A24" s="38">
        <f t="shared" si="32"/>
        <v>21</v>
      </c>
      <c r="B24" s="108" t="s">
        <v>360</v>
      </c>
      <c r="C24" s="38" t="s">
        <v>806</v>
      </c>
      <c r="D24" s="137">
        <v>43465</v>
      </c>
      <c r="E24" s="137">
        <v>38472</v>
      </c>
      <c r="F24" s="137">
        <v>36646</v>
      </c>
      <c r="G24" s="122">
        <v>15</v>
      </c>
      <c r="H24" s="137">
        <v>43768</v>
      </c>
      <c r="I24" s="50">
        <v>109963901.52</v>
      </c>
      <c r="J24" s="50">
        <v>109963901.52</v>
      </c>
      <c r="K24" s="50">
        <v>0</v>
      </c>
      <c r="L24" s="38">
        <v>1</v>
      </c>
      <c r="M24" s="38">
        <v>2</v>
      </c>
      <c r="N24" s="38">
        <v>2</v>
      </c>
      <c r="O24" s="50">
        <v>58541901.520000003</v>
      </c>
      <c r="P24" s="218">
        <v>3.5000000000000003E-2</v>
      </c>
      <c r="Q24" s="50">
        <v>16935066.32</v>
      </c>
      <c r="R24" s="50">
        <v>1305163.6263534247</v>
      </c>
      <c r="S24" s="38" t="s">
        <v>62</v>
      </c>
      <c r="T24" s="51">
        <v>3.6666666666666667E-2</v>
      </c>
      <c r="U24" s="65">
        <v>0.45</v>
      </c>
      <c r="V24" s="105" t="s">
        <v>476</v>
      </c>
      <c r="W24" s="66">
        <v>501875.26694300538</v>
      </c>
      <c r="X24" s="66">
        <v>501875.26694300538</v>
      </c>
      <c r="Y24" s="38" t="s">
        <v>238</v>
      </c>
      <c r="Z24" s="66">
        <f t="shared" si="0"/>
        <v>58541901.520000003</v>
      </c>
      <c r="AA24" s="78"/>
      <c r="AC24" s="41">
        <f>VLOOKUP(A24,'Input Sheet'!$A$2:$B$232,2,0)</f>
        <v>1021</v>
      </c>
      <c r="AD24" s="259">
        <f t="shared" si="1"/>
        <v>58541901.520000003</v>
      </c>
      <c r="AI24" s="68"/>
      <c r="AL24" s="107">
        <f t="shared" ca="1" si="22"/>
        <v>19</v>
      </c>
      <c r="AM24" s="49">
        <f t="shared" ca="1" si="23"/>
        <v>44012</v>
      </c>
      <c r="AN24" s="137" t="str">
        <f t="shared" ca="1" si="9"/>
        <v xml:space="preserve"> </v>
      </c>
      <c r="AO24" s="107">
        <f t="shared" ca="1" si="10"/>
        <v>0</v>
      </c>
      <c r="AP24" s="143">
        <f t="shared" ca="1" si="2"/>
        <v>0</v>
      </c>
      <c r="AQ24" s="143">
        <f t="shared" ca="1" si="11"/>
        <v>0</v>
      </c>
      <c r="AR24" s="49" t="str">
        <f t="shared" ca="1" si="3"/>
        <v xml:space="preserve"> </v>
      </c>
      <c r="AS24" s="107">
        <f t="shared" ca="1" si="4"/>
        <v>0</v>
      </c>
      <c r="AT24" s="107">
        <f t="shared" ca="1" si="5"/>
        <v>0</v>
      </c>
      <c r="AU24" s="107"/>
      <c r="AV24" s="107">
        <f ca="1">MAX(SUM($AQ$6:AQ24)-SUM($AT$6:AT24),0)</f>
        <v>3600000</v>
      </c>
      <c r="AW24" s="107">
        <f t="shared" ca="1" si="24"/>
        <v>10512.32876712329</v>
      </c>
      <c r="AX24" s="107">
        <v>0</v>
      </c>
      <c r="AY24" s="138" t="str">
        <f t="shared" ca="1" si="6"/>
        <v xml:space="preserve"> </v>
      </c>
      <c r="AZ24" s="107">
        <f t="shared" ca="1" si="7"/>
        <v>0</v>
      </c>
      <c r="BA24" s="107">
        <f ca="1">IF(AZ24=1,(SUM($AW$6:AW24,$AX$6:AX24)-SUM($BA$6:BA23)),0)</f>
        <v>0</v>
      </c>
      <c r="BB24" s="107"/>
      <c r="BC24" s="107">
        <f ca="1">AV24+SUM($AW$6:AW24)+SUM($AX$6:AX24)-SUM($BA$6:BA24)</f>
        <v>3621021.0258043967</v>
      </c>
      <c r="BD24" s="107">
        <f t="shared" ca="1" si="12"/>
        <v>30</v>
      </c>
      <c r="BE24" s="51">
        <f ca="1">'PiT PD Structure'!J64</f>
        <v>3.469103219855274E-5</v>
      </c>
      <c r="BF24" s="139">
        <f t="shared" ca="1" si="25"/>
        <v>0.45</v>
      </c>
      <c r="BG24" s="51">
        <f t="shared" ca="1" si="13"/>
        <v>0.99799512324600315</v>
      </c>
      <c r="BH24" s="50">
        <f t="shared" ca="1" si="8"/>
        <v>56.414299716370827</v>
      </c>
      <c r="BI24" s="50">
        <f t="shared" ca="1" si="31"/>
        <v>2418.6271905154663</v>
      </c>
      <c r="BJ24" s="140">
        <v>0</v>
      </c>
      <c r="BK24" s="140">
        <v>0</v>
      </c>
      <c r="BM24" s="78"/>
      <c r="BR24" s="75">
        <f t="shared" ca="1" si="27"/>
        <v>44012</v>
      </c>
      <c r="BS24" s="74">
        <f t="shared" ca="1" si="14"/>
        <v>6</v>
      </c>
      <c r="BT24" s="74">
        <f t="shared" ca="1" si="15"/>
        <v>0</v>
      </c>
      <c r="BU24" s="73" t="str">
        <f t="shared" ca="1" si="16"/>
        <v xml:space="preserve"> </v>
      </c>
      <c r="BW24" s="75">
        <f t="shared" ca="1" si="28"/>
        <v>44012</v>
      </c>
      <c r="BX24" s="74">
        <f t="shared" ca="1" si="29"/>
        <v>6</v>
      </c>
      <c r="BY24" s="74">
        <f t="shared" ca="1" si="17"/>
        <v>0</v>
      </c>
      <c r="BZ24" s="73" t="str">
        <f t="shared" ca="1" si="18"/>
        <v xml:space="preserve"> </v>
      </c>
      <c r="CB24" s="75">
        <f t="shared" ca="1" si="30"/>
        <v>44012</v>
      </c>
      <c r="CC24" s="74">
        <f t="shared" ca="1" si="19"/>
        <v>6</v>
      </c>
      <c r="CD24" s="74">
        <f t="shared" ca="1" si="20"/>
        <v>0</v>
      </c>
      <c r="CE24" s="73" t="str">
        <f t="shared" ca="1" si="21"/>
        <v xml:space="preserve"> </v>
      </c>
    </row>
    <row r="25" spans="1:83" x14ac:dyDescent="0.2">
      <c r="A25" s="38">
        <f t="shared" si="32"/>
        <v>22</v>
      </c>
      <c r="B25" s="108" t="s">
        <v>361</v>
      </c>
      <c r="C25" s="38" t="s">
        <v>806</v>
      </c>
      <c r="D25" s="137">
        <v>43465</v>
      </c>
      <c r="E25" s="137">
        <v>38472</v>
      </c>
      <c r="F25" s="137">
        <v>36646</v>
      </c>
      <c r="G25" s="122">
        <v>15</v>
      </c>
      <c r="H25" s="137">
        <v>43768</v>
      </c>
      <c r="I25" s="50">
        <v>66113999.990000002</v>
      </c>
      <c r="J25" s="50">
        <v>66113999.990000002</v>
      </c>
      <c r="K25" s="50">
        <v>0</v>
      </c>
      <c r="L25" s="38">
        <v>1</v>
      </c>
      <c r="M25" s="38">
        <v>2</v>
      </c>
      <c r="N25" s="38">
        <v>2</v>
      </c>
      <c r="O25" s="50">
        <v>33771999.990000002</v>
      </c>
      <c r="P25" s="218">
        <v>3.5000000000000003E-2</v>
      </c>
      <c r="Q25" s="50">
        <v>9879301.6799999997</v>
      </c>
      <c r="R25" s="50">
        <v>752930.54772226035</v>
      </c>
      <c r="S25" s="38" t="s">
        <v>62</v>
      </c>
      <c r="T25" s="51">
        <v>3.6666666666666667E-2</v>
      </c>
      <c r="U25" s="65">
        <v>0.45</v>
      </c>
      <c r="V25" s="105" t="s">
        <v>476</v>
      </c>
      <c r="W25" s="66">
        <v>289985.39754986891</v>
      </c>
      <c r="X25" s="66">
        <v>289985.39754986891</v>
      </c>
      <c r="Y25" s="38" t="s">
        <v>238</v>
      </c>
      <c r="Z25" s="66">
        <f t="shared" si="0"/>
        <v>33771999.990000002</v>
      </c>
      <c r="AA25" s="78"/>
      <c r="AC25" s="41">
        <f>VLOOKUP(A25,'Input Sheet'!$A$2:$B$232,2,0)</f>
        <v>1022</v>
      </c>
      <c r="AD25" s="259">
        <f t="shared" si="1"/>
        <v>33771999.990000002</v>
      </c>
      <c r="AI25" s="68"/>
      <c r="AL25" s="107">
        <f t="shared" ca="1" si="22"/>
        <v>20</v>
      </c>
      <c r="AM25" s="49">
        <f t="shared" ca="1" si="23"/>
        <v>44043</v>
      </c>
      <c r="AN25" s="137" t="str">
        <f t="shared" ca="1" si="9"/>
        <v xml:space="preserve"> </v>
      </c>
      <c r="AO25" s="107">
        <f t="shared" ca="1" si="10"/>
        <v>0</v>
      </c>
      <c r="AP25" s="143">
        <f t="shared" ca="1" si="2"/>
        <v>0</v>
      </c>
      <c r="AQ25" s="143">
        <f t="shared" ca="1" si="11"/>
        <v>0</v>
      </c>
      <c r="AR25" s="49" t="str">
        <f t="shared" ca="1" si="3"/>
        <v xml:space="preserve"> </v>
      </c>
      <c r="AS25" s="107">
        <f t="shared" ca="1" si="4"/>
        <v>0</v>
      </c>
      <c r="AT25" s="107">
        <f t="shared" ca="1" si="5"/>
        <v>0</v>
      </c>
      <c r="AU25" s="107"/>
      <c r="AV25" s="107">
        <f ca="1">MAX(SUM($AQ$6:AQ25)-SUM($AT$6:AT25),0)</f>
        <v>3600000</v>
      </c>
      <c r="AW25" s="107">
        <f t="shared" ca="1" si="24"/>
        <v>10507.718008686938</v>
      </c>
      <c r="AX25" s="107">
        <v>0</v>
      </c>
      <c r="AY25" s="138" t="str">
        <f t="shared" ca="1" si="6"/>
        <v xml:space="preserve"> </v>
      </c>
      <c r="AZ25" s="107">
        <f t="shared" ca="1" si="7"/>
        <v>0</v>
      </c>
      <c r="BA25" s="107">
        <f ca="1">IF(AZ25=1,(SUM($AW$6:AW25,$AX$6:AX25)-SUM($BA$6:BA24)),0)</f>
        <v>0</v>
      </c>
      <c r="BB25" s="107"/>
      <c r="BC25" s="107">
        <f ca="1">AV25+SUM($AW$6:AW25)+SUM($AX$6:AX25)-SUM($BA$6:BA25)</f>
        <v>3631528.7438130835</v>
      </c>
      <c r="BD25" s="107">
        <f t="shared" ca="1" si="12"/>
        <v>31</v>
      </c>
      <c r="BE25" s="51">
        <f ca="1">'PiT PD Structure'!J65</f>
        <v>3.4689827986378319E-5</v>
      </c>
      <c r="BF25" s="139">
        <f t="shared" ca="1" si="25"/>
        <v>0.45</v>
      </c>
      <c r="BG25" s="51">
        <f t="shared" ca="1" si="13"/>
        <v>0.99792836329088741</v>
      </c>
      <c r="BH25" s="50">
        <f t="shared" ca="1" si="8"/>
        <v>56.572257892572992</v>
      </c>
      <c r="BI25" s="50">
        <f t="shared" ca="1" si="31"/>
        <v>2362.2128907990955</v>
      </c>
      <c r="BJ25" s="140">
        <v>0</v>
      </c>
      <c r="BK25" s="140">
        <v>0</v>
      </c>
      <c r="BM25" s="78"/>
      <c r="BR25" s="75">
        <f t="shared" ca="1" si="27"/>
        <v>44043</v>
      </c>
      <c r="BS25" s="74">
        <f t="shared" ca="1" si="14"/>
        <v>7</v>
      </c>
      <c r="BT25" s="74">
        <f t="shared" ca="1" si="15"/>
        <v>0</v>
      </c>
      <c r="BU25" s="73" t="str">
        <f t="shared" ca="1" si="16"/>
        <v xml:space="preserve"> </v>
      </c>
      <c r="BW25" s="75">
        <f t="shared" ca="1" si="28"/>
        <v>44043</v>
      </c>
      <c r="BX25" s="74">
        <f t="shared" ca="1" si="29"/>
        <v>7</v>
      </c>
      <c r="BY25" s="74">
        <f t="shared" ca="1" si="17"/>
        <v>0</v>
      </c>
      <c r="BZ25" s="73" t="str">
        <f t="shared" ca="1" si="18"/>
        <v xml:space="preserve"> </v>
      </c>
      <c r="CB25" s="75">
        <f t="shared" ca="1" si="30"/>
        <v>44043</v>
      </c>
      <c r="CC25" s="74">
        <f t="shared" ca="1" si="19"/>
        <v>7</v>
      </c>
      <c r="CD25" s="74">
        <f t="shared" ca="1" si="20"/>
        <v>0</v>
      </c>
      <c r="CE25" s="73" t="str">
        <f t="shared" ca="1" si="21"/>
        <v xml:space="preserve"> </v>
      </c>
    </row>
    <row r="26" spans="1:83" x14ac:dyDescent="0.2">
      <c r="A26" s="38">
        <f t="shared" si="32"/>
        <v>23</v>
      </c>
      <c r="B26" s="108" t="s">
        <v>364</v>
      </c>
      <c r="C26" s="38" t="s">
        <v>806</v>
      </c>
      <c r="D26" s="137">
        <v>43465</v>
      </c>
      <c r="E26" s="137">
        <v>39020</v>
      </c>
      <c r="F26" s="137">
        <v>36829</v>
      </c>
      <c r="G26" s="122">
        <v>15</v>
      </c>
      <c r="H26" s="137">
        <v>44316</v>
      </c>
      <c r="I26" s="50">
        <v>18365000</v>
      </c>
      <c r="J26" s="50">
        <v>18365000</v>
      </c>
      <c r="K26" s="50">
        <v>0</v>
      </c>
      <c r="L26" s="38">
        <v>1</v>
      </c>
      <c r="M26" s="38">
        <v>2</v>
      </c>
      <c r="N26" s="38">
        <v>2</v>
      </c>
      <c r="O26" s="50">
        <v>3065000</v>
      </c>
      <c r="P26" s="218">
        <v>3.5000000000000003E-2</v>
      </c>
      <c r="Q26" s="50">
        <v>17819.28</v>
      </c>
      <c r="R26" s="50">
        <v>146158.49191570058</v>
      </c>
      <c r="S26" s="38" t="s">
        <v>10</v>
      </c>
      <c r="T26" s="51">
        <v>3.5909090909090911E-2</v>
      </c>
      <c r="U26" s="65">
        <v>0.45</v>
      </c>
      <c r="V26" s="105" t="s">
        <v>477</v>
      </c>
      <c r="W26" s="66">
        <v>60274.679742075547</v>
      </c>
      <c r="X26" s="66">
        <v>31759.781667090887</v>
      </c>
      <c r="Y26" s="38" t="s">
        <v>237</v>
      </c>
      <c r="Z26" s="66">
        <f t="shared" si="0"/>
        <v>60274.679742075547</v>
      </c>
      <c r="AA26" s="78"/>
      <c r="AC26" s="41">
        <f>VLOOKUP(A26,'Input Sheet'!$A$2:$B$232,2,0)</f>
        <v>1023</v>
      </c>
      <c r="AD26" s="259">
        <f t="shared" si="1"/>
        <v>60274.679742075547</v>
      </c>
      <c r="AI26" s="68"/>
      <c r="AL26" s="107">
        <f t="shared" ca="1" si="22"/>
        <v>21</v>
      </c>
      <c r="AM26" s="49">
        <f t="shared" ca="1" si="23"/>
        <v>44074</v>
      </c>
      <c r="AN26" s="137" t="str">
        <f t="shared" ca="1" si="9"/>
        <v xml:space="preserve"> </v>
      </c>
      <c r="AO26" s="107">
        <f t="shared" ca="1" si="10"/>
        <v>0</v>
      </c>
      <c r="AP26" s="143">
        <f t="shared" ca="1" si="2"/>
        <v>0</v>
      </c>
      <c r="AQ26" s="143">
        <f t="shared" ca="1" si="11"/>
        <v>0</v>
      </c>
      <c r="AR26" s="49" t="str">
        <f t="shared" ca="1" si="3"/>
        <v xml:space="preserve"> </v>
      </c>
      <c r="AS26" s="107">
        <f t="shared" ca="1" si="4"/>
        <v>0</v>
      </c>
      <c r="AT26" s="107">
        <f t="shared" ca="1" si="5"/>
        <v>0</v>
      </c>
      <c r="AU26" s="107"/>
      <c r="AV26" s="107">
        <f ca="1">MAX(SUM($AQ$6:AQ26)-SUM($AT$6:AT26),0)</f>
        <v>3600000</v>
      </c>
      <c r="AW26" s="107">
        <f t="shared" ca="1" si="24"/>
        <v>10502.876712328769</v>
      </c>
      <c r="AX26" s="107">
        <v>0</v>
      </c>
      <c r="AY26" s="138" t="str">
        <f t="shared" ca="1" si="6"/>
        <v xml:space="preserve"> </v>
      </c>
      <c r="AZ26" s="107">
        <f t="shared" ca="1" si="7"/>
        <v>0</v>
      </c>
      <c r="BA26" s="107">
        <f ca="1">IF(AZ26=1,(SUM($AW$6:AW26,$AX$6:AX26)-SUM($BA$6:BA25)),0)</f>
        <v>0</v>
      </c>
      <c r="BB26" s="107"/>
      <c r="BC26" s="107">
        <f ca="1">AV26+SUM($AW$6:AW26)+SUM($AX$6:AX26)-SUM($BA$6:BA26)</f>
        <v>3642031.6205254123</v>
      </c>
      <c r="BD26" s="107">
        <f t="shared" ca="1" si="12"/>
        <v>31</v>
      </c>
      <c r="BE26" s="51">
        <f ca="1">'PiT PD Structure'!J66</f>
        <v>3.4688623815837261E-5</v>
      </c>
      <c r="BF26" s="139">
        <f t="shared" ca="1" si="25"/>
        <v>0.45</v>
      </c>
      <c r="BG26" s="51">
        <f t="shared" ca="1" si="13"/>
        <v>0.99792836329088741</v>
      </c>
      <c r="BH26" s="50">
        <f t="shared" ca="1" si="8"/>
        <v>56.733903138873913</v>
      </c>
      <c r="BI26" s="50">
        <f t="shared" ca="1" si="31"/>
        <v>2305.6406329065226</v>
      </c>
      <c r="BJ26" s="140">
        <v>0</v>
      </c>
      <c r="BK26" s="140">
        <v>0</v>
      </c>
      <c r="BM26" s="78"/>
      <c r="BR26" s="75">
        <f t="shared" ca="1" si="27"/>
        <v>44074</v>
      </c>
      <c r="BS26" s="74">
        <f t="shared" ca="1" si="14"/>
        <v>8</v>
      </c>
      <c r="BT26" s="74">
        <f t="shared" ca="1" si="15"/>
        <v>0</v>
      </c>
      <c r="BU26" s="73" t="str">
        <f t="shared" ca="1" si="16"/>
        <v xml:space="preserve"> </v>
      </c>
      <c r="BW26" s="75">
        <f t="shared" ca="1" si="28"/>
        <v>44074</v>
      </c>
      <c r="BX26" s="74">
        <f t="shared" ca="1" si="29"/>
        <v>8</v>
      </c>
      <c r="BY26" s="74">
        <f t="shared" ca="1" si="17"/>
        <v>0</v>
      </c>
      <c r="BZ26" s="73" t="str">
        <f t="shared" ca="1" si="18"/>
        <v xml:space="preserve"> </v>
      </c>
      <c r="CB26" s="75">
        <f t="shared" ca="1" si="30"/>
        <v>44074</v>
      </c>
      <c r="CC26" s="74">
        <f t="shared" ca="1" si="19"/>
        <v>8</v>
      </c>
      <c r="CD26" s="74">
        <f t="shared" ca="1" si="20"/>
        <v>0</v>
      </c>
      <c r="CE26" s="73" t="str">
        <f t="shared" ca="1" si="21"/>
        <v xml:space="preserve"> </v>
      </c>
    </row>
    <row r="27" spans="1:83" x14ac:dyDescent="0.2">
      <c r="A27" s="38">
        <f t="shared" si="32"/>
        <v>24</v>
      </c>
      <c r="B27" s="108" t="s">
        <v>365</v>
      </c>
      <c r="C27" s="38" t="s">
        <v>806</v>
      </c>
      <c r="D27" s="137">
        <v>43465</v>
      </c>
      <c r="E27" s="137">
        <v>39020</v>
      </c>
      <c r="F27" s="137">
        <v>36829</v>
      </c>
      <c r="G27" s="122">
        <v>14</v>
      </c>
      <c r="H27" s="137">
        <v>44316</v>
      </c>
      <c r="I27" s="50">
        <v>53042568.479999997</v>
      </c>
      <c r="J27" s="50">
        <v>53042568.479999997</v>
      </c>
      <c r="K27" s="50">
        <v>0</v>
      </c>
      <c r="L27" s="38">
        <v>1</v>
      </c>
      <c r="M27" s="38">
        <v>2</v>
      </c>
      <c r="N27" s="38">
        <v>2</v>
      </c>
      <c r="O27" s="50">
        <v>7142568.4800000004</v>
      </c>
      <c r="P27" s="218">
        <v>3.5000000000000003E-2</v>
      </c>
      <c r="Q27" s="50">
        <v>41486.22</v>
      </c>
      <c r="R27" s="50">
        <v>340602.62232998945</v>
      </c>
      <c r="S27" s="38" t="s">
        <v>10</v>
      </c>
      <c r="T27" s="51">
        <v>3.5909090909090911E-2</v>
      </c>
      <c r="U27" s="65">
        <v>0.45</v>
      </c>
      <c r="V27" s="105" t="s">
        <v>477</v>
      </c>
      <c r="W27" s="66">
        <v>140461.83663815571</v>
      </c>
      <c r="X27" s="66">
        <v>74011.718464975231</v>
      </c>
      <c r="Y27" s="38" t="s">
        <v>237</v>
      </c>
      <c r="Z27" s="66">
        <f t="shared" si="0"/>
        <v>140461.83663815571</v>
      </c>
      <c r="AA27" s="78"/>
      <c r="AC27" s="41">
        <f>VLOOKUP(A27,'Input Sheet'!$A$2:$B$232,2,0)</f>
        <v>1024</v>
      </c>
      <c r="AD27" s="259">
        <f t="shared" si="1"/>
        <v>140461.83663815571</v>
      </c>
      <c r="AI27" s="68"/>
      <c r="AL27" s="107">
        <f t="shared" ca="1" si="22"/>
        <v>22</v>
      </c>
      <c r="AM27" s="49">
        <f t="shared" ca="1" si="23"/>
        <v>44104</v>
      </c>
      <c r="AN27" s="137" t="str">
        <f t="shared" ca="1" si="9"/>
        <v xml:space="preserve"> </v>
      </c>
      <c r="AO27" s="107">
        <f t="shared" ca="1" si="10"/>
        <v>0</v>
      </c>
      <c r="AP27" s="143">
        <f t="shared" ca="1" si="2"/>
        <v>0</v>
      </c>
      <c r="AQ27" s="143">
        <f t="shared" ca="1" si="11"/>
        <v>0</v>
      </c>
      <c r="AR27" s="49" t="str">
        <f t="shared" ca="1" si="3"/>
        <v xml:space="preserve"> </v>
      </c>
      <c r="AS27" s="107">
        <f t="shared" ca="1" si="4"/>
        <v>0</v>
      </c>
      <c r="AT27" s="107">
        <f t="shared" ca="1" si="5"/>
        <v>0</v>
      </c>
      <c r="AU27" s="107"/>
      <c r="AV27" s="107">
        <f ca="1">MAX(SUM($AQ$6:AQ27)-SUM($AT$6:AT27),0)</f>
        <v>3600000</v>
      </c>
      <c r="AW27" s="107">
        <f t="shared" ca="1" si="24"/>
        <v>10506.638566912539</v>
      </c>
      <c r="AX27" s="107">
        <v>0</v>
      </c>
      <c r="AY27" s="138" t="str">
        <f t="shared" ca="1" si="6"/>
        <v xml:space="preserve"> </v>
      </c>
      <c r="AZ27" s="107">
        <f t="shared" ca="1" si="7"/>
        <v>0</v>
      </c>
      <c r="BA27" s="107">
        <f ca="1">IF(AZ27=1,(SUM($AW$6:AW27,$AX$6:AX27)-SUM($BA$6:BA26)),0)</f>
        <v>0</v>
      </c>
      <c r="BB27" s="107"/>
      <c r="BC27" s="107">
        <f ca="1">AV27+SUM($AW$6:AW27)+SUM($AX$6:AX27)-SUM($BA$6:BA27)</f>
        <v>3652538.2590923253</v>
      </c>
      <c r="BD27" s="107">
        <f t="shared" ca="1" si="12"/>
        <v>30</v>
      </c>
      <c r="BE27" s="51">
        <f ca="1">'PiT PD Structure'!J67</f>
        <v>3.4687419687373655E-5</v>
      </c>
      <c r="BF27" s="139">
        <f t="shared" ca="1" si="25"/>
        <v>0.45</v>
      </c>
      <c r="BG27" s="51">
        <f t="shared" ca="1" si="13"/>
        <v>0.99799512324600315</v>
      </c>
      <c r="BH27" s="50">
        <f t="shared" ca="1" si="8"/>
        <v>56.89940192620513</v>
      </c>
      <c r="BI27" s="50">
        <f t="shared" ca="1" si="31"/>
        <v>2248.9067297676488</v>
      </c>
      <c r="BJ27" s="140">
        <v>0</v>
      </c>
      <c r="BK27" s="140">
        <v>0</v>
      </c>
      <c r="BM27" s="78"/>
      <c r="BR27" s="75">
        <f t="shared" ca="1" si="27"/>
        <v>44104</v>
      </c>
      <c r="BS27" s="74">
        <f t="shared" ca="1" si="14"/>
        <v>9</v>
      </c>
      <c r="BT27" s="74">
        <f t="shared" ca="1" si="15"/>
        <v>0</v>
      </c>
      <c r="BU27" s="73" t="str">
        <f t="shared" ca="1" si="16"/>
        <v xml:space="preserve"> </v>
      </c>
      <c r="BW27" s="75">
        <f t="shared" ca="1" si="28"/>
        <v>44104</v>
      </c>
      <c r="BX27" s="74">
        <f t="shared" ca="1" si="29"/>
        <v>9</v>
      </c>
      <c r="BY27" s="74">
        <f t="shared" ca="1" si="17"/>
        <v>0</v>
      </c>
      <c r="BZ27" s="73" t="str">
        <f t="shared" ca="1" si="18"/>
        <v xml:space="preserve"> </v>
      </c>
      <c r="CB27" s="75">
        <f t="shared" ca="1" si="30"/>
        <v>44104</v>
      </c>
      <c r="CC27" s="74">
        <f t="shared" ca="1" si="19"/>
        <v>9</v>
      </c>
      <c r="CD27" s="74">
        <f t="shared" ca="1" si="20"/>
        <v>0</v>
      </c>
      <c r="CE27" s="73" t="str">
        <f t="shared" ca="1" si="21"/>
        <v xml:space="preserve"> </v>
      </c>
    </row>
    <row r="28" spans="1:83" x14ac:dyDescent="0.2">
      <c r="A28" s="38">
        <f t="shared" si="32"/>
        <v>25</v>
      </c>
      <c r="B28" s="108" t="s">
        <v>367</v>
      </c>
      <c r="C28" s="38" t="s">
        <v>806</v>
      </c>
      <c r="D28" s="137">
        <v>43465</v>
      </c>
      <c r="E28" s="137">
        <v>38837</v>
      </c>
      <c r="F28" s="137">
        <v>37011</v>
      </c>
      <c r="G28" s="122">
        <v>15</v>
      </c>
      <c r="H28" s="137">
        <v>44134</v>
      </c>
      <c r="I28" s="50">
        <v>36729999.979999997</v>
      </c>
      <c r="J28" s="50">
        <v>36729999.979999997</v>
      </c>
      <c r="K28" s="50">
        <v>0</v>
      </c>
      <c r="L28" s="38">
        <v>1</v>
      </c>
      <c r="M28" s="38">
        <v>2</v>
      </c>
      <c r="N28" s="38">
        <v>2</v>
      </c>
      <c r="O28" s="50">
        <v>4879999.9800000004</v>
      </c>
      <c r="P28" s="218">
        <v>3.5000000000000003E-2</v>
      </c>
      <c r="Q28" s="50">
        <v>28347.57</v>
      </c>
      <c r="R28" s="50">
        <v>195340.52527684745</v>
      </c>
      <c r="S28" s="38" t="s">
        <v>10</v>
      </c>
      <c r="T28" s="51">
        <v>3.5909090909090911E-2</v>
      </c>
      <c r="U28" s="65">
        <v>0.45</v>
      </c>
      <c r="V28" s="105" t="s">
        <v>477</v>
      </c>
      <c r="W28" s="66">
        <v>66993.242949574153</v>
      </c>
      <c r="X28" s="66">
        <v>48067.755795695673</v>
      </c>
      <c r="Y28" s="38" t="s">
        <v>237</v>
      </c>
      <c r="Z28" s="66">
        <f t="shared" si="0"/>
        <v>66993.242949574153</v>
      </c>
      <c r="AA28" s="78"/>
      <c r="AC28" s="41">
        <f>VLOOKUP(A28,'Input Sheet'!$A$2:$B$232,2,0)</f>
        <v>1025</v>
      </c>
      <c r="AD28" s="259">
        <f t="shared" si="1"/>
        <v>66993.242949574153</v>
      </c>
      <c r="AI28" s="68"/>
      <c r="AL28" s="107">
        <f t="shared" ca="1" si="22"/>
        <v>23</v>
      </c>
      <c r="AM28" s="49">
        <f t="shared" ca="1" si="23"/>
        <v>44135</v>
      </c>
      <c r="AN28" s="137">
        <f t="shared" ca="1" si="9"/>
        <v>44135</v>
      </c>
      <c r="AO28" s="107">
        <f t="shared" ca="1" si="10"/>
        <v>0</v>
      </c>
      <c r="AP28" s="143">
        <f t="shared" ca="1" si="2"/>
        <v>0</v>
      </c>
      <c r="AQ28" s="143">
        <f t="shared" ca="1" si="11"/>
        <v>0</v>
      </c>
      <c r="AR28" s="49">
        <f t="shared" ca="1" si="3"/>
        <v>44135</v>
      </c>
      <c r="AS28" s="107">
        <f t="shared" ca="1" si="4"/>
        <v>1</v>
      </c>
      <c r="AT28" s="107">
        <f t="shared" ca="1" si="5"/>
        <v>900000</v>
      </c>
      <c r="AU28" s="107"/>
      <c r="AV28" s="107">
        <f ca="1">MAX(SUM($AQ$6:AQ28)-SUM($AT$6:AT28),0)</f>
        <v>2700000</v>
      </c>
      <c r="AW28" s="107">
        <f t="shared" ca="1" si="24"/>
        <v>10501.514059120405</v>
      </c>
      <c r="AX28" s="107">
        <v>0</v>
      </c>
      <c r="AY28" s="138">
        <f t="shared" ca="1" si="6"/>
        <v>44135</v>
      </c>
      <c r="AZ28" s="107">
        <f t="shared" ca="1" si="7"/>
        <v>1</v>
      </c>
      <c r="BA28" s="107">
        <f ca="1">IF(AZ28=1,(SUM($AW$6:AW28,$AX$6:AX28)-SUM($BA$6:BA27)),0)</f>
        <v>63039.773151445203</v>
      </c>
      <c r="BB28" s="107"/>
      <c r="BC28" s="107">
        <f ca="1">AV28+SUM($AW$6:AW28)+SUM($AX$6:AX28)-SUM($BA$6:BA28)</f>
        <v>2700000</v>
      </c>
      <c r="BD28" s="107">
        <f t="shared" ca="1" si="12"/>
        <v>31</v>
      </c>
      <c r="BE28" s="51">
        <f ca="1">'PiT PD Structure'!J68</f>
        <v>3.4686215600321368E-5</v>
      </c>
      <c r="BF28" s="139">
        <f t="shared" ca="1" si="25"/>
        <v>0.45</v>
      </c>
      <c r="BG28" s="51">
        <f t="shared" ca="1" si="13"/>
        <v>0.99792836329088741</v>
      </c>
      <c r="BH28" s="50">
        <f t="shared" ca="1" si="8"/>
        <v>42.056445410782018</v>
      </c>
      <c r="BI28" s="50">
        <f t="shared" ca="1" si="31"/>
        <v>2192.0073278414438</v>
      </c>
      <c r="BJ28" s="140">
        <v>0</v>
      </c>
      <c r="BK28" s="140">
        <v>0</v>
      </c>
      <c r="BM28" s="78"/>
      <c r="BR28" s="75">
        <f t="shared" ca="1" si="27"/>
        <v>44135</v>
      </c>
      <c r="BS28" s="74">
        <f t="shared" ca="1" si="14"/>
        <v>10</v>
      </c>
      <c r="BT28" s="74">
        <f t="shared" ca="1" si="15"/>
        <v>1</v>
      </c>
      <c r="BU28" s="73">
        <f t="shared" ca="1" si="16"/>
        <v>44135</v>
      </c>
      <c r="BW28" s="75">
        <f t="shared" ca="1" si="28"/>
        <v>44135</v>
      </c>
      <c r="BX28" s="74">
        <f t="shared" ca="1" si="29"/>
        <v>10</v>
      </c>
      <c r="BY28" s="74">
        <f t="shared" ca="1" si="17"/>
        <v>1</v>
      </c>
      <c r="BZ28" s="73">
        <f t="shared" ca="1" si="18"/>
        <v>44135</v>
      </c>
      <c r="CB28" s="75">
        <f t="shared" ca="1" si="30"/>
        <v>44135</v>
      </c>
      <c r="CC28" s="74">
        <f t="shared" ca="1" si="19"/>
        <v>10</v>
      </c>
      <c r="CD28" s="74">
        <f t="shared" ca="1" si="20"/>
        <v>1</v>
      </c>
      <c r="CE28" s="73">
        <f t="shared" ca="1" si="21"/>
        <v>44135</v>
      </c>
    </row>
    <row r="29" spans="1:83" x14ac:dyDescent="0.2">
      <c r="A29" s="38">
        <f t="shared" si="32"/>
        <v>26</v>
      </c>
      <c r="B29" s="108" t="s">
        <v>353</v>
      </c>
      <c r="C29" s="38" t="s">
        <v>806</v>
      </c>
      <c r="D29" s="137">
        <v>43465</v>
      </c>
      <c r="E29" s="137">
        <v>41942</v>
      </c>
      <c r="F29" s="137">
        <v>37011</v>
      </c>
      <c r="G29" s="122">
        <v>30</v>
      </c>
      <c r="H29" s="137">
        <v>46142</v>
      </c>
      <c r="I29" s="50">
        <v>28272175.559999999</v>
      </c>
      <c r="J29" s="50">
        <v>28272175.559999999</v>
      </c>
      <c r="K29" s="50">
        <v>0</v>
      </c>
      <c r="L29" s="38">
        <v>1</v>
      </c>
      <c r="M29" s="38">
        <v>2</v>
      </c>
      <c r="N29" s="38">
        <v>2</v>
      </c>
      <c r="O29" s="50">
        <v>20191575.559999999</v>
      </c>
      <c r="P29" s="218">
        <v>3.5000000000000003E-2</v>
      </c>
      <c r="Q29" s="50">
        <v>5077154.7699999996</v>
      </c>
      <c r="R29" s="50">
        <v>2740960.363250643</v>
      </c>
      <c r="S29" s="38" t="s">
        <v>62</v>
      </c>
      <c r="T29" s="51">
        <v>3.6666666666666667E-2</v>
      </c>
      <c r="U29" s="65">
        <v>0.45</v>
      </c>
      <c r="V29" s="105" t="s">
        <v>512</v>
      </c>
      <c r="W29" s="66">
        <v>1838062.8691045216</v>
      </c>
      <c r="X29" s="66">
        <v>300094.5857785822</v>
      </c>
      <c r="Y29" s="38" t="s">
        <v>238</v>
      </c>
      <c r="Z29" s="66">
        <f t="shared" si="0"/>
        <v>20191575.559999999</v>
      </c>
      <c r="AA29" s="78"/>
      <c r="AC29" s="41">
        <f>VLOOKUP(A29,'Input Sheet'!$A$2:$B$232,2,0)</f>
        <v>1026</v>
      </c>
      <c r="AD29" s="259">
        <f t="shared" si="1"/>
        <v>20191575.559999999</v>
      </c>
      <c r="AI29" s="68"/>
      <c r="AL29" s="107">
        <f t="shared" ca="1" si="22"/>
        <v>24</v>
      </c>
      <c r="AM29" s="49">
        <f t="shared" ca="1" si="23"/>
        <v>44165</v>
      </c>
      <c r="AN29" s="137" t="str">
        <f t="shared" ca="1" si="9"/>
        <v xml:space="preserve"> </v>
      </c>
      <c r="AO29" s="107">
        <f t="shared" ca="1" si="10"/>
        <v>0</v>
      </c>
      <c r="AP29" s="143">
        <f t="shared" ca="1" si="2"/>
        <v>0</v>
      </c>
      <c r="AQ29" s="143">
        <f t="shared" ca="1" si="11"/>
        <v>0</v>
      </c>
      <c r="AR29" s="49" t="str">
        <f t="shared" ca="1" si="3"/>
        <v xml:space="preserve"> </v>
      </c>
      <c r="AS29" s="107">
        <f t="shared" ca="1" si="4"/>
        <v>0</v>
      </c>
      <c r="AT29" s="107">
        <f t="shared" ca="1" si="5"/>
        <v>0</v>
      </c>
      <c r="AU29" s="107"/>
      <c r="AV29" s="107">
        <f ca="1">MAX(SUM($AQ$6:AQ29)-SUM($AT$6:AT29),0)</f>
        <v>2700000</v>
      </c>
      <c r="AW29" s="107">
        <f t="shared" ca="1" si="24"/>
        <v>7879.0818215475756</v>
      </c>
      <c r="AX29" s="107">
        <v>0</v>
      </c>
      <c r="AY29" s="138" t="str">
        <f t="shared" ca="1" si="6"/>
        <v xml:space="preserve"> </v>
      </c>
      <c r="AZ29" s="107">
        <f t="shared" ca="1" si="7"/>
        <v>0</v>
      </c>
      <c r="BA29" s="107">
        <f ca="1">IF(AZ29=1,(SUM($AW$6:AW29,$AX$6:AX29)-SUM($BA$6:BA28)),0)</f>
        <v>0</v>
      </c>
      <c r="BB29" s="107"/>
      <c r="BC29" s="107">
        <f ca="1">AV29+SUM($AW$6:AW29)+SUM($AX$6:AX29)-SUM($BA$6:BA29)</f>
        <v>2707879.0818215478</v>
      </c>
      <c r="BD29" s="107">
        <f t="shared" ca="1" si="12"/>
        <v>30</v>
      </c>
      <c r="BE29" s="51">
        <f ca="1">'PiT PD Structure'!J69</f>
        <v>3.4685011555235512E-5</v>
      </c>
      <c r="BF29" s="139">
        <f t="shared" ca="1" si="25"/>
        <v>0.45</v>
      </c>
      <c r="BG29" s="51">
        <f t="shared" ca="1" si="13"/>
        <v>0.99799512324600315</v>
      </c>
      <c r="BH29" s="50">
        <f t="shared" ca="1" si="8"/>
        <v>42.180531106590095</v>
      </c>
      <c r="BI29" s="50">
        <f t="shared" ca="1" si="31"/>
        <v>2149.9508824306617</v>
      </c>
      <c r="BJ29" s="140">
        <v>0</v>
      </c>
      <c r="BK29" s="140">
        <v>0</v>
      </c>
      <c r="BM29" s="78"/>
      <c r="BR29" s="75">
        <f t="shared" ca="1" si="27"/>
        <v>44165</v>
      </c>
      <c r="BS29" s="74">
        <f t="shared" ca="1" si="14"/>
        <v>11</v>
      </c>
      <c r="BT29" s="74">
        <f t="shared" ca="1" si="15"/>
        <v>0</v>
      </c>
      <c r="BU29" s="73" t="str">
        <f t="shared" ca="1" si="16"/>
        <v xml:space="preserve"> </v>
      </c>
      <c r="BW29" s="75">
        <f t="shared" ca="1" si="28"/>
        <v>44165</v>
      </c>
      <c r="BX29" s="74">
        <f t="shared" ca="1" si="29"/>
        <v>11</v>
      </c>
      <c r="BY29" s="74">
        <f t="shared" ca="1" si="17"/>
        <v>0</v>
      </c>
      <c r="BZ29" s="73" t="str">
        <f t="shared" ca="1" si="18"/>
        <v xml:space="preserve"> </v>
      </c>
      <c r="CB29" s="75">
        <f t="shared" ca="1" si="30"/>
        <v>44165</v>
      </c>
      <c r="CC29" s="74">
        <f t="shared" ca="1" si="19"/>
        <v>11</v>
      </c>
      <c r="CD29" s="74">
        <f t="shared" ca="1" si="20"/>
        <v>0</v>
      </c>
      <c r="CE29" s="73" t="str">
        <f t="shared" ca="1" si="21"/>
        <v xml:space="preserve"> </v>
      </c>
    </row>
    <row r="30" spans="1:83" x14ac:dyDescent="0.2">
      <c r="A30" s="38">
        <f t="shared" si="32"/>
        <v>27</v>
      </c>
      <c r="B30" s="108" t="s">
        <v>368</v>
      </c>
      <c r="C30" s="38" t="s">
        <v>806</v>
      </c>
      <c r="D30" s="137">
        <v>43465</v>
      </c>
      <c r="E30" s="137">
        <v>39020</v>
      </c>
      <c r="F30" s="137">
        <v>37011</v>
      </c>
      <c r="G30" s="122">
        <v>8</v>
      </c>
      <c r="H30" s="137">
        <v>45960</v>
      </c>
      <c r="I30" s="50">
        <v>12970675.76</v>
      </c>
      <c r="J30" s="50">
        <v>12970675.76</v>
      </c>
      <c r="K30" s="50">
        <v>0</v>
      </c>
      <c r="L30" s="38">
        <v>1</v>
      </c>
      <c r="M30" s="38">
        <v>2</v>
      </c>
      <c r="N30" s="38">
        <v>2</v>
      </c>
      <c r="O30" s="50">
        <v>9946675.7599999998</v>
      </c>
      <c r="P30" s="218">
        <v>0.03</v>
      </c>
      <c r="Q30" s="50">
        <v>3237299.94</v>
      </c>
      <c r="R30" s="50">
        <v>1086200.741070684</v>
      </c>
      <c r="S30" s="38" t="s">
        <v>62</v>
      </c>
      <c r="T30" s="51">
        <v>2.5000000000000001E-2</v>
      </c>
      <c r="U30" s="65">
        <v>0.45</v>
      </c>
      <c r="V30" s="105" t="s">
        <v>514</v>
      </c>
      <c r="W30" s="66">
        <v>937147.00914865057</v>
      </c>
      <c r="X30" s="66">
        <v>168003.88677240678</v>
      </c>
      <c r="Y30" s="38" t="s">
        <v>237</v>
      </c>
      <c r="Z30" s="66">
        <f t="shared" si="0"/>
        <v>937147.00914865057</v>
      </c>
      <c r="AA30" s="78"/>
      <c r="AC30" s="41">
        <f>VLOOKUP(A30,'Input Sheet'!$A$2:$B$232,2,0)</f>
        <v>1027</v>
      </c>
      <c r="AD30" s="259">
        <f t="shared" si="1"/>
        <v>937147.00914865057</v>
      </c>
      <c r="AI30" s="68"/>
      <c r="AL30" s="107">
        <f t="shared" ca="1" si="22"/>
        <v>25</v>
      </c>
      <c r="AM30" s="49">
        <f t="shared" ca="1" si="23"/>
        <v>44196</v>
      </c>
      <c r="AN30" s="137" t="str">
        <f t="shared" ca="1" si="9"/>
        <v xml:space="preserve"> </v>
      </c>
      <c r="AO30" s="107">
        <f t="shared" ca="1" si="10"/>
        <v>0</v>
      </c>
      <c r="AP30" s="143">
        <f t="shared" ca="1" si="2"/>
        <v>0</v>
      </c>
      <c r="AQ30" s="143">
        <f t="shared" ca="1" si="11"/>
        <v>0</v>
      </c>
      <c r="AR30" s="49" t="str">
        <f t="shared" ca="1" si="3"/>
        <v xml:space="preserve"> </v>
      </c>
      <c r="AS30" s="107">
        <f t="shared" ca="1" si="4"/>
        <v>0</v>
      </c>
      <c r="AT30" s="107">
        <f t="shared" ca="1" si="5"/>
        <v>0</v>
      </c>
      <c r="AU30" s="107"/>
      <c r="AV30" s="107">
        <f ca="1">MAX(SUM($AQ$6:AQ30)-SUM($AT$6:AT30),0)</f>
        <v>2700000</v>
      </c>
      <c r="AW30" s="107">
        <f t="shared" ca="1" si="24"/>
        <v>7875</v>
      </c>
      <c r="AX30" s="107">
        <v>0</v>
      </c>
      <c r="AY30" s="138" t="str">
        <f t="shared" ca="1" si="6"/>
        <v xml:space="preserve"> </v>
      </c>
      <c r="AZ30" s="107">
        <f t="shared" ca="1" si="7"/>
        <v>0</v>
      </c>
      <c r="BA30" s="107">
        <f ca="1">IF(AZ30=1,(SUM($AW$6:AW30,$AX$6:AX30)-SUM($BA$6:BA29)),0)</f>
        <v>0</v>
      </c>
      <c r="BB30" s="107"/>
      <c r="BC30" s="107">
        <f ca="1">AV30+SUM($AW$6:AW30)+SUM($AX$6:AX30)-SUM($BA$6:BA30)</f>
        <v>2715754.0818215478</v>
      </c>
      <c r="BD30" s="107">
        <f t="shared" ca="1" si="12"/>
        <v>31</v>
      </c>
      <c r="BE30" s="51">
        <f ca="1">'PiT PD Structure'!J70</f>
        <v>4.6468585698444809E-4</v>
      </c>
      <c r="BF30" s="139">
        <f t="shared" ca="1" si="25"/>
        <v>0.45</v>
      </c>
      <c r="BG30" s="51">
        <f t="shared" ca="1" si="13"/>
        <v>0.99792836329088741</v>
      </c>
      <c r="BH30" s="50">
        <f t="shared" ca="1" si="8"/>
        <v>566.7111739290176</v>
      </c>
      <c r="BI30" s="50">
        <f t="shared" ca="1" si="31"/>
        <v>2107.7703513240717</v>
      </c>
      <c r="BJ30" s="140">
        <v>0</v>
      </c>
      <c r="BK30" s="140">
        <v>0</v>
      </c>
      <c r="BM30" s="78"/>
      <c r="BR30" s="75">
        <f t="shared" ca="1" si="27"/>
        <v>44196</v>
      </c>
      <c r="BS30" s="74">
        <f t="shared" ca="1" si="14"/>
        <v>12</v>
      </c>
      <c r="BT30" s="74">
        <f t="shared" ca="1" si="15"/>
        <v>0</v>
      </c>
      <c r="BU30" s="73" t="str">
        <f t="shared" ca="1" si="16"/>
        <v xml:space="preserve"> </v>
      </c>
      <c r="BW30" s="75">
        <f t="shared" ca="1" si="28"/>
        <v>44196</v>
      </c>
      <c r="BX30" s="74">
        <f t="shared" ca="1" si="29"/>
        <v>12</v>
      </c>
      <c r="BY30" s="74">
        <f t="shared" ca="1" si="17"/>
        <v>0</v>
      </c>
      <c r="BZ30" s="73" t="str">
        <f t="shared" ca="1" si="18"/>
        <v xml:space="preserve"> </v>
      </c>
      <c r="CB30" s="75">
        <f t="shared" ca="1" si="30"/>
        <v>44196</v>
      </c>
      <c r="CC30" s="74">
        <f t="shared" ca="1" si="19"/>
        <v>12</v>
      </c>
      <c r="CD30" s="74">
        <f t="shared" ca="1" si="20"/>
        <v>0</v>
      </c>
      <c r="CE30" s="73" t="str">
        <f t="shared" ca="1" si="21"/>
        <v xml:space="preserve"> </v>
      </c>
    </row>
    <row r="31" spans="1:83" x14ac:dyDescent="0.2">
      <c r="A31" s="38">
        <f t="shared" si="32"/>
        <v>28</v>
      </c>
      <c r="B31" s="108" t="s">
        <v>369</v>
      </c>
      <c r="C31" s="38" t="s">
        <v>806</v>
      </c>
      <c r="D31" s="137">
        <v>43465</v>
      </c>
      <c r="E31" s="137">
        <v>39020</v>
      </c>
      <c r="F31" s="137">
        <v>37194</v>
      </c>
      <c r="G31" s="122">
        <v>15</v>
      </c>
      <c r="H31" s="137">
        <v>44316</v>
      </c>
      <c r="I31" s="50">
        <v>66334600.549999997</v>
      </c>
      <c r="J31" s="50">
        <v>66334600.549999997</v>
      </c>
      <c r="K31" s="50">
        <v>0</v>
      </c>
      <c r="L31" s="38">
        <v>1</v>
      </c>
      <c r="M31" s="38">
        <v>2</v>
      </c>
      <c r="N31" s="38">
        <v>2</v>
      </c>
      <c r="O31" s="50">
        <v>10795600.550000001</v>
      </c>
      <c r="P31" s="218">
        <v>3.5000000000000003E-2</v>
      </c>
      <c r="Q31" s="50">
        <v>62764.76</v>
      </c>
      <c r="R31" s="50">
        <v>514802.1845717153</v>
      </c>
      <c r="S31" s="38" t="s">
        <v>7</v>
      </c>
      <c r="T31" s="51">
        <v>3.5000000000000003E-2</v>
      </c>
      <c r="U31" s="65">
        <v>0.45</v>
      </c>
      <c r="V31" s="105" t="s">
        <v>517</v>
      </c>
      <c r="W31" s="66">
        <v>5853.2489868754246</v>
      </c>
      <c r="X31" s="66">
        <v>2073.7738671345369</v>
      </c>
      <c r="Y31" s="38" t="s">
        <v>239</v>
      </c>
      <c r="Z31" s="66">
        <f t="shared" si="0"/>
        <v>2073.7738671345369</v>
      </c>
      <c r="AA31" s="78"/>
      <c r="AC31" s="41">
        <f>VLOOKUP(A31,'Input Sheet'!$A$2:$B$232,2,0)</f>
        <v>1028</v>
      </c>
      <c r="AD31" s="259">
        <f t="shared" si="1"/>
        <v>2073.7738671345369</v>
      </c>
      <c r="AI31" s="68"/>
      <c r="AL31" s="107">
        <f t="shared" ca="1" si="22"/>
        <v>26</v>
      </c>
      <c r="AM31" s="49">
        <f t="shared" ca="1" si="23"/>
        <v>44227</v>
      </c>
      <c r="AN31" s="137" t="str">
        <f t="shared" ca="1" si="9"/>
        <v xml:space="preserve"> </v>
      </c>
      <c r="AO31" s="107">
        <f t="shared" ca="1" si="10"/>
        <v>0</v>
      </c>
      <c r="AP31" s="143">
        <f t="shared" ca="1" si="2"/>
        <v>0</v>
      </c>
      <c r="AQ31" s="143">
        <f t="shared" ca="1" si="11"/>
        <v>0</v>
      </c>
      <c r="AR31" s="49" t="str">
        <f t="shared" ca="1" si="3"/>
        <v xml:space="preserve"> </v>
      </c>
      <c r="AS31" s="107">
        <f t="shared" ca="1" si="4"/>
        <v>0</v>
      </c>
      <c r="AT31" s="107">
        <f t="shared" ca="1" si="5"/>
        <v>0</v>
      </c>
      <c r="AU31" s="107"/>
      <c r="AV31" s="107">
        <f ca="1">MAX(SUM($AQ$6:AQ31)-SUM($AT$6:AT31),0)</f>
        <v>2700000</v>
      </c>
      <c r="AW31" s="107">
        <f t="shared" ca="1" si="24"/>
        <v>7870.6849315068503</v>
      </c>
      <c r="AX31" s="107">
        <v>0</v>
      </c>
      <c r="AY31" s="138" t="str">
        <f t="shared" ca="1" si="6"/>
        <v xml:space="preserve"> </v>
      </c>
      <c r="AZ31" s="107">
        <f t="shared" ca="1" si="7"/>
        <v>0</v>
      </c>
      <c r="BA31" s="107">
        <f ca="1">IF(AZ31=1,(SUM($AW$6:AW31,$AX$6:AX31)-SUM($BA$6:BA30)),0)</f>
        <v>0</v>
      </c>
      <c r="BB31" s="107"/>
      <c r="BC31" s="107">
        <f ca="1">AV31+SUM($AW$6:AW31)+SUM($AX$6:AX31)-SUM($BA$6:BA31)</f>
        <v>2723624.7667530542</v>
      </c>
      <c r="BD31" s="107">
        <f t="shared" ca="1" si="12"/>
        <v>31</v>
      </c>
      <c r="BE31" s="51">
        <f ca="1">'PiT PD Structure'!J71</f>
        <v>3.5736113275008918E-5</v>
      </c>
      <c r="BF31" s="139">
        <f t="shared" ca="1" si="25"/>
        <v>0.45</v>
      </c>
      <c r="BG31" s="51">
        <f t="shared" ca="1" si="13"/>
        <v>0.99792836329088741</v>
      </c>
      <c r="BH31" s="50">
        <f t="shared" ca="1" si="8"/>
        <v>43.708557208380164</v>
      </c>
      <c r="BI31" s="50">
        <f t="shared" ca="1" si="31"/>
        <v>1541.0591773950541</v>
      </c>
      <c r="BJ31" s="140">
        <v>0</v>
      </c>
      <c r="BK31" s="140">
        <v>0</v>
      </c>
      <c r="BM31" s="78"/>
      <c r="BR31" s="75">
        <f t="shared" ca="1" si="27"/>
        <v>44227</v>
      </c>
      <c r="BS31" s="74">
        <f t="shared" ca="1" si="14"/>
        <v>1</v>
      </c>
      <c r="BT31" s="74">
        <f t="shared" ca="1" si="15"/>
        <v>0</v>
      </c>
      <c r="BU31" s="73" t="str">
        <f t="shared" ca="1" si="16"/>
        <v xml:space="preserve"> </v>
      </c>
      <c r="BW31" s="75">
        <f t="shared" ca="1" si="28"/>
        <v>44227</v>
      </c>
      <c r="BX31" s="74">
        <f t="shared" ca="1" si="29"/>
        <v>1</v>
      </c>
      <c r="BY31" s="74">
        <f t="shared" ca="1" si="17"/>
        <v>0</v>
      </c>
      <c r="BZ31" s="73" t="str">
        <f t="shared" ca="1" si="18"/>
        <v xml:space="preserve"> </v>
      </c>
      <c r="CB31" s="75">
        <f t="shared" ca="1" si="30"/>
        <v>44227</v>
      </c>
      <c r="CC31" s="74">
        <f t="shared" ca="1" si="19"/>
        <v>1</v>
      </c>
      <c r="CD31" s="74">
        <f t="shared" ca="1" si="20"/>
        <v>0</v>
      </c>
      <c r="CE31" s="73" t="str">
        <f t="shared" ca="1" si="21"/>
        <v xml:space="preserve"> </v>
      </c>
    </row>
    <row r="32" spans="1:83" x14ac:dyDescent="0.2">
      <c r="A32" s="38">
        <f t="shared" si="32"/>
        <v>29</v>
      </c>
      <c r="B32" s="108" t="s">
        <v>370</v>
      </c>
      <c r="C32" s="38" t="s">
        <v>806</v>
      </c>
      <c r="D32" s="137">
        <v>43465</v>
      </c>
      <c r="E32" s="137">
        <v>39202</v>
      </c>
      <c r="F32" s="137">
        <v>37194</v>
      </c>
      <c r="G32" s="122">
        <v>15</v>
      </c>
      <c r="H32" s="137">
        <v>44499</v>
      </c>
      <c r="I32" s="50">
        <v>216720828.24000001</v>
      </c>
      <c r="J32" s="50">
        <v>216720828.24000001</v>
      </c>
      <c r="K32" s="50">
        <v>0</v>
      </c>
      <c r="L32" s="38">
        <v>1</v>
      </c>
      <c r="M32" s="38">
        <v>2</v>
      </c>
      <c r="N32" s="38">
        <v>2</v>
      </c>
      <c r="O32" s="50">
        <v>40416828.240000002</v>
      </c>
      <c r="P32" s="218">
        <v>0.03</v>
      </c>
      <c r="Q32" s="50">
        <v>217388.3</v>
      </c>
      <c r="R32" s="50">
        <v>1990925.1457072129</v>
      </c>
      <c r="S32" s="38" t="s">
        <v>54</v>
      </c>
      <c r="T32" s="51">
        <v>3.1662499999999996E-2</v>
      </c>
      <c r="U32" s="65">
        <v>0.45</v>
      </c>
      <c r="V32" s="105" t="s">
        <v>480</v>
      </c>
      <c r="W32" s="66">
        <v>225697.02409505649</v>
      </c>
      <c r="X32" s="66">
        <v>83222.047144296375</v>
      </c>
      <c r="Y32" s="38" t="s">
        <v>239</v>
      </c>
      <c r="Z32" s="66">
        <f t="shared" si="0"/>
        <v>83222.047144296375</v>
      </c>
      <c r="AA32" s="78"/>
      <c r="AC32" s="41">
        <f>VLOOKUP(A32,'Input Sheet'!$A$2:$B$232,2,0)</f>
        <v>1029</v>
      </c>
      <c r="AD32" s="259">
        <f t="shared" si="1"/>
        <v>83222.047144296375</v>
      </c>
      <c r="AI32" s="68"/>
      <c r="AL32" s="107">
        <f t="shared" ca="1" si="22"/>
        <v>27</v>
      </c>
      <c r="AM32" s="49">
        <f t="shared" ca="1" si="23"/>
        <v>44255</v>
      </c>
      <c r="AN32" s="137" t="str">
        <f t="shared" ca="1" si="9"/>
        <v xml:space="preserve"> </v>
      </c>
      <c r="AO32" s="107">
        <f t="shared" ca="1" si="10"/>
        <v>0</v>
      </c>
      <c r="AP32" s="143">
        <f t="shared" ca="1" si="2"/>
        <v>0</v>
      </c>
      <c r="AQ32" s="143">
        <f t="shared" ca="1" si="11"/>
        <v>0</v>
      </c>
      <c r="AR32" s="49" t="str">
        <f t="shared" ca="1" si="3"/>
        <v xml:space="preserve"> </v>
      </c>
      <c r="AS32" s="107">
        <f t="shared" ca="1" si="4"/>
        <v>0</v>
      </c>
      <c r="AT32" s="107">
        <f t="shared" ca="1" si="5"/>
        <v>0</v>
      </c>
      <c r="AU32" s="107"/>
      <c r="AV32" s="107">
        <f ca="1">MAX(SUM($AQ$6:AQ32)-SUM($AT$6:AT32),0)</f>
        <v>2700000</v>
      </c>
      <c r="AW32" s="107">
        <f t="shared" ca="1" si="24"/>
        <v>7888.9605157131346</v>
      </c>
      <c r="AX32" s="107">
        <v>0</v>
      </c>
      <c r="AY32" s="138" t="str">
        <f t="shared" ca="1" si="6"/>
        <v xml:space="preserve"> </v>
      </c>
      <c r="AZ32" s="107">
        <f t="shared" ca="1" si="7"/>
        <v>0</v>
      </c>
      <c r="BA32" s="107">
        <f ca="1">IF(AZ32=1,(SUM($AW$6:AW32,$AX$6:AX32)-SUM($BA$6:BA31)),0)</f>
        <v>0</v>
      </c>
      <c r="BB32" s="107"/>
      <c r="BC32" s="107">
        <f ca="1">AV32+SUM($AW$6:AW32)+SUM($AX$6:AX32)-SUM($BA$6:BA32)</f>
        <v>2731513.7272687675</v>
      </c>
      <c r="BD32" s="107">
        <f t="shared" ca="1" si="12"/>
        <v>28</v>
      </c>
      <c r="BE32" s="51">
        <f ca="1">'PiT PD Structure'!J72</f>
        <v>3.5734834554324024E-5</v>
      </c>
      <c r="BF32" s="139">
        <f t="shared" ca="1" si="25"/>
        <v>0.45</v>
      </c>
      <c r="BG32" s="51">
        <f t="shared" ca="1" si="13"/>
        <v>0.99812865655496519</v>
      </c>
      <c r="BH32" s="50">
        <f t="shared" ca="1" si="8"/>
        <v>43.842388020966268</v>
      </c>
      <c r="BI32" s="50">
        <f t="shared" ca="1" si="31"/>
        <v>1497.350620186674</v>
      </c>
      <c r="BJ32" s="140">
        <v>0</v>
      </c>
      <c r="BK32" s="140">
        <v>0</v>
      </c>
      <c r="BM32" s="78"/>
      <c r="BR32" s="75">
        <f t="shared" ca="1" si="27"/>
        <v>44255</v>
      </c>
      <c r="BS32" s="74">
        <f t="shared" ca="1" si="14"/>
        <v>2</v>
      </c>
      <c r="BT32" s="74">
        <f t="shared" ca="1" si="15"/>
        <v>0</v>
      </c>
      <c r="BU32" s="73" t="str">
        <f t="shared" ca="1" si="16"/>
        <v xml:space="preserve"> </v>
      </c>
      <c r="BW32" s="75">
        <f t="shared" ca="1" si="28"/>
        <v>44255</v>
      </c>
      <c r="BX32" s="74">
        <f t="shared" ca="1" si="29"/>
        <v>2</v>
      </c>
      <c r="BY32" s="74">
        <f t="shared" ca="1" si="17"/>
        <v>0</v>
      </c>
      <c r="BZ32" s="73" t="str">
        <f t="shared" ca="1" si="18"/>
        <v xml:space="preserve"> </v>
      </c>
      <c r="CB32" s="75">
        <f t="shared" ca="1" si="30"/>
        <v>44255</v>
      </c>
      <c r="CC32" s="74">
        <f t="shared" ca="1" si="19"/>
        <v>2</v>
      </c>
      <c r="CD32" s="74">
        <f t="shared" ca="1" si="20"/>
        <v>0</v>
      </c>
      <c r="CE32" s="73" t="str">
        <f t="shared" ca="1" si="21"/>
        <v xml:space="preserve"> </v>
      </c>
    </row>
    <row r="33" spans="1:83" x14ac:dyDescent="0.2">
      <c r="A33" s="38">
        <f t="shared" si="32"/>
        <v>30</v>
      </c>
      <c r="B33" s="108" t="s">
        <v>371</v>
      </c>
      <c r="C33" s="38" t="s">
        <v>806</v>
      </c>
      <c r="D33" s="137">
        <v>43465</v>
      </c>
      <c r="E33" s="137">
        <v>39202</v>
      </c>
      <c r="F33" s="137">
        <v>37376</v>
      </c>
      <c r="G33" s="122">
        <v>15</v>
      </c>
      <c r="H33" s="137">
        <v>44499</v>
      </c>
      <c r="I33" s="50">
        <v>51421998.68</v>
      </c>
      <c r="J33" s="50">
        <v>51421998.68</v>
      </c>
      <c r="K33" s="50">
        <v>0</v>
      </c>
      <c r="L33" s="38">
        <v>1</v>
      </c>
      <c r="M33" s="38">
        <v>2</v>
      </c>
      <c r="N33" s="38">
        <v>2</v>
      </c>
      <c r="O33" s="50">
        <v>32556998.68</v>
      </c>
      <c r="P33" s="218">
        <v>0.02</v>
      </c>
      <c r="Q33" s="50">
        <v>4352080.18</v>
      </c>
      <c r="R33" s="50">
        <v>1069167.6406977181</v>
      </c>
      <c r="S33" s="38" t="s">
        <v>156</v>
      </c>
      <c r="T33" s="51">
        <v>2.9249999999999998E-2</v>
      </c>
      <c r="U33" s="65">
        <v>0.45</v>
      </c>
      <c r="V33" s="105" t="s">
        <v>484</v>
      </c>
      <c r="W33" s="66">
        <v>4570183.6761706108</v>
      </c>
      <c r="X33" s="66">
        <v>2590445.4464638135</v>
      </c>
      <c r="Y33" s="38" t="s">
        <v>238</v>
      </c>
      <c r="Z33" s="66">
        <f t="shared" si="0"/>
        <v>32556998.68</v>
      </c>
      <c r="AA33" s="78"/>
      <c r="AC33" s="41">
        <f>VLOOKUP(A33,'Input Sheet'!$A$2:$B$232,2,0)</f>
        <v>1030</v>
      </c>
      <c r="AD33" s="259">
        <f t="shared" si="1"/>
        <v>32556998.68</v>
      </c>
      <c r="AI33" s="68"/>
      <c r="AL33" s="107">
        <f t="shared" ca="1" si="22"/>
        <v>28</v>
      </c>
      <c r="AM33" s="49">
        <f t="shared" ca="1" si="23"/>
        <v>44286</v>
      </c>
      <c r="AN33" s="137" t="str">
        <f t="shared" ca="1" si="9"/>
        <v xml:space="preserve"> </v>
      </c>
      <c r="AO33" s="107">
        <f t="shared" ca="1" si="10"/>
        <v>0</v>
      </c>
      <c r="AP33" s="143">
        <f t="shared" ca="1" si="2"/>
        <v>0</v>
      </c>
      <c r="AQ33" s="143">
        <f t="shared" ca="1" si="11"/>
        <v>0</v>
      </c>
      <c r="AR33" s="49" t="str">
        <f t="shared" ca="1" si="3"/>
        <v xml:space="preserve"> </v>
      </c>
      <c r="AS33" s="107">
        <f t="shared" ca="1" si="4"/>
        <v>0</v>
      </c>
      <c r="AT33" s="107">
        <f t="shared" ca="1" si="5"/>
        <v>0</v>
      </c>
      <c r="AU33" s="107"/>
      <c r="AV33" s="107">
        <f ca="1">MAX(SUM($AQ$6:AQ33)-SUM($AT$6:AT33),0)</f>
        <v>2700000</v>
      </c>
      <c r="AW33" s="107">
        <f t="shared" ca="1" si="24"/>
        <v>7884.8069738480699</v>
      </c>
      <c r="AX33" s="107">
        <v>0</v>
      </c>
      <c r="AY33" s="138" t="str">
        <f t="shared" ca="1" si="6"/>
        <v xml:space="preserve"> </v>
      </c>
      <c r="AZ33" s="107">
        <f t="shared" ca="1" si="7"/>
        <v>0</v>
      </c>
      <c r="BA33" s="107">
        <f ca="1">IF(AZ33=1,(SUM($AW$6:AW33,$AX$6:AX33)-SUM($BA$6:BA32)),0)</f>
        <v>0</v>
      </c>
      <c r="BB33" s="107"/>
      <c r="BC33" s="107">
        <f ca="1">AV33+SUM($AW$6:AW33)+SUM($AX$6:AX33)-SUM($BA$6:BA33)</f>
        <v>2739398.534242616</v>
      </c>
      <c r="BD33" s="107">
        <f t="shared" ca="1" si="12"/>
        <v>31</v>
      </c>
      <c r="BE33" s="51">
        <f ca="1">'PiT PD Structure'!J73</f>
        <v>3.5733555879269296E-5</v>
      </c>
      <c r="BF33" s="139">
        <f t="shared" ca="1" si="25"/>
        <v>0.45</v>
      </c>
      <c r="BG33" s="51">
        <f t="shared" ca="1" si="13"/>
        <v>0.99792836329088741</v>
      </c>
      <c r="BH33" s="50">
        <f t="shared" ca="1" si="8"/>
        <v>43.9585475810796</v>
      </c>
      <c r="BI33" s="50">
        <f t="shared" ca="1" si="31"/>
        <v>1453.5082321657078</v>
      </c>
      <c r="BJ33" s="140">
        <v>0</v>
      </c>
      <c r="BK33" s="140">
        <v>0</v>
      </c>
      <c r="BM33" s="78"/>
      <c r="BR33" s="75">
        <f t="shared" ca="1" si="27"/>
        <v>44286</v>
      </c>
      <c r="BS33" s="74">
        <f t="shared" ca="1" si="14"/>
        <v>3</v>
      </c>
      <c r="BT33" s="74">
        <f t="shared" ca="1" si="15"/>
        <v>0</v>
      </c>
      <c r="BU33" s="73" t="str">
        <f t="shared" ca="1" si="16"/>
        <v xml:space="preserve"> </v>
      </c>
      <c r="BW33" s="75">
        <f t="shared" ca="1" si="28"/>
        <v>44286</v>
      </c>
      <c r="BX33" s="74">
        <f t="shared" ca="1" si="29"/>
        <v>3</v>
      </c>
      <c r="BY33" s="74">
        <f t="shared" ca="1" si="17"/>
        <v>0</v>
      </c>
      <c r="BZ33" s="73" t="str">
        <f t="shared" ca="1" si="18"/>
        <v xml:space="preserve"> </v>
      </c>
      <c r="CB33" s="75">
        <f t="shared" ca="1" si="30"/>
        <v>44286</v>
      </c>
      <c r="CC33" s="74">
        <f t="shared" ca="1" si="19"/>
        <v>3</v>
      </c>
      <c r="CD33" s="74">
        <f t="shared" ca="1" si="20"/>
        <v>0</v>
      </c>
      <c r="CE33" s="73" t="str">
        <f t="shared" ca="1" si="21"/>
        <v xml:space="preserve"> </v>
      </c>
    </row>
    <row r="34" spans="1:83" x14ac:dyDescent="0.2">
      <c r="A34" s="38">
        <f t="shared" si="32"/>
        <v>31</v>
      </c>
      <c r="B34" s="108" t="s">
        <v>372</v>
      </c>
      <c r="C34" s="38" t="s">
        <v>806</v>
      </c>
      <c r="D34" s="137">
        <v>43465</v>
      </c>
      <c r="E34" s="137">
        <v>39202</v>
      </c>
      <c r="F34" s="137">
        <v>37376</v>
      </c>
      <c r="G34" s="122">
        <v>15</v>
      </c>
      <c r="H34" s="137">
        <v>44499</v>
      </c>
      <c r="I34" s="50">
        <v>91825000</v>
      </c>
      <c r="J34" s="50">
        <v>62325547.75</v>
      </c>
      <c r="K34" s="50">
        <v>29499452.25</v>
      </c>
      <c r="L34" s="38">
        <v>4</v>
      </c>
      <c r="M34" s="38">
        <v>2</v>
      </c>
      <c r="N34" s="38">
        <v>2</v>
      </c>
      <c r="O34" s="50">
        <v>982238.81</v>
      </c>
      <c r="P34" s="218">
        <v>0.03</v>
      </c>
      <c r="Q34" s="50">
        <v>3841.56</v>
      </c>
      <c r="R34" s="50">
        <v>1501522.2088845619</v>
      </c>
      <c r="S34" s="38" t="s">
        <v>12</v>
      </c>
      <c r="T34" s="51">
        <v>4.5999999999999999E-2</v>
      </c>
      <c r="U34" s="65">
        <v>0.45</v>
      </c>
      <c r="V34" s="105" t="s">
        <v>479</v>
      </c>
      <c r="W34" s="66">
        <v>595610.40088927129</v>
      </c>
      <c r="X34" s="66">
        <v>257630.7114231064</v>
      </c>
      <c r="Y34" s="38" t="s">
        <v>237</v>
      </c>
      <c r="Z34" s="66">
        <f t="shared" si="0"/>
        <v>595610.40088927129</v>
      </c>
      <c r="AA34" s="67"/>
      <c r="AC34" s="41">
        <f>VLOOKUP(A34,'Input Sheet'!$A$2:$B$232,2,0)</f>
        <v>1031</v>
      </c>
      <c r="AD34" s="259">
        <f t="shared" si="1"/>
        <v>595610.40088927129</v>
      </c>
      <c r="AI34" s="68"/>
      <c r="AL34" s="107">
        <f t="shared" ca="1" si="22"/>
        <v>29</v>
      </c>
      <c r="AM34" s="49">
        <f t="shared" ca="1" si="23"/>
        <v>44316</v>
      </c>
      <c r="AN34" s="137" t="str">
        <f t="shared" ca="1" si="9"/>
        <v xml:space="preserve"> </v>
      </c>
      <c r="AO34" s="107">
        <f t="shared" ca="1" si="10"/>
        <v>0</v>
      </c>
      <c r="AP34" s="143">
        <f t="shared" ca="1" si="2"/>
        <v>0</v>
      </c>
      <c r="AQ34" s="143">
        <f t="shared" ca="1" si="11"/>
        <v>0</v>
      </c>
      <c r="AR34" s="49" t="str">
        <f t="shared" ca="1" si="3"/>
        <v xml:space="preserve"> </v>
      </c>
      <c r="AS34" s="107">
        <f t="shared" ca="1" si="4"/>
        <v>0</v>
      </c>
      <c r="AT34" s="107">
        <f t="shared" ca="1" si="5"/>
        <v>0</v>
      </c>
      <c r="AU34" s="107"/>
      <c r="AV34" s="107">
        <f ca="1">MAX(SUM($AQ$6:AQ34)-SUM($AT$6:AT34),0)</f>
        <v>2700000</v>
      </c>
      <c r="AW34" s="107">
        <f t="shared" ca="1" si="24"/>
        <v>7888.4845890410961</v>
      </c>
      <c r="AX34" s="107">
        <v>0</v>
      </c>
      <c r="AY34" s="138">
        <f t="shared" ca="1" si="6"/>
        <v>44316</v>
      </c>
      <c r="AZ34" s="107">
        <f t="shared" ca="1" si="7"/>
        <v>1</v>
      </c>
      <c r="BA34" s="107">
        <f ca="1">IF(AZ34=1,(SUM($AW$6:AW34,$AX$6:AX34)-SUM($BA$6:BA33)),0)</f>
        <v>47287.01883165678</v>
      </c>
      <c r="BB34" s="107"/>
      <c r="BC34" s="107">
        <f ca="1">AV34+SUM($AW$6:AW34)+SUM($AX$6:AX34)-SUM($BA$6:BA34)</f>
        <v>2699999.9999999995</v>
      </c>
      <c r="BD34" s="107">
        <f t="shared" ca="1" si="12"/>
        <v>30</v>
      </c>
      <c r="BE34" s="51">
        <f ca="1">'PiT PD Structure'!J74</f>
        <v>3.5732277249955757E-5</v>
      </c>
      <c r="BF34" s="139">
        <f t="shared" ca="1" si="25"/>
        <v>0.45</v>
      </c>
      <c r="BG34" s="51">
        <f t="shared" ca="1" si="13"/>
        <v>0.99799512324600315</v>
      </c>
      <c r="BH34" s="50">
        <f t="shared" ca="1" si="8"/>
        <v>43.327675702084882</v>
      </c>
      <c r="BI34" s="50">
        <f t="shared" ca="1" si="31"/>
        <v>1409.5496845846283</v>
      </c>
      <c r="BJ34" s="140">
        <v>0</v>
      </c>
      <c r="BK34" s="140">
        <v>0</v>
      </c>
      <c r="BM34" s="78"/>
      <c r="BR34" s="75">
        <f t="shared" ca="1" si="27"/>
        <v>44316</v>
      </c>
      <c r="BS34" s="74">
        <f t="shared" ca="1" si="14"/>
        <v>4</v>
      </c>
      <c r="BT34" s="74">
        <f t="shared" ca="1" si="15"/>
        <v>0</v>
      </c>
      <c r="BU34" s="73" t="str">
        <f t="shared" ca="1" si="16"/>
        <v xml:space="preserve"> </v>
      </c>
      <c r="BW34" s="75">
        <f t="shared" ca="1" si="28"/>
        <v>44316</v>
      </c>
      <c r="BX34" s="74">
        <f t="shared" ca="1" si="29"/>
        <v>4</v>
      </c>
      <c r="BY34" s="74">
        <f t="shared" ca="1" si="17"/>
        <v>1</v>
      </c>
      <c r="BZ34" s="73">
        <f t="shared" ca="1" si="18"/>
        <v>44316</v>
      </c>
      <c r="CB34" s="75">
        <f t="shared" ca="1" si="30"/>
        <v>44316</v>
      </c>
      <c r="CC34" s="74">
        <f t="shared" ca="1" si="19"/>
        <v>4</v>
      </c>
      <c r="CD34" s="74">
        <f t="shared" ca="1" si="20"/>
        <v>0</v>
      </c>
      <c r="CE34" s="73" t="str">
        <f t="shared" ca="1" si="21"/>
        <v xml:space="preserve"> </v>
      </c>
    </row>
    <row r="35" spans="1:83" x14ac:dyDescent="0.2">
      <c r="A35" s="38">
        <f t="shared" si="32"/>
        <v>32</v>
      </c>
      <c r="B35" s="108" t="s">
        <v>373</v>
      </c>
      <c r="C35" s="38" t="s">
        <v>806</v>
      </c>
      <c r="D35" s="137">
        <v>43465</v>
      </c>
      <c r="E35" s="137">
        <v>39202</v>
      </c>
      <c r="F35" s="137">
        <v>37376</v>
      </c>
      <c r="G35" s="122">
        <v>13</v>
      </c>
      <c r="H35" s="137">
        <v>44499</v>
      </c>
      <c r="I35" s="50">
        <v>272856305.56</v>
      </c>
      <c r="J35" s="50">
        <v>272856305.56</v>
      </c>
      <c r="K35" s="50">
        <v>0</v>
      </c>
      <c r="L35" s="38">
        <v>1</v>
      </c>
      <c r="M35" s="38">
        <v>2</v>
      </c>
      <c r="N35" s="38">
        <v>2</v>
      </c>
      <c r="O35" s="50">
        <v>9346305.5600000005</v>
      </c>
      <c r="P35" s="218">
        <v>0.03</v>
      </c>
      <c r="Q35" s="50">
        <v>46342.89</v>
      </c>
      <c r="R35" s="50">
        <v>460397.20505458285</v>
      </c>
      <c r="S35" s="38" t="s">
        <v>62</v>
      </c>
      <c r="T35" s="51">
        <v>3.7499999999999999E-2</v>
      </c>
      <c r="U35" s="65">
        <v>0.45</v>
      </c>
      <c r="V35" s="105" t="s">
        <v>513</v>
      </c>
      <c r="W35" s="66">
        <v>277109.9090327911</v>
      </c>
      <c r="X35" s="66">
        <v>120136.40399339941</v>
      </c>
      <c r="Y35" s="38" t="s">
        <v>239</v>
      </c>
      <c r="Z35" s="66">
        <f t="shared" si="0"/>
        <v>120136.40399339941</v>
      </c>
      <c r="AA35" s="67"/>
      <c r="AC35" s="41">
        <f>VLOOKUP(A35,'Input Sheet'!$A$2:$B$232,2,0)</f>
        <v>1032</v>
      </c>
      <c r="AD35" s="259">
        <f t="shared" si="1"/>
        <v>120136.40399339941</v>
      </c>
      <c r="AI35" s="68"/>
      <c r="AL35" s="107">
        <f t="shared" ca="1" si="22"/>
        <v>30</v>
      </c>
      <c r="AM35" s="49">
        <f t="shared" ca="1" si="23"/>
        <v>44347</v>
      </c>
      <c r="AN35" s="137" t="str">
        <f t="shared" ca="1" si="9"/>
        <v xml:space="preserve"> </v>
      </c>
      <c r="AO35" s="107">
        <f t="shared" ca="1" si="10"/>
        <v>0</v>
      </c>
      <c r="AP35" s="143">
        <f t="shared" ca="1" si="2"/>
        <v>0</v>
      </c>
      <c r="AQ35" s="143">
        <f t="shared" ca="1" si="11"/>
        <v>0</v>
      </c>
      <c r="AR35" s="49" t="str">
        <f t="shared" ca="1" si="3"/>
        <v xml:space="preserve"> </v>
      </c>
      <c r="AS35" s="107">
        <f t="shared" ca="1" si="4"/>
        <v>0</v>
      </c>
      <c r="AT35" s="107">
        <f t="shared" ca="1" si="5"/>
        <v>0</v>
      </c>
      <c r="AU35" s="107"/>
      <c r="AV35" s="107">
        <f ca="1">MAX(SUM($AQ$6:AQ35)-SUM($AT$6:AT35),0)</f>
        <v>2700000</v>
      </c>
      <c r="AW35" s="107">
        <f t="shared" ca="1" si="24"/>
        <v>7884.0477242598336</v>
      </c>
      <c r="AX35" s="107">
        <v>0</v>
      </c>
      <c r="AY35" s="138" t="str">
        <f t="shared" ca="1" si="6"/>
        <v xml:space="preserve"> </v>
      </c>
      <c r="AZ35" s="107">
        <f t="shared" ca="1" si="7"/>
        <v>0</v>
      </c>
      <c r="BA35" s="107">
        <f ca="1">IF(AZ35=1,(SUM($AW$6:AW35,$AX$6:AX35)-SUM($BA$6:BA34)),0)</f>
        <v>0</v>
      </c>
      <c r="BB35" s="107"/>
      <c r="BC35" s="107">
        <f ca="1">AV35+SUM($AW$6:AW35)+SUM($AX$6:AX35)-SUM($BA$6:BA35)</f>
        <v>2707884.0477242596</v>
      </c>
      <c r="BD35" s="107">
        <f t="shared" ca="1" si="12"/>
        <v>31</v>
      </c>
      <c r="BE35" s="51">
        <f ca="1">'PiT PD Structure'!J75</f>
        <v>3.5730998666605451E-5</v>
      </c>
      <c r="BF35" s="139">
        <f t="shared" ca="1" si="25"/>
        <v>0.45</v>
      </c>
      <c r="BG35" s="51">
        <f t="shared" ca="1" si="13"/>
        <v>0.99792836329088741</v>
      </c>
      <c r="BH35" s="50">
        <f t="shared" ca="1" si="8"/>
        <v>43.449731665840204</v>
      </c>
      <c r="BI35" s="50">
        <f t="shared" ca="1" si="31"/>
        <v>1366.2220088825434</v>
      </c>
      <c r="BJ35" s="140">
        <v>0</v>
      </c>
      <c r="BK35" s="140">
        <v>0</v>
      </c>
      <c r="BM35" s="78"/>
      <c r="BR35" s="75">
        <f t="shared" ca="1" si="27"/>
        <v>44347</v>
      </c>
      <c r="BS35" s="74">
        <f t="shared" ca="1" si="14"/>
        <v>5</v>
      </c>
      <c r="BT35" s="74">
        <f t="shared" ca="1" si="15"/>
        <v>0</v>
      </c>
      <c r="BU35" s="73" t="str">
        <f t="shared" ca="1" si="16"/>
        <v xml:space="preserve"> </v>
      </c>
      <c r="BW35" s="75">
        <f t="shared" ca="1" si="28"/>
        <v>44347</v>
      </c>
      <c r="BX35" s="74">
        <f t="shared" ca="1" si="29"/>
        <v>5</v>
      </c>
      <c r="BY35" s="74">
        <f t="shared" ca="1" si="17"/>
        <v>0</v>
      </c>
      <c r="BZ35" s="73" t="str">
        <f t="shared" ca="1" si="18"/>
        <v xml:space="preserve"> </v>
      </c>
      <c r="CB35" s="75">
        <f t="shared" ca="1" si="30"/>
        <v>44347</v>
      </c>
      <c r="CC35" s="74">
        <f t="shared" ca="1" si="19"/>
        <v>5</v>
      </c>
      <c r="CD35" s="74">
        <f t="shared" ca="1" si="20"/>
        <v>0</v>
      </c>
      <c r="CE35" s="73" t="str">
        <f t="shared" ca="1" si="21"/>
        <v xml:space="preserve"> </v>
      </c>
    </row>
    <row r="36" spans="1:83" x14ac:dyDescent="0.2">
      <c r="A36" s="38">
        <f t="shared" si="32"/>
        <v>33</v>
      </c>
      <c r="B36" s="108" t="s">
        <v>374</v>
      </c>
      <c r="C36" s="38" t="s">
        <v>806</v>
      </c>
      <c r="D36" s="137">
        <v>43465</v>
      </c>
      <c r="E36" s="137">
        <v>39385</v>
      </c>
      <c r="F36" s="137">
        <v>37559</v>
      </c>
      <c r="G36" s="122">
        <v>15</v>
      </c>
      <c r="H36" s="137">
        <v>44681</v>
      </c>
      <c r="I36" s="50">
        <v>367300000</v>
      </c>
      <c r="J36" s="50">
        <v>367300000</v>
      </c>
      <c r="K36" s="50">
        <v>0</v>
      </c>
      <c r="L36" s="38">
        <v>1</v>
      </c>
      <c r="M36" s="38">
        <v>2</v>
      </c>
      <c r="N36" s="38">
        <v>2</v>
      </c>
      <c r="O36" s="50">
        <v>244870000</v>
      </c>
      <c r="P36" s="218">
        <v>0.02</v>
      </c>
      <c r="Q36" s="50">
        <v>32728922.149999999</v>
      </c>
      <c r="R36" s="50">
        <v>9153795.8599046338</v>
      </c>
      <c r="S36" s="38" t="s">
        <v>156</v>
      </c>
      <c r="T36" s="51">
        <v>2.9249999999999998E-2</v>
      </c>
      <c r="U36" s="65">
        <v>0.45</v>
      </c>
      <c r="V36" s="105" t="s">
        <v>484</v>
      </c>
      <c r="W36" s="66">
        <v>39687535.395376392</v>
      </c>
      <c r="X36" s="66">
        <v>19885672.689597126</v>
      </c>
      <c r="Y36" s="38" t="s">
        <v>238</v>
      </c>
      <c r="Z36" s="66">
        <f t="shared" si="0"/>
        <v>244870000</v>
      </c>
      <c r="AA36" s="67"/>
      <c r="AC36" s="41">
        <f>VLOOKUP(A36,'Input Sheet'!$A$2:$B$232,2,0)</f>
        <v>1033</v>
      </c>
      <c r="AD36" s="259">
        <f t="shared" si="1"/>
        <v>244870000</v>
      </c>
      <c r="AI36" s="68"/>
      <c r="AL36" s="107">
        <f t="shared" ca="1" si="22"/>
        <v>31</v>
      </c>
      <c r="AM36" s="49">
        <f t="shared" ca="1" si="23"/>
        <v>44377</v>
      </c>
      <c r="AN36" s="137" t="str">
        <f t="shared" ca="1" si="9"/>
        <v xml:space="preserve"> </v>
      </c>
      <c r="AO36" s="107">
        <f t="shared" ca="1" si="10"/>
        <v>0</v>
      </c>
      <c r="AP36" s="143">
        <f t="shared" ca="1" si="2"/>
        <v>0</v>
      </c>
      <c r="AQ36" s="143">
        <f t="shared" ca="1" si="11"/>
        <v>0</v>
      </c>
      <c r="AR36" s="49" t="str">
        <f t="shared" ca="1" si="3"/>
        <v xml:space="preserve"> </v>
      </c>
      <c r="AS36" s="107">
        <f t="shared" ca="1" si="4"/>
        <v>0</v>
      </c>
      <c r="AT36" s="107">
        <f t="shared" ca="1" si="5"/>
        <v>0</v>
      </c>
      <c r="AU36" s="107"/>
      <c r="AV36" s="107">
        <f ca="1">MAX(SUM($AQ$6:AQ36)-SUM($AT$6:AT36),0)</f>
        <v>2700000</v>
      </c>
      <c r="AW36" s="107">
        <f t="shared" ca="1" si="24"/>
        <v>7887.9452054794538</v>
      </c>
      <c r="AX36" s="107">
        <v>0</v>
      </c>
      <c r="AY36" s="138" t="str">
        <f t="shared" ca="1" si="6"/>
        <v xml:space="preserve"> </v>
      </c>
      <c r="AZ36" s="107">
        <f t="shared" ca="1" si="7"/>
        <v>0</v>
      </c>
      <c r="BA36" s="107">
        <f ca="1">IF(AZ36=1,(SUM($AW$6:AW36,$AX$6:AX36)-SUM($BA$6:BA35)),0)</f>
        <v>0</v>
      </c>
      <c r="BB36" s="107"/>
      <c r="BC36" s="107">
        <f ca="1">AV36+SUM($AW$6:AW36)+SUM($AX$6:AX36)-SUM($BA$6:BA36)</f>
        <v>2715771.9929297394</v>
      </c>
      <c r="BD36" s="107">
        <f t="shared" ca="1" si="12"/>
        <v>30</v>
      </c>
      <c r="BE36" s="51">
        <f ca="1">'PiT PD Structure'!J76</f>
        <v>3.5729720128774289E-5</v>
      </c>
      <c r="BF36" s="139">
        <f t="shared" ca="1" si="25"/>
        <v>0.45</v>
      </c>
      <c r="BG36" s="51">
        <f t="shared" ca="1" si="13"/>
        <v>0.99799512324600315</v>
      </c>
      <c r="BH36" s="50">
        <f t="shared" ca="1" si="8"/>
        <v>43.57765461807891</v>
      </c>
      <c r="BI36" s="50">
        <f t="shared" ca="1" si="31"/>
        <v>1322.7722772167031</v>
      </c>
      <c r="BJ36" s="140">
        <v>0</v>
      </c>
      <c r="BK36" s="140">
        <v>0</v>
      </c>
      <c r="BM36" s="78"/>
      <c r="BR36" s="75">
        <f t="shared" ca="1" si="27"/>
        <v>44377</v>
      </c>
      <c r="BS36" s="74">
        <f t="shared" ca="1" si="14"/>
        <v>6</v>
      </c>
      <c r="BT36" s="74">
        <f t="shared" ca="1" si="15"/>
        <v>0</v>
      </c>
      <c r="BU36" s="73" t="str">
        <f t="shared" ca="1" si="16"/>
        <v xml:space="preserve"> </v>
      </c>
      <c r="BW36" s="75">
        <f t="shared" ca="1" si="28"/>
        <v>44377</v>
      </c>
      <c r="BX36" s="74">
        <f t="shared" ca="1" si="29"/>
        <v>6</v>
      </c>
      <c r="BY36" s="74">
        <f t="shared" ca="1" si="17"/>
        <v>0</v>
      </c>
      <c r="BZ36" s="73" t="str">
        <f t="shared" ca="1" si="18"/>
        <v xml:space="preserve"> </v>
      </c>
      <c r="CB36" s="75">
        <f t="shared" ca="1" si="30"/>
        <v>44377</v>
      </c>
      <c r="CC36" s="74">
        <f t="shared" ca="1" si="19"/>
        <v>6</v>
      </c>
      <c r="CD36" s="74">
        <f t="shared" ca="1" si="20"/>
        <v>0</v>
      </c>
      <c r="CE36" s="73" t="str">
        <f t="shared" ca="1" si="21"/>
        <v xml:space="preserve"> </v>
      </c>
    </row>
    <row r="37" spans="1:83" x14ac:dyDescent="0.2">
      <c r="A37" s="38">
        <f t="shared" si="32"/>
        <v>34</v>
      </c>
      <c r="B37" s="108" t="s">
        <v>375</v>
      </c>
      <c r="C37" s="38" t="s">
        <v>806</v>
      </c>
      <c r="D37" s="137">
        <v>43465</v>
      </c>
      <c r="E37" s="137">
        <v>38656</v>
      </c>
      <c r="F37" s="137">
        <v>37741</v>
      </c>
      <c r="G37" s="122">
        <v>15</v>
      </c>
      <c r="H37" s="137">
        <v>43951</v>
      </c>
      <c r="I37" s="50">
        <v>734600000</v>
      </c>
      <c r="J37" s="50">
        <v>734600000</v>
      </c>
      <c r="K37" s="50">
        <v>0</v>
      </c>
      <c r="L37" s="38">
        <v>1</v>
      </c>
      <c r="M37" s="38">
        <v>2</v>
      </c>
      <c r="N37" s="38">
        <v>2</v>
      </c>
      <c r="O37" s="50">
        <v>73458000</v>
      </c>
      <c r="P37" s="218">
        <v>2.5000000000000001E-2</v>
      </c>
      <c r="Q37" s="50">
        <v>245692.74</v>
      </c>
      <c r="R37" s="50">
        <v>1551874.1232876712</v>
      </c>
      <c r="S37" s="38" t="s">
        <v>54</v>
      </c>
      <c r="T37" s="51">
        <v>3.1662499999999996E-2</v>
      </c>
      <c r="U37" s="65">
        <v>0.45</v>
      </c>
      <c r="V37" s="105" t="s">
        <v>480</v>
      </c>
      <c r="W37" s="66">
        <v>151761.79001430128</v>
      </c>
      <c r="X37" s="66">
        <v>126760.97759548784</v>
      </c>
      <c r="Y37" s="38" t="s">
        <v>239</v>
      </c>
      <c r="Z37" s="66">
        <f t="shared" si="0"/>
        <v>126760.97759548784</v>
      </c>
      <c r="AA37" s="67"/>
      <c r="AC37" s="41">
        <f>VLOOKUP(A37,'Input Sheet'!$A$2:$B$232,2,0)</f>
        <v>1034</v>
      </c>
      <c r="AD37" s="259">
        <f t="shared" si="1"/>
        <v>126760.97759548784</v>
      </c>
      <c r="AI37" s="68"/>
      <c r="AL37" s="107">
        <f t="shared" ca="1" si="22"/>
        <v>32</v>
      </c>
      <c r="AM37" s="49">
        <f t="shared" ca="1" si="23"/>
        <v>44408</v>
      </c>
      <c r="AN37" s="137" t="str">
        <f t="shared" ca="1" si="9"/>
        <v xml:space="preserve"> </v>
      </c>
      <c r="AO37" s="107">
        <f t="shared" ca="1" si="10"/>
        <v>0</v>
      </c>
      <c r="AP37" s="143">
        <f t="shared" ca="1" si="2"/>
        <v>0</v>
      </c>
      <c r="AQ37" s="143">
        <f t="shared" ca="1" si="11"/>
        <v>0</v>
      </c>
      <c r="AR37" s="49" t="str">
        <f t="shared" ca="1" si="3"/>
        <v xml:space="preserve"> </v>
      </c>
      <c r="AS37" s="107">
        <f t="shared" ca="1" si="4"/>
        <v>0</v>
      </c>
      <c r="AT37" s="107">
        <f t="shared" ca="1" si="5"/>
        <v>0</v>
      </c>
      <c r="AU37" s="107"/>
      <c r="AV37" s="107">
        <f ca="1">MAX(SUM($AQ$6:AQ37)-SUM($AT$6:AT37),0)</f>
        <v>2700000</v>
      </c>
      <c r="AW37" s="107">
        <f t="shared" ca="1" si="24"/>
        <v>7883.1837505904587</v>
      </c>
      <c r="AX37" s="107">
        <v>0</v>
      </c>
      <c r="AY37" s="138" t="str">
        <f t="shared" ca="1" si="6"/>
        <v xml:space="preserve"> </v>
      </c>
      <c r="AZ37" s="107">
        <f t="shared" ca="1" si="7"/>
        <v>0</v>
      </c>
      <c r="BA37" s="107">
        <f ca="1">IF(AZ37=1,(SUM($AW$6:AW37,$AX$6:AX37)-SUM($BA$6:BA36)),0)</f>
        <v>0</v>
      </c>
      <c r="BB37" s="107"/>
      <c r="BC37" s="107">
        <f ca="1">AV37+SUM($AW$6:AW37)+SUM($AX$6:AX37)-SUM($BA$6:BA37)</f>
        <v>2723655.1766803297</v>
      </c>
      <c r="BD37" s="107">
        <f t="shared" ca="1" si="12"/>
        <v>31</v>
      </c>
      <c r="BE37" s="51">
        <f ca="1">'PiT PD Structure'!J77</f>
        <v>3.5728441636795338E-5</v>
      </c>
      <c r="BF37" s="139">
        <f t="shared" ca="1" si="25"/>
        <v>0.45</v>
      </c>
      <c r="BG37" s="51">
        <f t="shared" ca="1" si="13"/>
        <v>0.99792836329088741</v>
      </c>
      <c r="BH37" s="50">
        <f t="shared" ca="1" si="8"/>
        <v>43.699662000236813</v>
      </c>
      <c r="BI37" s="50">
        <f t="shared" ca="1" si="31"/>
        <v>1279.1946225986242</v>
      </c>
      <c r="BJ37" s="140">
        <v>0</v>
      </c>
      <c r="BK37" s="140">
        <v>0</v>
      </c>
      <c r="BM37" s="78"/>
      <c r="BR37" s="75">
        <f t="shared" ca="1" si="27"/>
        <v>44408</v>
      </c>
      <c r="BS37" s="74">
        <f t="shared" ca="1" si="14"/>
        <v>7</v>
      </c>
      <c r="BT37" s="74">
        <f t="shared" ca="1" si="15"/>
        <v>0</v>
      </c>
      <c r="BU37" s="73" t="str">
        <f t="shared" ca="1" si="16"/>
        <v xml:space="preserve"> </v>
      </c>
      <c r="BW37" s="75">
        <f t="shared" ca="1" si="28"/>
        <v>44408</v>
      </c>
      <c r="BX37" s="74">
        <f t="shared" ca="1" si="29"/>
        <v>7</v>
      </c>
      <c r="BY37" s="74">
        <f t="shared" ca="1" si="17"/>
        <v>0</v>
      </c>
      <c r="BZ37" s="73" t="str">
        <f t="shared" ca="1" si="18"/>
        <v xml:space="preserve"> </v>
      </c>
      <c r="CB37" s="75">
        <f t="shared" ca="1" si="30"/>
        <v>44408</v>
      </c>
      <c r="CC37" s="74">
        <f t="shared" ca="1" si="19"/>
        <v>7</v>
      </c>
      <c r="CD37" s="74">
        <f t="shared" ca="1" si="20"/>
        <v>0</v>
      </c>
      <c r="CE37" s="73" t="str">
        <f t="shared" ca="1" si="21"/>
        <v xml:space="preserve"> </v>
      </c>
    </row>
    <row r="38" spans="1:83" x14ac:dyDescent="0.2">
      <c r="A38" s="38">
        <f t="shared" si="32"/>
        <v>35</v>
      </c>
      <c r="B38" s="108" t="s">
        <v>376</v>
      </c>
      <c r="C38" s="38" t="s">
        <v>806</v>
      </c>
      <c r="D38" s="137">
        <v>43465</v>
      </c>
      <c r="E38" s="137">
        <v>39385</v>
      </c>
      <c r="F38" s="137">
        <v>37741</v>
      </c>
      <c r="G38" s="122">
        <v>20</v>
      </c>
      <c r="H38" s="137">
        <v>46507</v>
      </c>
      <c r="I38" s="50">
        <v>51353762.159999996</v>
      </c>
      <c r="J38" s="50">
        <v>51353762.159999996</v>
      </c>
      <c r="K38" s="50">
        <v>0</v>
      </c>
      <c r="L38" s="38">
        <v>1</v>
      </c>
      <c r="M38" s="38">
        <v>2</v>
      </c>
      <c r="N38" s="38">
        <v>2</v>
      </c>
      <c r="O38" s="50">
        <v>12773762.16</v>
      </c>
      <c r="P38" s="218">
        <v>0.02</v>
      </c>
      <c r="Q38" s="50">
        <v>32037.25</v>
      </c>
      <c r="R38" s="50">
        <v>1118690.6075048775</v>
      </c>
      <c r="S38" s="38" t="s">
        <v>60</v>
      </c>
      <c r="T38" s="51">
        <v>3.1666666666666662E-2</v>
      </c>
      <c r="U38" s="65">
        <v>0.45</v>
      </c>
      <c r="V38" s="105" t="s">
        <v>504</v>
      </c>
      <c r="W38" s="66">
        <v>380600.55546352017</v>
      </c>
      <c r="X38" s="66">
        <v>29170.224287719568</v>
      </c>
      <c r="Y38" s="38" t="s">
        <v>237</v>
      </c>
      <c r="Z38" s="66">
        <f t="shared" si="0"/>
        <v>380600.55546352017</v>
      </c>
      <c r="AA38" s="67"/>
      <c r="AC38" s="41">
        <f>VLOOKUP(A38,'Input Sheet'!$A$2:$B$232,2,0)</f>
        <v>1035</v>
      </c>
      <c r="AD38" s="259">
        <f t="shared" si="1"/>
        <v>380600.55546352017</v>
      </c>
      <c r="AI38" s="68"/>
      <c r="AL38" s="107">
        <f t="shared" ca="1" si="22"/>
        <v>33</v>
      </c>
      <c r="AM38" s="49">
        <f t="shared" ca="1" si="23"/>
        <v>44439</v>
      </c>
      <c r="AN38" s="137" t="str">
        <f t="shared" ca="1" si="9"/>
        <v xml:space="preserve"> </v>
      </c>
      <c r="AO38" s="107">
        <f t="shared" ca="1" si="10"/>
        <v>0</v>
      </c>
      <c r="AP38" s="143">
        <f t="shared" ca="1" si="2"/>
        <v>0</v>
      </c>
      <c r="AQ38" s="143">
        <f t="shared" ca="1" si="11"/>
        <v>0</v>
      </c>
      <c r="AR38" s="49" t="str">
        <f t="shared" ca="1" si="3"/>
        <v xml:space="preserve"> </v>
      </c>
      <c r="AS38" s="107">
        <f t="shared" ca="1" si="4"/>
        <v>0</v>
      </c>
      <c r="AT38" s="107">
        <f t="shared" ca="1" si="5"/>
        <v>0</v>
      </c>
      <c r="AU38" s="107"/>
      <c r="AV38" s="107">
        <f ca="1">MAX(SUM($AQ$6:AQ38)-SUM($AT$6:AT38),0)</f>
        <v>2700000</v>
      </c>
      <c r="AW38" s="107">
        <f t="shared" ca="1" si="24"/>
        <v>7878.0821917808235</v>
      </c>
      <c r="AX38" s="107">
        <v>0</v>
      </c>
      <c r="AY38" s="138" t="str">
        <f t="shared" ca="1" si="6"/>
        <v xml:space="preserve"> </v>
      </c>
      <c r="AZ38" s="107">
        <f t="shared" ca="1" si="7"/>
        <v>0</v>
      </c>
      <c r="BA38" s="107">
        <f ca="1">IF(AZ38=1,(SUM($AW$6:AW38,$AX$6:AX38)-SUM($BA$6:BA37)),0)</f>
        <v>0</v>
      </c>
      <c r="BB38" s="107"/>
      <c r="BC38" s="107">
        <f ca="1">AV38+SUM($AW$6:AW38)+SUM($AX$6:AX38)-SUM($BA$6:BA38)</f>
        <v>2731533.2588721109</v>
      </c>
      <c r="BD38" s="107">
        <f t="shared" ca="1" si="12"/>
        <v>31</v>
      </c>
      <c r="BE38" s="51">
        <f ca="1">'PiT PD Structure'!J78</f>
        <v>3.5727163190668598E-5</v>
      </c>
      <c r="BF38" s="139">
        <f t="shared" ca="1" si="25"/>
        <v>0.45</v>
      </c>
      <c r="BG38" s="51">
        <f t="shared" ca="1" si="13"/>
        <v>0.99792836329088741</v>
      </c>
      <c r="BH38" s="50">
        <f t="shared" ca="1" si="8"/>
        <v>43.824493624370248</v>
      </c>
      <c r="BI38" s="50">
        <f t="shared" ca="1" si="31"/>
        <v>1235.4949605983873</v>
      </c>
      <c r="BJ38" s="140">
        <v>0</v>
      </c>
      <c r="BK38" s="140">
        <v>0</v>
      </c>
      <c r="BM38" s="78"/>
      <c r="BR38" s="75">
        <f t="shared" ca="1" si="27"/>
        <v>44439</v>
      </c>
      <c r="BS38" s="74">
        <f t="shared" ca="1" si="14"/>
        <v>8</v>
      </c>
      <c r="BT38" s="74">
        <f t="shared" ca="1" si="15"/>
        <v>0</v>
      </c>
      <c r="BU38" s="73" t="str">
        <f t="shared" ca="1" si="16"/>
        <v xml:space="preserve"> </v>
      </c>
      <c r="BW38" s="75">
        <f t="shared" ca="1" si="28"/>
        <v>44439</v>
      </c>
      <c r="BX38" s="74">
        <f t="shared" ca="1" si="29"/>
        <v>8</v>
      </c>
      <c r="BY38" s="74">
        <f t="shared" ca="1" si="17"/>
        <v>0</v>
      </c>
      <c r="BZ38" s="73" t="str">
        <f t="shared" ca="1" si="18"/>
        <v xml:space="preserve"> </v>
      </c>
      <c r="CB38" s="75">
        <f t="shared" ca="1" si="30"/>
        <v>44439</v>
      </c>
      <c r="CC38" s="74">
        <f t="shared" ca="1" si="19"/>
        <v>8</v>
      </c>
      <c r="CD38" s="74">
        <f t="shared" ca="1" si="20"/>
        <v>0</v>
      </c>
      <c r="CE38" s="73" t="str">
        <f t="shared" ca="1" si="21"/>
        <v xml:space="preserve"> </v>
      </c>
    </row>
    <row r="39" spans="1:83" x14ac:dyDescent="0.2">
      <c r="A39" s="38">
        <f t="shared" si="32"/>
        <v>36</v>
      </c>
      <c r="B39" s="108" t="s">
        <v>377</v>
      </c>
      <c r="C39" s="38" t="s">
        <v>806</v>
      </c>
      <c r="D39" s="137">
        <v>43465</v>
      </c>
      <c r="E39" s="137">
        <v>39385</v>
      </c>
      <c r="F39" s="137">
        <v>37741</v>
      </c>
      <c r="G39" s="122">
        <v>15</v>
      </c>
      <c r="H39" s="137">
        <v>44681</v>
      </c>
      <c r="I39" s="50">
        <v>73460000</v>
      </c>
      <c r="J39" s="50">
        <v>27044880.699999999</v>
      </c>
      <c r="K39" s="50">
        <v>46415119.299999997</v>
      </c>
      <c r="L39" s="38">
        <v>1</v>
      </c>
      <c r="M39" s="38">
        <v>2</v>
      </c>
      <c r="N39" s="38">
        <v>2</v>
      </c>
      <c r="O39" s="50">
        <v>4994880.7</v>
      </c>
      <c r="P39" s="218">
        <v>3.5000000000000003E-2</v>
      </c>
      <c r="Q39" s="50">
        <v>1338632.3500000001</v>
      </c>
      <c r="R39" s="50">
        <v>3363189.1576182069</v>
      </c>
      <c r="S39" s="38" t="s">
        <v>62</v>
      </c>
      <c r="T39" s="51">
        <v>3.6666666666666667E-2</v>
      </c>
      <c r="U39" s="65">
        <v>0.45</v>
      </c>
      <c r="V39" s="105" t="s">
        <v>476</v>
      </c>
      <c r="W39" s="66">
        <v>1622183.21577105</v>
      </c>
      <c r="X39" s="66">
        <v>574082.0711174726</v>
      </c>
      <c r="Y39" s="38" t="s">
        <v>238</v>
      </c>
      <c r="Z39" s="66">
        <f t="shared" si="0"/>
        <v>4994880.7</v>
      </c>
      <c r="AA39" s="67"/>
      <c r="AC39" s="41">
        <f>VLOOKUP(A39,'Input Sheet'!$A$2:$B$232,2,0)</f>
        <v>1036</v>
      </c>
      <c r="AD39" s="259">
        <f t="shared" si="1"/>
        <v>4994880.7</v>
      </c>
      <c r="AI39" s="68"/>
      <c r="AL39" s="107">
        <f t="shared" ca="1" si="22"/>
        <v>34</v>
      </c>
      <c r="AM39" s="49">
        <f t="shared" ca="1" si="23"/>
        <v>44469</v>
      </c>
      <c r="AN39" s="137" t="str">
        <f t="shared" ca="1" si="9"/>
        <v xml:space="preserve"> </v>
      </c>
      <c r="AO39" s="107">
        <f t="shared" ca="1" si="10"/>
        <v>0</v>
      </c>
      <c r="AP39" s="143">
        <f t="shared" ca="1" si="2"/>
        <v>0</v>
      </c>
      <c r="AQ39" s="143">
        <f t="shared" ca="1" si="11"/>
        <v>0</v>
      </c>
      <c r="AR39" s="49" t="str">
        <f t="shared" ca="1" si="3"/>
        <v xml:space="preserve"> </v>
      </c>
      <c r="AS39" s="107">
        <f t="shared" ca="1" si="4"/>
        <v>0</v>
      </c>
      <c r="AT39" s="107">
        <f t="shared" ca="1" si="5"/>
        <v>0</v>
      </c>
      <c r="AU39" s="107"/>
      <c r="AV39" s="107">
        <f ca="1">MAX(SUM($AQ$6:AQ39)-SUM($AT$6:AT39),0)</f>
        <v>2700000</v>
      </c>
      <c r="AW39" s="107">
        <f t="shared" ca="1" si="24"/>
        <v>7882.1917808219187</v>
      </c>
      <c r="AX39" s="107">
        <v>0</v>
      </c>
      <c r="AY39" s="138" t="str">
        <f t="shared" ca="1" si="6"/>
        <v xml:space="preserve"> </v>
      </c>
      <c r="AZ39" s="107">
        <f t="shared" ca="1" si="7"/>
        <v>0</v>
      </c>
      <c r="BA39" s="107">
        <f ca="1">IF(AZ39=1,(SUM($AW$6:AW39,$AX$6:AX39)-SUM($BA$6:BA38)),0)</f>
        <v>0</v>
      </c>
      <c r="BB39" s="107"/>
      <c r="BC39" s="107">
        <f ca="1">AV39+SUM($AW$6:AW39)+SUM($AX$6:AX39)-SUM($BA$6:BA39)</f>
        <v>2739415.4506529323</v>
      </c>
      <c r="BD39" s="107">
        <f t="shared" ca="1" si="12"/>
        <v>30</v>
      </c>
      <c r="BE39" s="51">
        <f ca="1">'PiT PD Structure'!J79</f>
        <v>3.5725884790061002E-5</v>
      </c>
      <c r="BF39" s="139">
        <f t="shared" ca="1" si="25"/>
        <v>0.45</v>
      </c>
      <c r="BG39" s="51">
        <f t="shared" ca="1" si="13"/>
        <v>0.99799512324600315</v>
      </c>
      <c r="BH39" s="50">
        <f t="shared" ca="1" si="8"/>
        <v>43.952322339997373</v>
      </c>
      <c r="BI39" s="50">
        <f t="shared" ca="1" si="31"/>
        <v>1191.670466974017</v>
      </c>
      <c r="BJ39" s="140">
        <v>0</v>
      </c>
      <c r="BK39" s="140">
        <v>0</v>
      </c>
      <c r="BM39" s="78"/>
      <c r="BR39" s="75">
        <f t="shared" ca="1" si="27"/>
        <v>44469</v>
      </c>
      <c r="BS39" s="74">
        <f t="shared" ca="1" si="14"/>
        <v>9</v>
      </c>
      <c r="BT39" s="74">
        <f t="shared" ca="1" si="15"/>
        <v>0</v>
      </c>
      <c r="BU39" s="73" t="str">
        <f t="shared" ca="1" si="16"/>
        <v xml:space="preserve"> </v>
      </c>
      <c r="BW39" s="75">
        <f t="shared" ca="1" si="28"/>
        <v>44469</v>
      </c>
      <c r="BX39" s="74">
        <f t="shared" ca="1" si="29"/>
        <v>9</v>
      </c>
      <c r="BY39" s="74">
        <f t="shared" ca="1" si="17"/>
        <v>0</v>
      </c>
      <c r="BZ39" s="73" t="str">
        <f t="shared" ca="1" si="18"/>
        <v xml:space="preserve"> </v>
      </c>
      <c r="CB39" s="75">
        <f t="shared" ca="1" si="30"/>
        <v>44469</v>
      </c>
      <c r="CC39" s="74">
        <f t="shared" ca="1" si="19"/>
        <v>9</v>
      </c>
      <c r="CD39" s="74">
        <f t="shared" ca="1" si="20"/>
        <v>0</v>
      </c>
      <c r="CE39" s="73" t="str">
        <f t="shared" ca="1" si="21"/>
        <v xml:space="preserve"> </v>
      </c>
    </row>
    <row r="40" spans="1:83" x14ac:dyDescent="0.2">
      <c r="A40" s="38">
        <f t="shared" si="32"/>
        <v>37</v>
      </c>
      <c r="B40" s="108" t="s">
        <v>378</v>
      </c>
      <c r="C40" s="38" t="s">
        <v>806</v>
      </c>
      <c r="D40" s="137">
        <v>43465</v>
      </c>
      <c r="E40" s="137">
        <v>39020</v>
      </c>
      <c r="F40" s="137">
        <v>37741</v>
      </c>
      <c r="G40" s="122">
        <v>18</v>
      </c>
      <c r="H40" s="137">
        <v>45412</v>
      </c>
      <c r="I40" s="50">
        <v>47749000</v>
      </c>
      <c r="J40" s="50">
        <v>47749000</v>
      </c>
      <c r="K40" s="50">
        <v>0</v>
      </c>
      <c r="L40" s="38">
        <v>1</v>
      </c>
      <c r="M40" s="38">
        <v>2</v>
      </c>
      <c r="N40" s="38">
        <v>2</v>
      </c>
      <c r="O40" s="50">
        <v>14586000</v>
      </c>
      <c r="P40" s="218">
        <v>2.5000000000000001E-2</v>
      </c>
      <c r="Q40" s="50">
        <v>72709.02</v>
      </c>
      <c r="R40" s="50">
        <v>1049286.6537688491</v>
      </c>
      <c r="S40" s="38" t="s">
        <v>62</v>
      </c>
      <c r="T40" s="51">
        <v>2.5000000000000001E-2</v>
      </c>
      <c r="U40" s="65">
        <v>0.45</v>
      </c>
      <c r="V40" s="105" t="s">
        <v>518</v>
      </c>
      <c r="W40" s="66">
        <v>896103.6083561572</v>
      </c>
      <c r="X40" s="66">
        <v>187892.68585842228</v>
      </c>
      <c r="Y40" s="38" t="s">
        <v>237</v>
      </c>
      <c r="Z40" s="66">
        <f t="shared" si="0"/>
        <v>896103.6083561572</v>
      </c>
      <c r="AA40" s="67"/>
      <c r="AC40" s="41">
        <f>VLOOKUP(A40,'Input Sheet'!$A$2:$B$232,2,0)</f>
        <v>1037</v>
      </c>
      <c r="AD40" s="259">
        <f t="shared" si="1"/>
        <v>896103.6083561572</v>
      </c>
      <c r="AI40" s="68"/>
      <c r="AL40" s="107">
        <f t="shared" ca="1" si="22"/>
        <v>35</v>
      </c>
      <c r="AM40" s="49">
        <f t="shared" ca="1" si="23"/>
        <v>44500</v>
      </c>
      <c r="AN40" s="137">
        <f t="shared" ca="1" si="9"/>
        <v>44500</v>
      </c>
      <c r="AO40" s="107">
        <f t="shared" ca="1" si="10"/>
        <v>0</v>
      </c>
      <c r="AP40" s="143">
        <f t="shared" ca="1" si="2"/>
        <v>0</v>
      </c>
      <c r="AQ40" s="143">
        <f t="shared" ca="1" si="11"/>
        <v>0</v>
      </c>
      <c r="AR40" s="49">
        <f t="shared" ca="1" si="3"/>
        <v>44500</v>
      </c>
      <c r="AS40" s="107">
        <f t="shared" ca="1" si="4"/>
        <v>1</v>
      </c>
      <c r="AT40" s="107">
        <f t="shared" ca="1" si="5"/>
        <v>900000</v>
      </c>
      <c r="AU40" s="107"/>
      <c r="AV40" s="107">
        <f ca="1">MAX(SUM($AQ$6:AQ40)-SUM($AT$6:AT40),0)</f>
        <v>1800000</v>
      </c>
      <c r="AW40" s="107">
        <f t="shared" ca="1" si="24"/>
        <v>7876.6596417281353</v>
      </c>
      <c r="AX40" s="107">
        <v>0</v>
      </c>
      <c r="AY40" s="138">
        <f t="shared" ca="1" si="6"/>
        <v>44500</v>
      </c>
      <c r="AZ40" s="107">
        <f t="shared" ca="1" si="7"/>
        <v>1</v>
      </c>
      <c r="BA40" s="107">
        <f ca="1">IF(AZ40=1,(SUM($AW$6:AW40,$AX$6:AX40)-SUM($BA$6:BA39)),0)</f>
        <v>47292.110294660553</v>
      </c>
      <c r="BB40" s="107"/>
      <c r="BC40" s="107">
        <f ca="1">AV40+SUM($AW$6:AW40)+SUM($AX$6:AX40)-SUM($BA$6:BA40)</f>
        <v>1799999.9999999995</v>
      </c>
      <c r="BD40" s="107">
        <f t="shared" ca="1" si="12"/>
        <v>31</v>
      </c>
      <c r="BE40" s="51">
        <f ca="1">'PiT PD Structure'!J80</f>
        <v>3.5724606435416639E-5</v>
      </c>
      <c r="BF40" s="139">
        <f t="shared" ca="1" si="25"/>
        <v>0.45</v>
      </c>
      <c r="BG40" s="51">
        <f t="shared" ca="1" si="13"/>
        <v>0.99792836329088741</v>
      </c>
      <c r="BH40" s="50">
        <f t="shared" ca="1" si="8"/>
        <v>28.876984403738199</v>
      </c>
      <c r="BI40" s="50">
        <f t="shared" ca="1" si="31"/>
        <v>1147.7181446340196</v>
      </c>
      <c r="BJ40" s="140">
        <v>0</v>
      </c>
      <c r="BK40" s="140">
        <v>0</v>
      </c>
      <c r="BM40" s="78"/>
      <c r="BR40" s="75">
        <f t="shared" ca="1" si="27"/>
        <v>44500</v>
      </c>
      <c r="BS40" s="74">
        <f t="shared" ca="1" si="14"/>
        <v>10</v>
      </c>
      <c r="BT40" s="74">
        <f t="shared" ca="1" si="15"/>
        <v>1</v>
      </c>
      <c r="BU40" s="73">
        <f t="shared" ca="1" si="16"/>
        <v>44500</v>
      </c>
      <c r="BW40" s="75">
        <f t="shared" ca="1" si="28"/>
        <v>44500</v>
      </c>
      <c r="BX40" s="74">
        <f t="shared" ca="1" si="29"/>
        <v>10</v>
      </c>
      <c r="BY40" s="74">
        <f t="shared" ca="1" si="17"/>
        <v>1</v>
      </c>
      <c r="BZ40" s="73">
        <f t="shared" ca="1" si="18"/>
        <v>44500</v>
      </c>
      <c r="CB40" s="75">
        <f t="shared" ca="1" si="30"/>
        <v>44500</v>
      </c>
      <c r="CC40" s="74">
        <f t="shared" ca="1" si="19"/>
        <v>10</v>
      </c>
      <c r="CD40" s="74">
        <f t="shared" ca="1" si="20"/>
        <v>1</v>
      </c>
      <c r="CE40" s="73">
        <f t="shared" ca="1" si="21"/>
        <v>44500</v>
      </c>
    </row>
    <row r="41" spans="1:83" x14ac:dyDescent="0.2">
      <c r="A41" s="38">
        <f t="shared" si="32"/>
        <v>38</v>
      </c>
      <c r="B41" s="108" t="s">
        <v>380</v>
      </c>
      <c r="C41" s="38" t="s">
        <v>806</v>
      </c>
      <c r="D41" s="137">
        <v>43465</v>
      </c>
      <c r="E41" s="137">
        <v>39751</v>
      </c>
      <c r="F41" s="137">
        <v>37924</v>
      </c>
      <c r="G41" s="122">
        <v>15</v>
      </c>
      <c r="H41" s="137">
        <v>45046</v>
      </c>
      <c r="I41" s="50">
        <v>183650000</v>
      </c>
      <c r="J41" s="50">
        <v>182868807.28999999</v>
      </c>
      <c r="K41" s="50">
        <v>781192.71000000834</v>
      </c>
      <c r="L41" s="38">
        <v>1</v>
      </c>
      <c r="M41" s="38">
        <v>2</v>
      </c>
      <c r="N41" s="38">
        <v>2</v>
      </c>
      <c r="O41" s="50">
        <v>133908807.29000001</v>
      </c>
      <c r="P41" s="218">
        <v>0.02</v>
      </c>
      <c r="Q41" s="50">
        <v>17894288.079999998</v>
      </c>
      <c r="R41" s="50">
        <v>6390889.9393011155</v>
      </c>
      <c r="S41" s="38" t="s">
        <v>156</v>
      </c>
      <c r="T41" s="51">
        <v>2.9249999999999998E-2</v>
      </c>
      <c r="U41" s="65">
        <v>0.45</v>
      </c>
      <c r="V41" s="105" t="s">
        <v>484</v>
      </c>
      <c r="W41" s="66">
        <v>26621585.582545049</v>
      </c>
      <c r="X41" s="66">
        <v>11229824.889755741</v>
      </c>
      <c r="Y41" s="38" t="s">
        <v>238</v>
      </c>
      <c r="Z41" s="66">
        <f t="shared" si="0"/>
        <v>133908807.29000001</v>
      </c>
      <c r="AA41" s="67"/>
      <c r="AC41" s="41">
        <f>VLOOKUP(A41,'Input Sheet'!$A$2:$B$232,2,0)</f>
        <v>1038</v>
      </c>
      <c r="AD41" s="259">
        <f t="shared" si="1"/>
        <v>133908807.29000001</v>
      </c>
      <c r="AI41" s="68"/>
      <c r="AL41" s="107">
        <f t="shared" ca="1" si="22"/>
        <v>36</v>
      </c>
      <c r="AM41" s="49">
        <f t="shared" ca="1" si="23"/>
        <v>44530</v>
      </c>
      <c r="AN41" s="137" t="str">
        <f t="shared" ca="1" si="9"/>
        <v xml:space="preserve"> </v>
      </c>
      <c r="AO41" s="107">
        <f t="shared" ca="1" si="10"/>
        <v>0</v>
      </c>
      <c r="AP41" s="143">
        <f t="shared" ca="1" si="2"/>
        <v>0</v>
      </c>
      <c r="AQ41" s="143">
        <f t="shared" ca="1" si="11"/>
        <v>0</v>
      </c>
      <c r="AR41" s="49" t="str">
        <f t="shared" ca="1" si="3"/>
        <v xml:space="preserve"> </v>
      </c>
      <c r="AS41" s="107">
        <f t="shared" ca="1" si="4"/>
        <v>0</v>
      </c>
      <c r="AT41" s="107">
        <f t="shared" ca="1" si="5"/>
        <v>0</v>
      </c>
      <c r="AU41" s="107"/>
      <c r="AV41" s="107">
        <f ca="1">MAX(SUM($AQ$6:AQ41)-SUM($AT$6:AT41),0)</f>
        <v>1800000</v>
      </c>
      <c r="AW41" s="107">
        <f t="shared" ca="1" si="24"/>
        <v>5254.0273972602736</v>
      </c>
      <c r="AX41" s="107">
        <v>0</v>
      </c>
      <c r="AY41" s="138" t="str">
        <f t="shared" ca="1" si="6"/>
        <v xml:space="preserve"> </v>
      </c>
      <c r="AZ41" s="107">
        <f t="shared" ca="1" si="7"/>
        <v>0</v>
      </c>
      <c r="BA41" s="107">
        <f ca="1">IF(AZ41=1,(SUM($AW$6:AW41,$AX$6:AX41)-SUM($BA$6:BA40)),0)</f>
        <v>0</v>
      </c>
      <c r="BB41" s="107"/>
      <c r="BC41" s="107">
        <f ca="1">AV41+SUM($AW$6:AW41)+SUM($AX$6:AX41)-SUM($BA$6:BA41)</f>
        <v>1805254.0273972605</v>
      </c>
      <c r="BD41" s="107">
        <f t="shared" ca="1" si="12"/>
        <v>30</v>
      </c>
      <c r="BE41" s="51">
        <f ca="1">'PiT PD Structure'!J81</f>
        <v>3.572332812629142E-5</v>
      </c>
      <c r="BF41" s="139">
        <f t="shared" ca="1" si="25"/>
        <v>0.45</v>
      </c>
      <c r="BG41" s="51">
        <f t="shared" ca="1" si="13"/>
        <v>0.99799512324600315</v>
      </c>
      <c r="BH41" s="50">
        <f t="shared" ca="1" si="8"/>
        <v>28.962174648493377</v>
      </c>
      <c r="BI41" s="50">
        <f t="shared" ca="1" si="31"/>
        <v>1118.8411602302815</v>
      </c>
      <c r="BJ41" s="140">
        <v>0</v>
      </c>
      <c r="BK41" s="140">
        <v>0</v>
      </c>
      <c r="BM41" s="78"/>
      <c r="BR41" s="75">
        <f t="shared" ca="1" si="27"/>
        <v>44530</v>
      </c>
      <c r="BS41" s="74">
        <f t="shared" ca="1" si="14"/>
        <v>11</v>
      </c>
      <c r="BT41" s="74">
        <f t="shared" ca="1" si="15"/>
        <v>0</v>
      </c>
      <c r="BU41" s="73" t="str">
        <f t="shared" ca="1" si="16"/>
        <v xml:space="preserve"> </v>
      </c>
      <c r="BW41" s="75">
        <f t="shared" ca="1" si="28"/>
        <v>44530</v>
      </c>
      <c r="BX41" s="74">
        <f t="shared" ca="1" si="29"/>
        <v>11</v>
      </c>
      <c r="BY41" s="74">
        <f t="shared" ca="1" si="17"/>
        <v>0</v>
      </c>
      <c r="BZ41" s="73" t="str">
        <f t="shared" ca="1" si="18"/>
        <v xml:space="preserve"> </v>
      </c>
      <c r="CB41" s="75">
        <f t="shared" ca="1" si="30"/>
        <v>44530</v>
      </c>
      <c r="CC41" s="74">
        <f t="shared" ca="1" si="19"/>
        <v>11</v>
      </c>
      <c r="CD41" s="74">
        <f t="shared" ca="1" si="20"/>
        <v>0</v>
      </c>
      <c r="CE41" s="73" t="str">
        <f t="shared" ca="1" si="21"/>
        <v xml:space="preserve"> </v>
      </c>
    </row>
    <row r="42" spans="1:83" x14ac:dyDescent="0.2">
      <c r="A42" s="38">
        <f t="shared" si="32"/>
        <v>39</v>
      </c>
      <c r="B42" s="108" t="s">
        <v>381</v>
      </c>
      <c r="C42" s="38" t="s">
        <v>806</v>
      </c>
      <c r="D42" s="137">
        <v>43465</v>
      </c>
      <c r="E42" s="137">
        <v>39751</v>
      </c>
      <c r="F42" s="137">
        <v>37924</v>
      </c>
      <c r="G42" s="122">
        <v>14</v>
      </c>
      <c r="H42" s="137">
        <v>45046</v>
      </c>
      <c r="I42" s="50">
        <v>69668833.079999998</v>
      </c>
      <c r="J42" s="50">
        <v>69668833.079999998</v>
      </c>
      <c r="K42" s="50">
        <v>0</v>
      </c>
      <c r="L42" s="38">
        <v>1</v>
      </c>
      <c r="M42" s="38">
        <v>2</v>
      </c>
      <c r="N42" s="38">
        <v>2</v>
      </c>
      <c r="O42" s="50">
        <v>18246233.079999998</v>
      </c>
      <c r="P42" s="218">
        <v>0.03</v>
      </c>
      <c r="Q42" s="50">
        <v>531777.93000000005</v>
      </c>
      <c r="R42" s="50">
        <v>1298645.0451531124</v>
      </c>
      <c r="S42" s="38" t="s">
        <v>54</v>
      </c>
      <c r="T42" s="51">
        <v>3.1662499999999996E-2</v>
      </c>
      <c r="U42" s="65">
        <v>0.45</v>
      </c>
      <c r="V42" s="105" t="s">
        <v>480</v>
      </c>
      <c r="W42" s="66">
        <v>204952.62323596317</v>
      </c>
      <c r="X42" s="66">
        <v>39924.665043784255</v>
      </c>
      <c r="Y42" s="38" t="s">
        <v>239</v>
      </c>
      <c r="Z42" s="66">
        <f t="shared" si="0"/>
        <v>39924.665043784255</v>
      </c>
      <c r="AA42" s="67"/>
      <c r="AC42" s="41">
        <f>VLOOKUP(A42,'Input Sheet'!$A$2:$B$232,2,0)</f>
        <v>1039</v>
      </c>
      <c r="AD42" s="259">
        <f t="shared" si="1"/>
        <v>39924.665043784255</v>
      </c>
      <c r="AI42" s="68"/>
      <c r="AL42" s="107">
        <f t="shared" ca="1" si="22"/>
        <v>37</v>
      </c>
      <c r="AM42" s="49">
        <f t="shared" ca="1" si="23"/>
        <v>44561</v>
      </c>
      <c r="AN42" s="137" t="str">
        <f t="shared" ca="1" si="9"/>
        <v xml:space="preserve"> </v>
      </c>
      <c r="AO42" s="107">
        <f t="shared" ca="1" si="10"/>
        <v>0</v>
      </c>
      <c r="AP42" s="143">
        <f t="shared" ca="1" si="2"/>
        <v>0</v>
      </c>
      <c r="AQ42" s="143">
        <f t="shared" ca="1" si="11"/>
        <v>0</v>
      </c>
      <c r="AR42" s="49" t="str">
        <f t="shared" ca="1" si="3"/>
        <v xml:space="preserve"> </v>
      </c>
      <c r="AS42" s="107">
        <f t="shared" ca="1" si="4"/>
        <v>0</v>
      </c>
      <c r="AT42" s="107">
        <f t="shared" ca="1" si="5"/>
        <v>0</v>
      </c>
      <c r="AU42" s="107"/>
      <c r="AV42" s="107">
        <f ca="1">MAX(SUM($AQ$6:AQ42)-SUM($AT$6:AT42),0)</f>
        <v>1800000</v>
      </c>
      <c r="AW42" s="107">
        <f t="shared" ca="1" si="24"/>
        <v>5250.0000000000009</v>
      </c>
      <c r="AX42" s="107">
        <v>0</v>
      </c>
      <c r="AY42" s="138" t="str">
        <f t="shared" ca="1" si="6"/>
        <v xml:space="preserve"> </v>
      </c>
      <c r="AZ42" s="107">
        <f t="shared" ca="1" si="7"/>
        <v>0</v>
      </c>
      <c r="BA42" s="107">
        <f ca="1">IF(AZ42=1,(SUM($AW$6:AW42,$AX$6:AX42)-SUM($BA$6:BA41)),0)</f>
        <v>0</v>
      </c>
      <c r="BB42" s="107"/>
      <c r="BC42" s="107">
        <f ca="1">AV42+SUM($AW$6:AW42)+SUM($AX$6:AX42)-SUM($BA$6:BA42)</f>
        <v>1810504.0273972605</v>
      </c>
      <c r="BD42" s="107">
        <f t="shared" ca="1" si="12"/>
        <v>31</v>
      </c>
      <c r="BE42" s="51">
        <f ca="1">'PiT PD Structure'!J82</f>
        <v>5.0504217706492938E-4</v>
      </c>
      <c r="BF42" s="139">
        <f t="shared" ca="1" si="25"/>
        <v>0.45</v>
      </c>
      <c r="BG42" s="51">
        <f t="shared" ca="1" si="13"/>
        <v>0.99792836329088741</v>
      </c>
      <c r="BH42" s="50">
        <f t="shared" ca="1" si="8"/>
        <v>410.61898374846169</v>
      </c>
      <c r="BI42" s="50">
        <f t="shared" ca="1" si="31"/>
        <v>1089.8789855817881</v>
      </c>
      <c r="BJ42" s="140">
        <v>0</v>
      </c>
      <c r="BK42" s="140">
        <v>0</v>
      </c>
      <c r="BM42" s="78"/>
      <c r="BR42" s="75">
        <f t="shared" ca="1" si="27"/>
        <v>44561</v>
      </c>
      <c r="BS42" s="74">
        <f t="shared" ca="1" si="14"/>
        <v>12</v>
      </c>
      <c r="BT42" s="74">
        <f t="shared" ca="1" si="15"/>
        <v>0</v>
      </c>
      <c r="BU42" s="73" t="str">
        <f t="shared" ca="1" si="16"/>
        <v xml:space="preserve"> </v>
      </c>
      <c r="BW42" s="75">
        <f t="shared" ca="1" si="28"/>
        <v>44561</v>
      </c>
      <c r="BX42" s="74">
        <f t="shared" ca="1" si="29"/>
        <v>12</v>
      </c>
      <c r="BY42" s="74">
        <f t="shared" ca="1" si="17"/>
        <v>0</v>
      </c>
      <c r="BZ42" s="73" t="str">
        <f t="shared" ca="1" si="18"/>
        <v xml:space="preserve"> </v>
      </c>
      <c r="CB42" s="75">
        <f t="shared" ca="1" si="30"/>
        <v>44561</v>
      </c>
      <c r="CC42" s="74">
        <f t="shared" ca="1" si="19"/>
        <v>12</v>
      </c>
      <c r="CD42" s="74">
        <f t="shared" ca="1" si="20"/>
        <v>0</v>
      </c>
      <c r="CE42" s="73" t="str">
        <f t="shared" ca="1" si="21"/>
        <v xml:space="preserve"> </v>
      </c>
    </row>
    <row r="43" spans="1:83" x14ac:dyDescent="0.2">
      <c r="A43" s="38">
        <f t="shared" si="32"/>
        <v>40</v>
      </c>
      <c r="B43" s="108" t="s">
        <v>382</v>
      </c>
      <c r="C43" s="38" t="s">
        <v>806</v>
      </c>
      <c r="D43" s="137">
        <v>43465</v>
      </c>
      <c r="E43" s="137">
        <v>39751</v>
      </c>
      <c r="F43" s="137">
        <v>37924</v>
      </c>
      <c r="G43" s="122">
        <v>15</v>
      </c>
      <c r="H43" s="137">
        <v>45046</v>
      </c>
      <c r="I43" s="50">
        <v>109658407.34</v>
      </c>
      <c r="J43" s="50">
        <v>109658407.34</v>
      </c>
      <c r="K43" s="50">
        <v>0</v>
      </c>
      <c r="L43" s="38">
        <v>1</v>
      </c>
      <c r="M43" s="38">
        <v>2</v>
      </c>
      <c r="N43" s="38">
        <v>2</v>
      </c>
      <c r="O43" s="50">
        <v>32525407.34</v>
      </c>
      <c r="P43" s="218">
        <v>2.5000000000000001E-2</v>
      </c>
      <c r="Q43" s="50">
        <v>135267.57999999999</v>
      </c>
      <c r="R43" s="50">
        <v>1929117.7754554588</v>
      </c>
      <c r="S43" s="38" t="s">
        <v>10</v>
      </c>
      <c r="T43" s="51">
        <v>3.5909090909090911E-2</v>
      </c>
      <c r="U43" s="65">
        <v>0.45</v>
      </c>
      <c r="V43" s="105" t="s">
        <v>477</v>
      </c>
      <c r="W43" s="66">
        <v>1396283.4919054799</v>
      </c>
      <c r="X43" s="66">
        <v>365860.44680221332</v>
      </c>
      <c r="Y43" s="38" t="s">
        <v>237</v>
      </c>
      <c r="Z43" s="66">
        <f t="shared" si="0"/>
        <v>1396283.4919054799</v>
      </c>
      <c r="AA43" s="67"/>
      <c r="AC43" s="41">
        <f>VLOOKUP(A43,'Input Sheet'!$A$2:$B$232,2,0)</f>
        <v>1040</v>
      </c>
      <c r="AD43" s="259">
        <f t="shared" si="1"/>
        <v>1396283.4919054799</v>
      </c>
      <c r="AI43" s="68"/>
      <c r="AL43" s="107">
        <f t="shared" ca="1" si="22"/>
        <v>38</v>
      </c>
      <c r="AM43" s="49">
        <f t="shared" ca="1" si="23"/>
        <v>44592</v>
      </c>
      <c r="AN43" s="137" t="str">
        <f t="shared" ca="1" si="9"/>
        <v xml:space="preserve"> </v>
      </c>
      <c r="AO43" s="107">
        <f t="shared" ca="1" si="10"/>
        <v>0</v>
      </c>
      <c r="AP43" s="143">
        <f t="shared" ca="1" si="2"/>
        <v>0</v>
      </c>
      <c r="AQ43" s="143">
        <f t="shared" ca="1" si="11"/>
        <v>0</v>
      </c>
      <c r="AR43" s="49" t="str">
        <f t="shared" ca="1" si="3"/>
        <v xml:space="preserve"> </v>
      </c>
      <c r="AS43" s="107">
        <f t="shared" ca="1" si="4"/>
        <v>0</v>
      </c>
      <c r="AT43" s="107">
        <f t="shared" ca="1" si="5"/>
        <v>0</v>
      </c>
      <c r="AU43" s="107"/>
      <c r="AV43" s="107">
        <f ca="1">MAX(SUM($AQ$6:AQ43)-SUM($AT$6:AT43),0)</f>
        <v>1800000</v>
      </c>
      <c r="AW43" s="107">
        <f t="shared" ca="1" si="24"/>
        <v>5245.6223942823117</v>
      </c>
      <c r="AX43" s="107">
        <v>0</v>
      </c>
      <c r="AY43" s="138" t="str">
        <f t="shared" ca="1" si="6"/>
        <v xml:space="preserve"> </v>
      </c>
      <c r="AZ43" s="107">
        <f t="shared" ca="1" si="7"/>
        <v>0</v>
      </c>
      <c r="BA43" s="107">
        <f ca="1">IF(AZ43=1,(SUM($AW$6:AW43,$AX$6:AX43)-SUM($BA$6:BA42)),0)</f>
        <v>0</v>
      </c>
      <c r="BB43" s="107"/>
      <c r="BC43" s="107">
        <f ca="1">AV43+SUM($AW$6:AW43)+SUM($AX$6:AX43)-SUM($BA$6:BA43)</f>
        <v>1815749.6497915429</v>
      </c>
      <c r="BD43" s="107">
        <f t="shared" ca="1" si="12"/>
        <v>31</v>
      </c>
      <c r="BE43" s="51">
        <f ca="1">'PiT PD Structure'!J83</f>
        <v>3.7334094001084672E-5</v>
      </c>
      <c r="BF43" s="139">
        <f t="shared" ca="1" si="25"/>
        <v>0.45</v>
      </c>
      <c r="BG43" s="51">
        <f t="shared" ca="1" si="13"/>
        <v>0.99792836329088741</v>
      </c>
      <c r="BH43" s="50">
        <f t="shared" ca="1" si="8"/>
        <v>30.442019923932513</v>
      </c>
      <c r="BI43" s="50">
        <f t="shared" ca="1" si="31"/>
        <v>679.26000183332644</v>
      </c>
      <c r="BJ43" s="140">
        <v>0</v>
      </c>
      <c r="BK43" s="140">
        <v>0</v>
      </c>
      <c r="BM43" s="78"/>
      <c r="BR43" s="75">
        <f t="shared" ca="1" si="27"/>
        <v>44592</v>
      </c>
      <c r="BS43" s="74">
        <f t="shared" ca="1" si="14"/>
        <v>1</v>
      </c>
      <c r="BT43" s="74">
        <f t="shared" ca="1" si="15"/>
        <v>0</v>
      </c>
      <c r="BU43" s="73" t="str">
        <f t="shared" ca="1" si="16"/>
        <v xml:space="preserve"> </v>
      </c>
      <c r="BW43" s="75">
        <f t="shared" ca="1" si="28"/>
        <v>44592</v>
      </c>
      <c r="BX43" s="74">
        <f t="shared" ca="1" si="29"/>
        <v>1</v>
      </c>
      <c r="BY43" s="74">
        <f t="shared" ca="1" si="17"/>
        <v>0</v>
      </c>
      <c r="BZ43" s="73" t="str">
        <f t="shared" ca="1" si="18"/>
        <v xml:space="preserve"> </v>
      </c>
      <c r="CB43" s="75">
        <f t="shared" ca="1" si="30"/>
        <v>44592</v>
      </c>
      <c r="CC43" s="74">
        <f t="shared" ca="1" si="19"/>
        <v>1</v>
      </c>
      <c r="CD43" s="74">
        <f t="shared" ca="1" si="20"/>
        <v>0</v>
      </c>
      <c r="CE43" s="73" t="str">
        <f t="shared" ca="1" si="21"/>
        <v xml:space="preserve"> </v>
      </c>
    </row>
    <row r="44" spans="1:83" x14ac:dyDescent="0.2">
      <c r="A44" s="38">
        <f t="shared" si="32"/>
        <v>41</v>
      </c>
      <c r="B44" s="108" t="s">
        <v>383</v>
      </c>
      <c r="C44" s="38" t="s">
        <v>806</v>
      </c>
      <c r="D44" s="137">
        <v>43465</v>
      </c>
      <c r="E44" s="137">
        <v>39751</v>
      </c>
      <c r="F44" s="137">
        <v>37924</v>
      </c>
      <c r="G44" s="122">
        <v>15</v>
      </c>
      <c r="H44" s="137">
        <v>45046</v>
      </c>
      <c r="I44" s="50">
        <v>44076000</v>
      </c>
      <c r="J44" s="50">
        <v>44076000</v>
      </c>
      <c r="K44" s="50">
        <v>0</v>
      </c>
      <c r="L44" s="38">
        <v>1</v>
      </c>
      <c r="M44" s="38">
        <v>2</v>
      </c>
      <c r="N44" s="38">
        <v>2</v>
      </c>
      <c r="O44" s="50">
        <v>13206000</v>
      </c>
      <c r="P44" s="218">
        <v>2.5000000000000001E-2</v>
      </c>
      <c r="Q44" s="50">
        <v>54895.87</v>
      </c>
      <c r="R44" s="50">
        <v>783262.42239968211</v>
      </c>
      <c r="S44" s="38" t="s">
        <v>10</v>
      </c>
      <c r="T44" s="51">
        <v>3.5909090909090911E-2</v>
      </c>
      <c r="U44" s="65">
        <v>0.45</v>
      </c>
      <c r="V44" s="105" t="s">
        <v>477</v>
      </c>
      <c r="W44" s="66">
        <v>566920.38153403683</v>
      </c>
      <c r="X44" s="66">
        <v>148546.93607994093</v>
      </c>
      <c r="Y44" s="38" t="s">
        <v>237</v>
      </c>
      <c r="Z44" s="66">
        <f t="shared" si="0"/>
        <v>566920.38153403683</v>
      </c>
      <c r="AA44" s="67"/>
      <c r="AC44" s="41">
        <f>VLOOKUP(A44,'Input Sheet'!$A$2:$B$232,2,0)</f>
        <v>1041</v>
      </c>
      <c r="AD44" s="259">
        <f t="shared" si="1"/>
        <v>566920.38153403683</v>
      </c>
      <c r="AI44" s="68"/>
      <c r="AL44" s="107">
        <f t="shared" ca="1" si="22"/>
        <v>39</v>
      </c>
      <c r="AM44" s="49">
        <f t="shared" ca="1" si="23"/>
        <v>44620</v>
      </c>
      <c r="AN44" s="137" t="str">
        <f t="shared" ca="1" si="9"/>
        <v xml:space="preserve"> </v>
      </c>
      <c r="AO44" s="107">
        <f t="shared" ca="1" si="10"/>
        <v>0</v>
      </c>
      <c r="AP44" s="143">
        <f t="shared" ca="1" si="2"/>
        <v>0</v>
      </c>
      <c r="AQ44" s="143">
        <f t="shared" ca="1" si="11"/>
        <v>0</v>
      </c>
      <c r="AR44" s="49" t="str">
        <f t="shared" ca="1" si="3"/>
        <v xml:space="preserve"> </v>
      </c>
      <c r="AS44" s="107">
        <f t="shared" ca="1" si="4"/>
        <v>0</v>
      </c>
      <c r="AT44" s="107">
        <f t="shared" ca="1" si="5"/>
        <v>0</v>
      </c>
      <c r="AU44" s="107"/>
      <c r="AV44" s="107">
        <f ca="1">MAX(SUM($AQ$6:AQ44)-SUM($AT$6:AT44),0)</f>
        <v>1800000</v>
      </c>
      <c r="AW44" s="107">
        <f t="shared" ca="1" si="24"/>
        <v>5264.3835616438364</v>
      </c>
      <c r="AX44" s="107">
        <v>0</v>
      </c>
      <c r="AY44" s="138" t="str">
        <f t="shared" ca="1" si="6"/>
        <v xml:space="preserve"> </v>
      </c>
      <c r="AZ44" s="107">
        <f t="shared" ca="1" si="7"/>
        <v>0</v>
      </c>
      <c r="BA44" s="107">
        <f ca="1">IF(AZ44=1,(SUM($AW$6:AW44,$AX$6:AX44)-SUM($BA$6:BA43)),0)</f>
        <v>0</v>
      </c>
      <c r="BB44" s="107"/>
      <c r="BC44" s="107">
        <f ca="1">AV44+SUM($AW$6:AW44)+SUM($AX$6:AX44)-SUM($BA$6:BA44)</f>
        <v>1821014.0333531867</v>
      </c>
      <c r="BD44" s="107">
        <f t="shared" ca="1" si="12"/>
        <v>28</v>
      </c>
      <c r="BE44" s="51">
        <f ca="1">'PiT PD Structure'!J84</f>
        <v>3.7332697108261037E-5</v>
      </c>
      <c r="BF44" s="139">
        <f t="shared" ca="1" si="25"/>
        <v>0.45</v>
      </c>
      <c r="BG44" s="51">
        <f t="shared" ca="1" si="13"/>
        <v>0.99812865655496519</v>
      </c>
      <c r="BH44" s="50">
        <f t="shared" ca="1" si="8"/>
        <v>30.535265300387561</v>
      </c>
      <c r="BI44" s="50">
        <f t="shared" ca="1" si="31"/>
        <v>648.81798190939389</v>
      </c>
      <c r="BJ44" s="140">
        <v>0</v>
      </c>
      <c r="BK44" s="140">
        <v>0</v>
      </c>
      <c r="BM44" s="78"/>
      <c r="BR44" s="75">
        <f t="shared" ca="1" si="27"/>
        <v>44620</v>
      </c>
      <c r="BS44" s="74">
        <f t="shared" ca="1" si="14"/>
        <v>2</v>
      </c>
      <c r="BT44" s="74">
        <f t="shared" ca="1" si="15"/>
        <v>0</v>
      </c>
      <c r="BU44" s="73" t="str">
        <f t="shared" ca="1" si="16"/>
        <v xml:space="preserve"> </v>
      </c>
      <c r="BW44" s="75">
        <f t="shared" ca="1" si="28"/>
        <v>44620</v>
      </c>
      <c r="BX44" s="74">
        <f t="shared" ca="1" si="29"/>
        <v>2</v>
      </c>
      <c r="BY44" s="74">
        <f t="shared" ca="1" si="17"/>
        <v>0</v>
      </c>
      <c r="BZ44" s="73" t="str">
        <f t="shared" ca="1" si="18"/>
        <v xml:space="preserve"> </v>
      </c>
      <c r="CB44" s="75">
        <f t="shared" ca="1" si="30"/>
        <v>44620</v>
      </c>
      <c r="CC44" s="74">
        <f t="shared" ca="1" si="19"/>
        <v>2</v>
      </c>
      <c r="CD44" s="74">
        <f t="shared" ca="1" si="20"/>
        <v>0</v>
      </c>
      <c r="CE44" s="73" t="str">
        <f t="shared" ca="1" si="21"/>
        <v xml:space="preserve"> </v>
      </c>
    </row>
    <row r="45" spans="1:83" x14ac:dyDescent="0.2">
      <c r="A45" s="38">
        <f t="shared" si="32"/>
        <v>42</v>
      </c>
      <c r="B45" s="108" t="s">
        <v>386</v>
      </c>
      <c r="C45" s="38" t="s">
        <v>806</v>
      </c>
      <c r="D45" s="137">
        <v>43465</v>
      </c>
      <c r="E45" s="137">
        <v>40116</v>
      </c>
      <c r="F45" s="137">
        <v>38655</v>
      </c>
      <c r="G45" s="122">
        <v>12</v>
      </c>
      <c r="H45" s="137">
        <v>44316</v>
      </c>
      <c r="I45" s="50">
        <v>36730000</v>
      </c>
      <c r="J45" s="50">
        <v>36729999.969999999</v>
      </c>
      <c r="K45" s="50">
        <v>3.0000001192092896E-2</v>
      </c>
      <c r="L45" s="38">
        <v>1</v>
      </c>
      <c r="M45" s="38">
        <v>2</v>
      </c>
      <c r="N45" s="38">
        <v>2</v>
      </c>
      <c r="O45" s="50">
        <v>7640999.9699999997</v>
      </c>
      <c r="P45" s="218">
        <v>0.03</v>
      </c>
      <c r="Q45" s="50">
        <v>38077.32</v>
      </c>
      <c r="R45" s="50">
        <v>312317.97811079974</v>
      </c>
      <c r="S45" s="38" t="s">
        <v>63</v>
      </c>
      <c r="T45" s="51">
        <v>3.2857142857142856E-2</v>
      </c>
      <c r="U45" s="65">
        <v>0.45</v>
      </c>
      <c r="V45" s="105" t="s">
        <v>21</v>
      </c>
      <c r="W45" s="66">
        <v>516046.24713233823</v>
      </c>
      <c r="X45" s="66">
        <v>326470.35607461957</v>
      </c>
      <c r="Y45" s="38" t="s">
        <v>237</v>
      </c>
      <c r="Z45" s="66">
        <f t="shared" si="0"/>
        <v>516046.24713233823</v>
      </c>
      <c r="AA45" s="67"/>
      <c r="AC45" s="41">
        <f>VLOOKUP(A45,'Input Sheet'!$A$2:$B$232,2,0)</f>
        <v>1042</v>
      </c>
      <c r="AD45" s="259">
        <f t="shared" si="1"/>
        <v>516046.24713233823</v>
      </c>
      <c r="AI45" s="68"/>
      <c r="AL45" s="107">
        <f t="shared" ca="1" si="22"/>
        <v>40</v>
      </c>
      <c r="AM45" s="49">
        <f t="shared" ca="1" si="23"/>
        <v>44651</v>
      </c>
      <c r="AN45" s="137" t="str">
        <f t="shared" ca="1" si="9"/>
        <v xml:space="preserve"> </v>
      </c>
      <c r="AO45" s="107">
        <f t="shared" ca="1" si="10"/>
        <v>0</v>
      </c>
      <c r="AP45" s="143">
        <f t="shared" ca="1" si="2"/>
        <v>0</v>
      </c>
      <c r="AQ45" s="143">
        <f t="shared" ca="1" si="11"/>
        <v>0</v>
      </c>
      <c r="AR45" s="49" t="str">
        <f t="shared" ca="1" si="3"/>
        <v xml:space="preserve"> </v>
      </c>
      <c r="AS45" s="107">
        <f t="shared" ca="1" si="4"/>
        <v>0</v>
      </c>
      <c r="AT45" s="107">
        <f t="shared" ca="1" si="5"/>
        <v>0</v>
      </c>
      <c r="AU45" s="107"/>
      <c r="AV45" s="107">
        <f ca="1">MAX(SUM($AQ$6:AQ45)-SUM($AT$6:AT45),0)</f>
        <v>1800000</v>
      </c>
      <c r="AW45" s="107">
        <f t="shared" ca="1" si="24"/>
        <v>5260.2739726027403</v>
      </c>
      <c r="AX45" s="107">
        <v>0</v>
      </c>
      <c r="AY45" s="138" t="str">
        <f t="shared" ca="1" si="6"/>
        <v xml:space="preserve"> </v>
      </c>
      <c r="AZ45" s="107">
        <f t="shared" ca="1" si="7"/>
        <v>0</v>
      </c>
      <c r="BA45" s="107">
        <f ca="1">IF(AZ45=1,(SUM($AW$6:AW45,$AX$6:AX45)-SUM($BA$6:BA44)),0)</f>
        <v>0</v>
      </c>
      <c r="BB45" s="107"/>
      <c r="BC45" s="107">
        <f ca="1">AV45+SUM($AW$6:AW45)+SUM($AX$6:AX45)-SUM($BA$6:BA45)</f>
        <v>1826274.3073257892</v>
      </c>
      <c r="BD45" s="107">
        <f t="shared" ca="1" si="12"/>
        <v>31</v>
      </c>
      <c r="BE45" s="51">
        <f ca="1">'PiT PD Structure'!J85</f>
        <v>3.7331300268172996E-5</v>
      </c>
      <c r="BF45" s="139">
        <f t="shared" ca="1" si="25"/>
        <v>0.45</v>
      </c>
      <c r="BG45" s="51">
        <f t="shared" ca="1" si="13"/>
        <v>0.99792836329088741</v>
      </c>
      <c r="BH45" s="50">
        <f t="shared" ca="1" si="8"/>
        <v>30.616180271953983</v>
      </c>
      <c r="BI45" s="50">
        <f t="shared" ca="1" si="31"/>
        <v>618.28271660900634</v>
      </c>
      <c r="BJ45" s="140">
        <v>0</v>
      </c>
      <c r="BK45" s="140">
        <v>0</v>
      </c>
      <c r="BM45" s="78"/>
      <c r="BR45" s="75">
        <f t="shared" ca="1" si="27"/>
        <v>44651</v>
      </c>
      <c r="BS45" s="74">
        <f t="shared" ca="1" si="14"/>
        <v>3</v>
      </c>
      <c r="BT45" s="74">
        <f t="shared" ca="1" si="15"/>
        <v>0</v>
      </c>
      <c r="BU45" s="73" t="str">
        <f t="shared" ca="1" si="16"/>
        <v xml:space="preserve"> </v>
      </c>
      <c r="BW45" s="75">
        <f t="shared" ca="1" si="28"/>
        <v>44651</v>
      </c>
      <c r="BX45" s="74">
        <f t="shared" ca="1" si="29"/>
        <v>3</v>
      </c>
      <c r="BY45" s="74">
        <f t="shared" ca="1" si="17"/>
        <v>0</v>
      </c>
      <c r="BZ45" s="73" t="str">
        <f t="shared" ca="1" si="18"/>
        <v xml:space="preserve"> </v>
      </c>
      <c r="CB45" s="75">
        <f t="shared" ca="1" si="30"/>
        <v>44651</v>
      </c>
      <c r="CC45" s="74">
        <f t="shared" ca="1" si="19"/>
        <v>3</v>
      </c>
      <c r="CD45" s="74">
        <f t="shared" ca="1" si="20"/>
        <v>0</v>
      </c>
      <c r="CE45" s="73" t="str">
        <f t="shared" ca="1" si="21"/>
        <v xml:space="preserve"> </v>
      </c>
    </row>
    <row r="46" spans="1:83" x14ac:dyDescent="0.2">
      <c r="A46" s="38">
        <f t="shared" si="32"/>
        <v>43</v>
      </c>
      <c r="B46" s="108" t="s">
        <v>387</v>
      </c>
      <c r="C46" s="38" t="s">
        <v>806</v>
      </c>
      <c r="D46" s="137">
        <v>43465</v>
      </c>
      <c r="E46" s="137">
        <v>40116</v>
      </c>
      <c r="F46" s="137">
        <v>38655</v>
      </c>
      <c r="G46" s="122">
        <v>12</v>
      </c>
      <c r="H46" s="137">
        <v>44316</v>
      </c>
      <c r="I46" s="50">
        <v>36730000</v>
      </c>
      <c r="J46" s="50">
        <v>36460476.630000003</v>
      </c>
      <c r="K46" s="50">
        <v>269523.36999999732</v>
      </c>
      <c r="L46" s="38">
        <v>1</v>
      </c>
      <c r="M46" s="38">
        <v>2</v>
      </c>
      <c r="N46" s="38">
        <v>2</v>
      </c>
      <c r="O46" s="50">
        <v>10433476.630000001</v>
      </c>
      <c r="P46" s="218">
        <v>0.03</v>
      </c>
      <c r="Q46" s="50">
        <v>52039.85</v>
      </c>
      <c r="R46" s="50">
        <v>437474.06356758124</v>
      </c>
      <c r="S46" s="38" t="s">
        <v>63</v>
      </c>
      <c r="T46" s="51">
        <v>3.2857142857142856E-2</v>
      </c>
      <c r="U46" s="65">
        <v>0.45</v>
      </c>
      <c r="V46" s="105" t="s">
        <v>21</v>
      </c>
      <c r="W46" s="66">
        <v>722820.16973458056</v>
      </c>
      <c r="X46" s="66">
        <v>457274.98428885837</v>
      </c>
      <c r="Y46" s="38" t="s">
        <v>237</v>
      </c>
      <c r="Z46" s="66">
        <f t="shared" si="0"/>
        <v>722820.16973458056</v>
      </c>
      <c r="AA46" s="67"/>
      <c r="AC46" s="41">
        <f>VLOOKUP(A46,'Input Sheet'!$A$2:$B$232,2,0)</f>
        <v>1043</v>
      </c>
      <c r="AD46" s="259">
        <f t="shared" si="1"/>
        <v>722820.16973458056</v>
      </c>
      <c r="AI46" s="68"/>
      <c r="AL46" s="107">
        <f t="shared" ca="1" si="22"/>
        <v>41</v>
      </c>
      <c r="AM46" s="49">
        <f t="shared" ca="1" si="23"/>
        <v>44681</v>
      </c>
      <c r="AN46" s="137" t="str">
        <f t="shared" ca="1" si="9"/>
        <v xml:space="preserve"> </v>
      </c>
      <c r="AO46" s="107">
        <f t="shared" ca="1" si="10"/>
        <v>0</v>
      </c>
      <c r="AP46" s="143">
        <f t="shared" ca="1" si="2"/>
        <v>0</v>
      </c>
      <c r="AQ46" s="143">
        <f t="shared" ca="1" si="11"/>
        <v>0</v>
      </c>
      <c r="AR46" s="49" t="str">
        <f t="shared" ca="1" si="3"/>
        <v xml:space="preserve"> </v>
      </c>
      <c r="AS46" s="107">
        <f t="shared" ca="1" si="4"/>
        <v>0</v>
      </c>
      <c r="AT46" s="107">
        <f t="shared" ca="1" si="5"/>
        <v>0</v>
      </c>
      <c r="AU46" s="107"/>
      <c r="AV46" s="107">
        <f ca="1">MAX(SUM($AQ$6:AQ46)-SUM($AT$6:AT46),0)</f>
        <v>1800000</v>
      </c>
      <c r="AW46" s="107">
        <f t="shared" ca="1" si="24"/>
        <v>5264.3835616438364</v>
      </c>
      <c r="AX46" s="107">
        <v>0</v>
      </c>
      <c r="AY46" s="138">
        <f t="shared" ca="1" si="6"/>
        <v>44681</v>
      </c>
      <c r="AZ46" s="107">
        <f t="shared" ca="1" si="7"/>
        <v>1</v>
      </c>
      <c r="BA46" s="107">
        <f ca="1">IF(AZ46=1,(SUM($AW$6:AW46,$AX$6:AX46)-SUM($BA$6:BA45)),0)</f>
        <v>31538.690887433011</v>
      </c>
      <c r="BB46" s="107"/>
      <c r="BC46" s="107">
        <f ca="1">AV46+SUM($AW$6:AW46)+SUM($AX$6:AX46)-SUM($BA$6:BA46)</f>
        <v>1800000</v>
      </c>
      <c r="BD46" s="107">
        <f t="shared" ca="1" si="12"/>
        <v>30</v>
      </c>
      <c r="BE46" s="51">
        <f ca="1">'PiT PD Structure'!J86</f>
        <v>3.7329903479821347E-5</v>
      </c>
      <c r="BF46" s="139">
        <f t="shared" ca="1" si="25"/>
        <v>0.45</v>
      </c>
      <c r="BG46" s="51">
        <f t="shared" ca="1" si="13"/>
        <v>0.99799512324600315</v>
      </c>
      <c r="BH46" s="50">
        <f t="shared" ca="1" si="8"/>
        <v>30.176599915525628</v>
      </c>
      <c r="BI46" s="50">
        <f t="shared" ca="1" si="31"/>
        <v>587.66653633705232</v>
      </c>
      <c r="BJ46" s="140">
        <v>0</v>
      </c>
      <c r="BK46" s="140">
        <v>0</v>
      </c>
      <c r="BM46" s="78"/>
      <c r="BR46" s="75">
        <f t="shared" ca="1" si="27"/>
        <v>44681</v>
      </c>
      <c r="BS46" s="74">
        <f t="shared" ca="1" si="14"/>
        <v>4</v>
      </c>
      <c r="BT46" s="74">
        <f t="shared" ca="1" si="15"/>
        <v>0</v>
      </c>
      <c r="BU46" s="73" t="str">
        <f t="shared" ca="1" si="16"/>
        <v xml:space="preserve"> </v>
      </c>
      <c r="BW46" s="75">
        <f t="shared" ca="1" si="28"/>
        <v>44681</v>
      </c>
      <c r="BX46" s="74">
        <f t="shared" ca="1" si="29"/>
        <v>4</v>
      </c>
      <c r="BY46" s="74">
        <f t="shared" ca="1" si="17"/>
        <v>1</v>
      </c>
      <c r="BZ46" s="73">
        <f t="shared" ca="1" si="18"/>
        <v>44681</v>
      </c>
      <c r="CB46" s="75">
        <f t="shared" ca="1" si="30"/>
        <v>44681</v>
      </c>
      <c r="CC46" s="74">
        <f t="shared" ca="1" si="19"/>
        <v>4</v>
      </c>
      <c r="CD46" s="74">
        <f t="shared" ca="1" si="20"/>
        <v>0</v>
      </c>
      <c r="CE46" s="73" t="str">
        <f t="shared" ca="1" si="21"/>
        <v xml:space="preserve"> </v>
      </c>
    </row>
    <row r="47" spans="1:83" x14ac:dyDescent="0.2">
      <c r="A47" s="38">
        <f t="shared" si="32"/>
        <v>44</v>
      </c>
      <c r="B47" s="108" t="s">
        <v>388</v>
      </c>
      <c r="C47" s="38" t="s">
        <v>806</v>
      </c>
      <c r="D47" s="137">
        <v>43465</v>
      </c>
      <c r="E47" s="137">
        <v>40116</v>
      </c>
      <c r="F47" s="137">
        <v>38655</v>
      </c>
      <c r="G47" s="122">
        <v>12</v>
      </c>
      <c r="H47" s="137">
        <v>44316</v>
      </c>
      <c r="I47" s="50">
        <v>36730000</v>
      </c>
      <c r="J47" s="50">
        <v>33409866.16</v>
      </c>
      <c r="K47" s="50">
        <v>3320133.84</v>
      </c>
      <c r="L47" s="38">
        <v>1</v>
      </c>
      <c r="M47" s="38">
        <v>2</v>
      </c>
      <c r="N47" s="38">
        <v>2</v>
      </c>
      <c r="O47" s="50">
        <v>8972259.9499999993</v>
      </c>
      <c r="P47" s="218">
        <v>0.03</v>
      </c>
      <c r="Q47" s="50">
        <v>44733.71</v>
      </c>
      <c r="R47" s="50">
        <v>502438.89211288432</v>
      </c>
      <c r="S47" s="38" t="s">
        <v>63</v>
      </c>
      <c r="T47" s="51">
        <v>3.2857142857142856E-2</v>
      </c>
      <c r="U47" s="65">
        <v>0.45</v>
      </c>
      <c r="V47" s="105" t="s">
        <v>21</v>
      </c>
      <c r="W47" s="66">
        <v>829894.64933815389</v>
      </c>
      <c r="X47" s="66">
        <v>524916.04627944215</v>
      </c>
      <c r="Y47" s="38" t="s">
        <v>237</v>
      </c>
      <c r="Z47" s="66">
        <f t="shared" si="0"/>
        <v>829894.64933815389</v>
      </c>
      <c r="AA47" s="67"/>
      <c r="AC47" s="41">
        <f>VLOOKUP(A47,'Input Sheet'!$A$2:$B$232,2,0)</f>
        <v>1044</v>
      </c>
      <c r="AD47" s="259">
        <f t="shared" si="1"/>
        <v>829894.64933815389</v>
      </c>
      <c r="AI47" s="68"/>
      <c r="AL47" s="107">
        <f t="shared" ca="1" si="22"/>
        <v>42</v>
      </c>
      <c r="AM47" s="49">
        <f t="shared" ca="1" si="23"/>
        <v>44712</v>
      </c>
      <c r="AN47" s="137" t="str">
        <f t="shared" ca="1" si="9"/>
        <v xml:space="preserve"> </v>
      </c>
      <c r="AO47" s="107">
        <f t="shared" ca="1" si="10"/>
        <v>0</v>
      </c>
      <c r="AP47" s="143">
        <f t="shared" ca="1" si="2"/>
        <v>0</v>
      </c>
      <c r="AQ47" s="143">
        <f t="shared" ca="1" si="11"/>
        <v>0</v>
      </c>
      <c r="AR47" s="49" t="str">
        <f t="shared" ca="1" si="3"/>
        <v xml:space="preserve"> </v>
      </c>
      <c r="AS47" s="107">
        <f t="shared" ca="1" si="4"/>
        <v>0</v>
      </c>
      <c r="AT47" s="107">
        <f t="shared" ca="1" si="5"/>
        <v>0</v>
      </c>
      <c r="AU47" s="107"/>
      <c r="AV47" s="107">
        <f ca="1">MAX(SUM($AQ$6:AQ47)-SUM($AT$6:AT47),0)</f>
        <v>1800000</v>
      </c>
      <c r="AW47" s="107">
        <f t="shared" ca="1" si="24"/>
        <v>5259.8413842826249</v>
      </c>
      <c r="AX47" s="107">
        <v>0</v>
      </c>
      <c r="AY47" s="138" t="str">
        <f t="shared" ca="1" si="6"/>
        <v xml:space="preserve"> </v>
      </c>
      <c r="AZ47" s="107">
        <f t="shared" ca="1" si="7"/>
        <v>0</v>
      </c>
      <c r="BA47" s="107">
        <f ca="1">IF(AZ47=1,(SUM($AW$6:AW47,$AX$6:AX47)-SUM($BA$6:BA46)),0)</f>
        <v>0</v>
      </c>
      <c r="BB47" s="107"/>
      <c r="BC47" s="107">
        <f ca="1">AV47+SUM($AW$6:AW47)+SUM($AX$6:AX47)-SUM($BA$6:BA47)</f>
        <v>1805259.8413842833</v>
      </c>
      <c r="BD47" s="107">
        <f t="shared" ca="1" si="12"/>
        <v>31</v>
      </c>
      <c r="BE47" s="51">
        <f ca="1">'PiT PD Structure'!J87</f>
        <v>3.7328506744205292E-5</v>
      </c>
      <c r="BF47" s="139">
        <f t="shared" ca="1" si="25"/>
        <v>0.45</v>
      </c>
      <c r="BG47" s="51">
        <f t="shared" ca="1" si="13"/>
        <v>0.99792836329088741</v>
      </c>
      <c r="BH47" s="50">
        <f t="shared" ca="1" si="8"/>
        <v>30.261623141721934</v>
      </c>
      <c r="BI47" s="50">
        <f t="shared" ca="1" si="31"/>
        <v>557.48993642152664</v>
      </c>
      <c r="BJ47" s="140">
        <v>0</v>
      </c>
      <c r="BK47" s="140">
        <v>0</v>
      </c>
      <c r="BM47" s="78"/>
      <c r="BR47" s="75">
        <f t="shared" ca="1" si="27"/>
        <v>44712</v>
      </c>
      <c r="BS47" s="74">
        <f t="shared" ca="1" si="14"/>
        <v>5</v>
      </c>
      <c r="BT47" s="74">
        <f t="shared" ca="1" si="15"/>
        <v>0</v>
      </c>
      <c r="BU47" s="73" t="str">
        <f t="shared" ca="1" si="16"/>
        <v xml:space="preserve"> </v>
      </c>
      <c r="BW47" s="75">
        <f t="shared" ca="1" si="28"/>
        <v>44712</v>
      </c>
      <c r="BX47" s="74">
        <f t="shared" ca="1" si="29"/>
        <v>5</v>
      </c>
      <c r="BY47" s="74">
        <f t="shared" ca="1" si="17"/>
        <v>0</v>
      </c>
      <c r="BZ47" s="73" t="str">
        <f t="shared" ca="1" si="18"/>
        <v xml:space="preserve"> </v>
      </c>
      <c r="CB47" s="75">
        <f t="shared" ca="1" si="30"/>
        <v>44712</v>
      </c>
      <c r="CC47" s="74">
        <f t="shared" ca="1" si="19"/>
        <v>5</v>
      </c>
      <c r="CD47" s="74">
        <f t="shared" ca="1" si="20"/>
        <v>0</v>
      </c>
      <c r="CE47" s="73" t="str">
        <f t="shared" ca="1" si="21"/>
        <v xml:space="preserve"> </v>
      </c>
    </row>
    <row r="48" spans="1:83" x14ac:dyDescent="0.2">
      <c r="A48" s="38">
        <f t="shared" si="32"/>
        <v>45</v>
      </c>
      <c r="B48" s="108" t="s">
        <v>389</v>
      </c>
      <c r="C48" s="38" t="s">
        <v>806</v>
      </c>
      <c r="D48" s="137">
        <v>43465</v>
      </c>
      <c r="E48" s="137">
        <v>41212</v>
      </c>
      <c r="F48" s="137">
        <v>38655</v>
      </c>
      <c r="G48" s="122">
        <v>12</v>
      </c>
      <c r="H48" s="137">
        <v>44316</v>
      </c>
      <c r="I48" s="50">
        <v>27547500</v>
      </c>
      <c r="J48" s="50">
        <v>9343252.3699999992</v>
      </c>
      <c r="K48" s="50">
        <v>18204247.630000003</v>
      </c>
      <c r="L48" s="38">
        <v>1</v>
      </c>
      <c r="M48" s="38">
        <v>2</v>
      </c>
      <c r="N48" s="38">
        <v>2</v>
      </c>
      <c r="O48" s="50">
        <v>2914971.45</v>
      </c>
      <c r="P48" s="218">
        <v>0.03</v>
      </c>
      <c r="Q48" s="50">
        <v>14730.89</v>
      </c>
      <c r="R48" s="50">
        <v>863226.25341507967</v>
      </c>
      <c r="S48" s="38" t="s">
        <v>63</v>
      </c>
      <c r="T48" s="51">
        <v>3.2857142857142856E-2</v>
      </c>
      <c r="U48" s="65">
        <v>0.45</v>
      </c>
      <c r="V48" s="105" t="s">
        <v>21</v>
      </c>
      <c r="W48" s="66">
        <v>1424727.1130486475</v>
      </c>
      <c r="X48" s="66">
        <v>900751.87740747887</v>
      </c>
      <c r="Y48" s="38" t="s">
        <v>237</v>
      </c>
      <c r="Z48" s="66">
        <f t="shared" si="0"/>
        <v>1424727.1130486475</v>
      </c>
      <c r="AA48" s="67"/>
      <c r="AC48" s="41">
        <f>VLOOKUP(A48,'Input Sheet'!$A$2:$B$232,2,0)</f>
        <v>1045</v>
      </c>
      <c r="AD48" s="259">
        <f t="shared" si="1"/>
        <v>1424727.1130486475</v>
      </c>
      <c r="AI48" s="68"/>
      <c r="AL48" s="107">
        <f t="shared" ca="1" si="22"/>
        <v>43</v>
      </c>
      <c r="AM48" s="49">
        <f t="shared" ca="1" si="23"/>
        <v>44742</v>
      </c>
      <c r="AN48" s="137" t="str">
        <f t="shared" ca="1" si="9"/>
        <v xml:space="preserve"> </v>
      </c>
      <c r="AO48" s="107">
        <f t="shared" ca="1" si="10"/>
        <v>0</v>
      </c>
      <c r="AP48" s="143">
        <f t="shared" ca="1" si="2"/>
        <v>0</v>
      </c>
      <c r="AQ48" s="143">
        <f t="shared" ca="1" si="11"/>
        <v>0</v>
      </c>
      <c r="AR48" s="49" t="str">
        <f t="shared" ca="1" si="3"/>
        <v xml:space="preserve"> </v>
      </c>
      <c r="AS48" s="107">
        <f t="shared" ca="1" si="4"/>
        <v>0</v>
      </c>
      <c r="AT48" s="107">
        <f t="shared" ca="1" si="5"/>
        <v>0</v>
      </c>
      <c r="AU48" s="107"/>
      <c r="AV48" s="107">
        <f ca="1">MAX(SUM($AQ$6:AQ48)-SUM($AT$6:AT48),0)</f>
        <v>1800000</v>
      </c>
      <c r="AW48" s="107">
        <f t="shared" ca="1" si="24"/>
        <v>5264.3835616438355</v>
      </c>
      <c r="AX48" s="107">
        <v>0</v>
      </c>
      <c r="AY48" s="138" t="str">
        <f t="shared" ca="1" si="6"/>
        <v xml:space="preserve"> </v>
      </c>
      <c r="AZ48" s="107">
        <f t="shared" ca="1" si="7"/>
        <v>0</v>
      </c>
      <c r="BA48" s="107">
        <f ca="1">IF(AZ48=1,(SUM($AW$6:AW48,$AX$6:AX48)-SUM($BA$6:BA47)),0)</f>
        <v>0</v>
      </c>
      <c r="BB48" s="107"/>
      <c r="BC48" s="107">
        <f ca="1">AV48+SUM($AW$6:AW48)+SUM($AX$6:AX48)-SUM($BA$6:BA48)</f>
        <v>1810524.2249459261</v>
      </c>
      <c r="BD48" s="107">
        <f t="shared" ca="1" si="12"/>
        <v>30</v>
      </c>
      <c r="BE48" s="51">
        <f ca="1">'PiT PD Structure'!J88</f>
        <v>3.7327110060658697E-5</v>
      </c>
      <c r="BF48" s="139">
        <f t="shared" ca="1" si="25"/>
        <v>0.45</v>
      </c>
      <c r="BG48" s="51">
        <f t="shared" ca="1" si="13"/>
        <v>0.99799512324600315</v>
      </c>
      <c r="BH48" s="50">
        <f t="shared" ca="1" si="8"/>
        <v>30.350764871551284</v>
      </c>
      <c r="BI48" s="50">
        <f t="shared" ca="1" si="31"/>
        <v>527.22831327980475</v>
      </c>
      <c r="BJ48" s="140">
        <v>0</v>
      </c>
      <c r="BK48" s="140">
        <v>0</v>
      </c>
      <c r="BM48" s="78"/>
      <c r="BR48" s="75">
        <f t="shared" ca="1" si="27"/>
        <v>44742</v>
      </c>
      <c r="BS48" s="74">
        <f t="shared" ca="1" si="14"/>
        <v>6</v>
      </c>
      <c r="BT48" s="74">
        <f t="shared" ca="1" si="15"/>
        <v>0</v>
      </c>
      <c r="BU48" s="73" t="str">
        <f t="shared" ca="1" si="16"/>
        <v xml:space="preserve"> </v>
      </c>
      <c r="BW48" s="75">
        <f t="shared" ca="1" si="28"/>
        <v>44742</v>
      </c>
      <c r="BX48" s="74">
        <f t="shared" ca="1" si="29"/>
        <v>6</v>
      </c>
      <c r="BY48" s="74">
        <f t="shared" ca="1" si="17"/>
        <v>0</v>
      </c>
      <c r="BZ48" s="73" t="str">
        <f t="shared" ca="1" si="18"/>
        <v xml:space="preserve"> </v>
      </c>
      <c r="CB48" s="75">
        <f t="shared" ca="1" si="30"/>
        <v>44742</v>
      </c>
      <c r="CC48" s="74">
        <f t="shared" ca="1" si="19"/>
        <v>6</v>
      </c>
      <c r="CD48" s="74">
        <f t="shared" ca="1" si="20"/>
        <v>0</v>
      </c>
      <c r="CE48" s="73" t="str">
        <f t="shared" ca="1" si="21"/>
        <v xml:space="preserve"> </v>
      </c>
    </row>
    <row r="49" spans="1:83" x14ac:dyDescent="0.2">
      <c r="A49" s="38">
        <f t="shared" si="32"/>
        <v>46</v>
      </c>
      <c r="B49" s="108" t="s">
        <v>390</v>
      </c>
      <c r="C49" s="38" t="s">
        <v>806</v>
      </c>
      <c r="D49" s="137">
        <v>43465</v>
      </c>
      <c r="E49" s="137">
        <v>40298</v>
      </c>
      <c r="F49" s="137">
        <v>38655</v>
      </c>
      <c r="G49" s="122">
        <v>15</v>
      </c>
      <c r="H49" s="137">
        <v>45595</v>
      </c>
      <c r="I49" s="50">
        <v>29384000</v>
      </c>
      <c r="J49" s="50">
        <v>29384000</v>
      </c>
      <c r="K49" s="50">
        <v>0</v>
      </c>
      <c r="L49" s="38">
        <v>1</v>
      </c>
      <c r="M49" s="38">
        <v>2</v>
      </c>
      <c r="N49" s="38">
        <v>2</v>
      </c>
      <c r="O49" s="50">
        <v>11384000</v>
      </c>
      <c r="P49" s="218">
        <v>2.5000000000000001E-2</v>
      </c>
      <c r="Q49" s="50">
        <v>47363.85</v>
      </c>
      <c r="R49" s="50">
        <v>894001.25651747943</v>
      </c>
      <c r="S49" s="38" t="s">
        <v>10</v>
      </c>
      <c r="T49" s="51">
        <v>3.5909090909090911E-2</v>
      </c>
      <c r="U49" s="65">
        <v>0.45</v>
      </c>
      <c r="V49" s="105" t="s">
        <v>477</v>
      </c>
      <c r="W49" s="66">
        <v>686961.64689911413</v>
      </c>
      <c r="X49" s="66">
        <v>131288.90709735127</v>
      </c>
      <c r="Y49" s="38" t="s">
        <v>237</v>
      </c>
      <c r="Z49" s="66">
        <f t="shared" si="0"/>
        <v>686961.64689911413</v>
      </c>
      <c r="AA49" s="67"/>
      <c r="AC49" s="41">
        <f>VLOOKUP(A49,'Input Sheet'!$A$2:$B$232,2,0)</f>
        <v>1046</v>
      </c>
      <c r="AD49" s="259">
        <f t="shared" si="1"/>
        <v>686961.64689911413</v>
      </c>
      <c r="AI49" s="68"/>
      <c r="AL49" s="107">
        <f t="shared" ca="1" si="22"/>
        <v>44</v>
      </c>
      <c r="AM49" s="49">
        <f t="shared" ca="1" si="23"/>
        <v>44773</v>
      </c>
      <c r="AN49" s="137" t="str">
        <f t="shared" ca="1" si="9"/>
        <v xml:space="preserve"> </v>
      </c>
      <c r="AO49" s="107">
        <f t="shared" ca="1" si="10"/>
        <v>0</v>
      </c>
      <c r="AP49" s="143">
        <f t="shared" ca="1" si="2"/>
        <v>0</v>
      </c>
      <c r="AQ49" s="143">
        <f t="shared" ca="1" si="11"/>
        <v>0</v>
      </c>
      <c r="AR49" s="49" t="str">
        <f t="shared" ca="1" si="3"/>
        <v xml:space="preserve"> </v>
      </c>
      <c r="AS49" s="107">
        <f t="shared" ca="1" si="4"/>
        <v>0</v>
      </c>
      <c r="AT49" s="107">
        <f t="shared" ca="1" si="5"/>
        <v>0</v>
      </c>
      <c r="AU49" s="107"/>
      <c r="AV49" s="107">
        <f ca="1">MAX(SUM($AQ$6:AQ49)-SUM($AT$6:AT49),0)</f>
        <v>1800000</v>
      </c>
      <c r="AW49" s="107">
        <f t="shared" ca="1" si="24"/>
        <v>5259.3070104754224</v>
      </c>
      <c r="AX49" s="107">
        <v>0</v>
      </c>
      <c r="AY49" s="138" t="str">
        <f t="shared" ca="1" si="6"/>
        <v xml:space="preserve"> </v>
      </c>
      <c r="AZ49" s="107">
        <f t="shared" ca="1" si="7"/>
        <v>0</v>
      </c>
      <c r="BA49" s="107">
        <f ca="1">IF(AZ49=1,(SUM($AW$6:AW49,$AX$6:AX49)-SUM($BA$6:BA48)),0)</f>
        <v>0</v>
      </c>
      <c r="BB49" s="107"/>
      <c r="BC49" s="107">
        <f ca="1">AV49+SUM($AW$6:AW49)+SUM($AX$6:AX49)-SUM($BA$6:BA49)</f>
        <v>1815783.5319564017</v>
      </c>
      <c r="BD49" s="107">
        <f t="shared" ca="1" si="12"/>
        <v>31</v>
      </c>
      <c r="BE49" s="51">
        <f ca="1">'PiT PD Structure'!J89</f>
        <v>3.7325713429292584E-5</v>
      </c>
      <c r="BF49" s="139">
        <f t="shared" ca="1" si="25"/>
        <v>0.45</v>
      </c>
      <c r="BG49" s="51">
        <f t="shared" ca="1" si="13"/>
        <v>0.99792836329088741</v>
      </c>
      <c r="BH49" s="50">
        <f t="shared" ca="1" si="8"/>
        <v>30.43575437587312</v>
      </c>
      <c r="BI49" s="50">
        <f t="shared" ca="1" si="31"/>
        <v>496.87754840825346</v>
      </c>
      <c r="BJ49" s="140">
        <v>0</v>
      </c>
      <c r="BK49" s="140">
        <v>0</v>
      </c>
      <c r="BM49" s="78"/>
      <c r="BR49" s="75">
        <f t="shared" ca="1" si="27"/>
        <v>44773</v>
      </c>
      <c r="BS49" s="74">
        <f t="shared" ca="1" si="14"/>
        <v>7</v>
      </c>
      <c r="BT49" s="74">
        <f t="shared" ca="1" si="15"/>
        <v>0</v>
      </c>
      <c r="BU49" s="73" t="str">
        <f t="shared" ca="1" si="16"/>
        <v xml:space="preserve"> </v>
      </c>
      <c r="BW49" s="75">
        <f t="shared" ca="1" si="28"/>
        <v>44773</v>
      </c>
      <c r="BX49" s="74">
        <f t="shared" ca="1" si="29"/>
        <v>7</v>
      </c>
      <c r="BY49" s="74">
        <f t="shared" ca="1" si="17"/>
        <v>0</v>
      </c>
      <c r="BZ49" s="73" t="str">
        <f t="shared" ca="1" si="18"/>
        <v xml:space="preserve"> </v>
      </c>
      <c r="CB49" s="75">
        <f t="shared" ca="1" si="30"/>
        <v>44773</v>
      </c>
      <c r="CC49" s="74">
        <f t="shared" ca="1" si="19"/>
        <v>7</v>
      </c>
      <c r="CD49" s="74">
        <f t="shared" ca="1" si="20"/>
        <v>0</v>
      </c>
      <c r="CE49" s="73" t="str">
        <f t="shared" ca="1" si="21"/>
        <v xml:space="preserve"> </v>
      </c>
    </row>
    <row r="50" spans="1:83" x14ac:dyDescent="0.2">
      <c r="A50" s="38">
        <f t="shared" si="32"/>
        <v>47</v>
      </c>
      <c r="B50" s="108" t="s">
        <v>391</v>
      </c>
      <c r="C50" s="38" t="s">
        <v>806</v>
      </c>
      <c r="D50" s="137">
        <v>43465</v>
      </c>
      <c r="E50" s="137">
        <v>40481</v>
      </c>
      <c r="F50" s="137">
        <v>38655</v>
      </c>
      <c r="G50" s="122">
        <v>20</v>
      </c>
      <c r="H50" s="137">
        <v>47603</v>
      </c>
      <c r="I50" s="50">
        <v>147660325.36000001</v>
      </c>
      <c r="J50" s="50">
        <v>147660325.36000001</v>
      </c>
      <c r="K50" s="50">
        <v>0</v>
      </c>
      <c r="L50" s="38">
        <v>1</v>
      </c>
      <c r="M50" s="38">
        <v>2</v>
      </c>
      <c r="N50" s="38">
        <v>2</v>
      </c>
      <c r="O50" s="50">
        <v>84420325.359999999</v>
      </c>
      <c r="P50" s="218">
        <v>0.02</v>
      </c>
      <c r="Q50" s="50">
        <v>231100.98</v>
      </c>
      <c r="R50" s="50">
        <v>9930817.9359702431</v>
      </c>
      <c r="S50" s="38" t="s">
        <v>60</v>
      </c>
      <c r="T50" s="51">
        <v>3.1666666666666662E-2</v>
      </c>
      <c r="U50" s="65">
        <v>0.45</v>
      </c>
      <c r="V50" s="105" t="s">
        <v>504</v>
      </c>
      <c r="W50" s="66">
        <v>3809329.7822867134</v>
      </c>
      <c r="X50" s="66">
        <v>195382.76281710272</v>
      </c>
      <c r="Y50" s="38" t="s">
        <v>237</v>
      </c>
      <c r="Z50" s="66">
        <f t="shared" si="0"/>
        <v>3809329.7822867134</v>
      </c>
      <c r="AA50" s="67"/>
      <c r="AC50" s="41">
        <f>VLOOKUP(A50,'Input Sheet'!$A$2:$B$232,2,0)</f>
        <v>1047</v>
      </c>
      <c r="AD50" s="259">
        <f t="shared" si="1"/>
        <v>3809329.7822867134</v>
      </c>
      <c r="AI50" s="68"/>
      <c r="AL50" s="107">
        <f t="shared" ca="1" si="22"/>
        <v>45</v>
      </c>
      <c r="AM50" s="49">
        <f t="shared" ca="1" si="23"/>
        <v>44804</v>
      </c>
      <c r="AN50" s="137" t="str">
        <f t="shared" ca="1" si="9"/>
        <v xml:space="preserve"> </v>
      </c>
      <c r="AO50" s="107">
        <f t="shared" ca="1" si="10"/>
        <v>0</v>
      </c>
      <c r="AP50" s="143">
        <f t="shared" ca="1" si="2"/>
        <v>0</v>
      </c>
      <c r="AQ50" s="143">
        <f t="shared" ca="1" si="11"/>
        <v>0</v>
      </c>
      <c r="AR50" s="49" t="str">
        <f t="shared" ca="1" si="3"/>
        <v xml:space="preserve"> </v>
      </c>
      <c r="AS50" s="107">
        <f t="shared" ca="1" si="4"/>
        <v>0</v>
      </c>
      <c r="AT50" s="107">
        <f t="shared" ca="1" si="5"/>
        <v>0</v>
      </c>
      <c r="AU50" s="107"/>
      <c r="AV50" s="107">
        <f ca="1">MAX(SUM($AQ$6:AQ50)-SUM($AT$6:AT50),0)</f>
        <v>1800000</v>
      </c>
      <c r="AW50" s="107">
        <f t="shared" ca="1" si="24"/>
        <v>5253.5958904109593</v>
      </c>
      <c r="AX50" s="107">
        <v>0</v>
      </c>
      <c r="AY50" s="138" t="str">
        <f t="shared" ca="1" si="6"/>
        <v xml:space="preserve"> </v>
      </c>
      <c r="AZ50" s="107">
        <f t="shared" ca="1" si="7"/>
        <v>0</v>
      </c>
      <c r="BA50" s="107">
        <f ca="1">IF(AZ50=1,(SUM($AW$6:AW50,$AX$6:AX50)-SUM($BA$6:BA49)),0)</f>
        <v>0</v>
      </c>
      <c r="BB50" s="107"/>
      <c r="BC50" s="107">
        <f ca="1">AV50+SUM($AW$6:AW50)+SUM($AX$6:AX50)-SUM($BA$6:BA50)</f>
        <v>1821037.1278468128</v>
      </c>
      <c r="BD50" s="107">
        <f t="shared" ca="1" si="12"/>
        <v>31</v>
      </c>
      <c r="BE50" s="51">
        <f ca="1">'PiT PD Structure'!J90</f>
        <v>3.7324316850217976E-5</v>
      </c>
      <c r="BF50" s="139">
        <f t="shared" ca="1" si="25"/>
        <v>0.45</v>
      </c>
      <c r="BG50" s="51">
        <f t="shared" ca="1" si="13"/>
        <v>0.99792836329088741</v>
      </c>
      <c r="BH50" s="50">
        <f t="shared" ca="1" si="8"/>
        <v>30.522671887119138</v>
      </c>
      <c r="BI50" s="50">
        <f t="shared" ca="1" si="31"/>
        <v>466.44179403238036</v>
      </c>
      <c r="BJ50" s="140">
        <v>0</v>
      </c>
      <c r="BK50" s="140">
        <v>0</v>
      </c>
      <c r="BM50" s="78"/>
      <c r="BR50" s="75">
        <f t="shared" ca="1" si="27"/>
        <v>44804</v>
      </c>
      <c r="BS50" s="74">
        <f t="shared" ca="1" si="14"/>
        <v>8</v>
      </c>
      <c r="BT50" s="74">
        <f t="shared" ca="1" si="15"/>
        <v>0</v>
      </c>
      <c r="BU50" s="73" t="str">
        <f t="shared" ca="1" si="16"/>
        <v xml:space="preserve"> </v>
      </c>
      <c r="BW50" s="75">
        <f t="shared" ca="1" si="28"/>
        <v>44804</v>
      </c>
      <c r="BX50" s="74">
        <f t="shared" ca="1" si="29"/>
        <v>8</v>
      </c>
      <c r="BY50" s="74">
        <f t="shared" ca="1" si="17"/>
        <v>0</v>
      </c>
      <c r="BZ50" s="73" t="str">
        <f t="shared" ca="1" si="18"/>
        <v xml:space="preserve"> </v>
      </c>
      <c r="CB50" s="75">
        <f t="shared" ca="1" si="30"/>
        <v>44804</v>
      </c>
      <c r="CC50" s="74">
        <f t="shared" ca="1" si="19"/>
        <v>8</v>
      </c>
      <c r="CD50" s="74">
        <f t="shared" ca="1" si="20"/>
        <v>0</v>
      </c>
      <c r="CE50" s="73" t="str">
        <f t="shared" ca="1" si="21"/>
        <v xml:space="preserve"> </v>
      </c>
    </row>
    <row r="51" spans="1:83" x14ac:dyDescent="0.2">
      <c r="A51" s="38">
        <f t="shared" si="32"/>
        <v>48</v>
      </c>
      <c r="B51" s="108" t="s">
        <v>392</v>
      </c>
      <c r="C51" s="38" t="s">
        <v>806</v>
      </c>
      <c r="D51" s="137">
        <v>43465</v>
      </c>
      <c r="E51" s="137">
        <v>40481</v>
      </c>
      <c r="F51" s="137">
        <v>38837</v>
      </c>
      <c r="G51" s="122">
        <v>15</v>
      </c>
      <c r="H51" s="137">
        <v>45960</v>
      </c>
      <c r="I51" s="50">
        <v>55095000</v>
      </c>
      <c r="J51" s="50">
        <v>49892935.843000002</v>
      </c>
      <c r="K51" s="50">
        <v>5202064.1569999978</v>
      </c>
      <c r="L51" s="38">
        <v>6</v>
      </c>
      <c r="M51" s="38">
        <v>2</v>
      </c>
      <c r="N51" s="38">
        <v>2</v>
      </c>
      <c r="O51" s="50">
        <v>18680935.842999998</v>
      </c>
      <c r="P51" s="218">
        <v>0.03</v>
      </c>
      <c r="Q51" s="50">
        <v>92427.14</v>
      </c>
      <c r="R51" s="50">
        <v>2608080.6215996682</v>
      </c>
      <c r="S51" s="38" t="s">
        <v>12</v>
      </c>
      <c r="T51" s="51">
        <v>4.5999999999999999E-2</v>
      </c>
      <c r="U51" s="65">
        <v>0.45</v>
      </c>
      <c r="V51" s="105" t="s">
        <v>479</v>
      </c>
      <c r="W51" s="66">
        <v>1363749.1889085826</v>
      </c>
      <c r="X51" s="66">
        <v>220623.59888329086</v>
      </c>
      <c r="Y51" s="38" t="s">
        <v>237</v>
      </c>
      <c r="Z51" s="66">
        <f t="shared" si="0"/>
        <v>1363749.1889085826</v>
      </c>
      <c r="AA51" s="67"/>
      <c r="AC51" s="41">
        <f>VLOOKUP(A51,'Input Sheet'!$A$2:$B$232,2,0)</f>
        <v>1048</v>
      </c>
      <c r="AD51" s="259">
        <f t="shared" si="1"/>
        <v>1363749.1889085826</v>
      </c>
      <c r="AI51" s="68"/>
      <c r="AL51" s="107">
        <f t="shared" ca="1" si="22"/>
        <v>46</v>
      </c>
      <c r="AM51" s="49">
        <f t="shared" ca="1" si="23"/>
        <v>44834</v>
      </c>
      <c r="AN51" s="137" t="str">
        <f t="shared" ca="1" si="9"/>
        <v xml:space="preserve"> </v>
      </c>
      <c r="AO51" s="107">
        <f t="shared" ca="1" si="10"/>
        <v>0</v>
      </c>
      <c r="AP51" s="143">
        <f t="shared" ca="1" si="2"/>
        <v>0</v>
      </c>
      <c r="AQ51" s="143">
        <f t="shared" ca="1" si="11"/>
        <v>0</v>
      </c>
      <c r="AR51" s="49" t="str">
        <f t="shared" ca="1" si="3"/>
        <v xml:space="preserve"> </v>
      </c>
      <c r="AS51" s="107">
        <f t="shared" ca="1" si="4"/>
        <v>0</v>
      </c>
      <c r="AT51" s="107">
        <f t="shared" ca="1" si="5"/>
        <v>0</v>
      </c>
      <c r="AU51" s="107"/>
      <c r="AV51" s="107">
        <f ca="1">MAX(SUM($AQ$6:AQ51)-SUM($AT$6:AT51),0)</f>
        <v>1800000</v>
      </c>
      <c r="AW51" s="107">
        <f t="shared" ca="1" si="24"/>
        <v>5258.6301369863031</v>
      </c>
      <c r="AX51" s="107">
        <v>0</v>
      </c>
      <c r="AY51" s="138" t="str">
        <f t="shared" ca="1" si="6"/>
        <v xml:space="preserve"> </v>
      </c>
      <c r="AZ51" s="107">
        <f t="shared" ca="1" si="7"/>
        <v>0</v>
      </c>
      <c r="BA51" s="107">
        <f ca="1">IF(AZ51=1,(SUM($AW$6:AW51,$AX$6:AX51)-SUM($BA$6:BA50)),0)</f>
        <v>0</v>
      </c>
      <c r="BB51" s="107"/>
      <c r="BC51" s="107">
        <f ca="1">AV51+SUM($AW$6:AW51)+SUM($AX$6:AX51)-SUM($BA$6:BA51)</f>
        <v>1826295.7579837991</v>
      </c>
      <c r="BD51" s="107">
        <f t="shared" ca="1" si="12"/>
        <v>30</v>
      </c>
      <c r="BE51" s="51">
        <f ca="1">'PiT PD Structure'!J91</f>
        <v>3.7322920323545894E-5</v>
      </c>
      <c r="BF51" s="139">
        <f t="shared" ca="1" si="25"/>
        <v>0.45</v>
      </c>
      <c r="BG51" s="51">
        <f t="shared" ca="1" si="13"/>
        <v>0.99799512324600315</v>
      </c>
      <c r="BH51" s="50">
        <f t="shared" ca="1" si="8"/>
        <v>30.611714970446187</v>
      </c>
      <c r="BI51" s="50">
        <f t="shared" ca="1" si="31"/>
        <v>435.91912214526121</v>
      </c>
      <c r="BJ51" s="140">
        <v>0</v>
      </c>
      <c r="BK51" s="140">
        <v>0</v>
      </c>
      <c r="BM51" s="78"/>
      <c r="BR51" s="75">
        <f t="shared" ca="1" si="27"/>
        <v>44834</v>
      </c>
      <c r="BS51" s="74">
        <f t="shared" ca="1" si="14"/>
        <v>9</v>
      </c>
      <c r="BT51" s="74">
        <f t="shared" ca="1" si="15"/>
        <v>0</v>
      </c>
      <c r="BU51" s="73" t="str">
        <f t="shared" ca="1" si="16"/>
        <v xml:space="preserve"> </v>
      </c>
      <c r="BW51" s="75">
        <f t="shared" ca="1" si="28"/>
        <v>44834</v>
      </c>
      <c r="BX51" s="74">
        <f t="shared" ca="1" si="29"/>
        <v>9</v>
      </c>
      <c r="BY51" s="74">
        <f t="shared" ca="1" si="17"/>
        <v>0</v>
      </c>
      <c r="BZ51" s="73" t="str">
        <f t="shared" ca="1" si="18"/>
        <v xml:space="preserve"> </v>
      </c>
      <c r="CB51" s="75">
        <f t="shared" ca="1" si="30"/>
        <v>44834</v>
      </c>
      <c r="CC51" s="74">
        <f t="shared" ca="1" si="19"/>
        <v>9</v>
      </c>
      <c r="CD51" s="74">
        <f t="shared" ca="1" si="20"/>
        <v>0</v>
      </c>
      <c r="CE51" s="73" t="str">
        <f t="shared" ca="1" si="21"/>
        <v xml:space="preserve"> </v>
      </c>
    </row>
    <row r="52" spans="1:83" x14ac:dyDescent="0.2">
      <c r="A52" s="38">
        <f t="shared" si="32"/>
        <v>49</v>
      </c>
      <c r="B52" s="108" t="s">
        <v>393</v>
      </c>
      <c r="C52" s="38" t="s">
        <v>806</v>
      </c>
      <c r="D52" s="137">
        <v>43465</v>
      </c>
      <c r="E52" s="137">
        <v>41212</v>
      </c>
      <c r="F52" s="137">
        <v>39568</v>
      </c>
      <c r="G52" s="122">
        <v>15</v>
      </c>
      <c r="H52" s="137">
        <v>46507</v>
      </c>
      <c r="I52" s="50">
        <v>367300000</v>
      </c>
      <c r="J52" s="50">
        <v>228487327.02000001</v>
      </c>
      <c r="K52" s="50">
        <v>138812672.97999999</v>
      </c>
      <c r="L52" s="38">
        <v>1</v>
      </c>
      <c r="M52" s="38">
        <v>2</v>
      </c>
      <c r="N52" s="38">
        <v>2</v>
      </c>
      <c r="O52" s="50">
        <v>216244327.02000001</v>
      </c>
      <c r="P52" s="218">
        <v>0.04</v>
      </c>
      <c r="Q52" s="50">
        <v>57121179.090000004</v>
      </c>
      <c r="R52" s="50">
        <v>62189811.592493132</v>
      </c>
      <c r="S52" s="38" t="s">
        <v>62</v>
      </c>
      <c r="T52" s="51">
        <v>3.6666666666666667E-2</v>
      </c>
      <c r="U52" s="65">
        <v>0.45</v>
      </c>
      <c r="V52" s="105" t="s">
        <v>476</v>
      </c>
      <c r="W52" s="66">
        <v>31864973.486314282</v>
      </c>
      <c r="X52" s="66">
        <v>4478524.6972913137</v>
      </c>
      <c r="Y52" s="38" t="s">
        <v>238</v>
      </c>
      <c r="Z52" s="66">
        <f t="shared" si="0"/>
        <v>216244327.02000001</v>
      </c>
      <c r="AA52" s="67"/>
      <c r="AC52" s="41">
        <f>VLOOKUP(A52,'Input Sheet'!$A$2:$B$232,2,0)</f>
        <v>1049</v>
      </c>
      <c r="AD52" s="259">
        <f t="shared" si="1"/>
        <v>216244327.02000001</v>
      </c>
      <c r="AI52" s="68"/>
      <c r="AL52" s="107">
        <f t="shared" ca="1" si="22"/>
        <v>47</v>
      </c>
      <c r="AM52" s="49">
        <f t="shared" ca="1" si="23"/>
        <v>44865</v>
      </c>
      <c r="AN52" s="137">
        <f t="shared" ca="1" si="9"/>
        <v>44865</v>
      </c>
      <c r="AO52" s="107">
        <f t="shared" ca="1" si="10"/>
        <v>0</v>
      </c>
      <c r="AP52" s="143">
        <f t="shared" ca="1" si="2"/>
        <v>0</v>
      </c>
      <c r="AQ52" s="143">
        <f t="shared" ca="1" si="11"/>
        <v>0</v>
      </c>
      <c r="AR52" s="49">
        <f t="shared" ca="1" si="3"/>
        <v>44865</v>
      </c>
      <c r="AS52" s="107">
        <f t="shared" ca="1" si="4"/>
        <v>1</v>
      </c>
      <c r="AT52" s="107">
        <f t="shared" ca="1" si="5"/>
        <v>900000</v>
      </c>
      <c r="AU52" s="107"/>
      <c r="AV52" s="107">
        <f ca="1">MAX(SUM($AQ$6:AQ52)-SUM($AT$6:AT52),0)</f>
        <v>900000</v>
      </c>
      <c r="AW52" s="107">
        <f t="shared" ca="1" si="24"/>
        <v>5252.054794520549</v>
      </c>
      <c r="AX52" s="107">
        <v>0</v>
      </c>
      <c r="AY52" s="138">
        <f t="shared" ca="1" si="6"/>
        <v>44865</v>
      </c>
      <c r="AZ52" s="107">
        <f t="shared" ca="1" si="7"/>
        <v>1</v>
      </c>
      <c r="BA52" s="107">
        <f ca="1">IF(AZ52=1,(SUM($AW$6:AW52,$AX$6:AX52)-SUM($BA$6:BA51)),0)</f>
        <v>31547.812778319698</v>
      </c>
      <c r="BB52" s="107"/>
      <c r="BC52" s="107">
        <f ca="1">AV52+SUM($AW$6:AW52)+SUM($AX$6:AX52)-SUM($BA$6:BA52)</f>
        <v>899999.99999999953</v>
      </c>
      <c r="BD52" s="107">
        <f t="shared" ca="1" si="12"/>
        <v>31</v>
      </c>
      <c r="BE52" s="51">
        <f ca="1">'PiT PD Structure'!J92</f>
        <v>3.7321523848943272E-5</v>
      </c>
      <c r="BF52" s="139">
        <f t="shared" ca="1" si="25"/>
        <v>0.45</v>
      </c>
      <c r="BG52" s="51">
        <f t="shared" ca="1" si="13"/>
        <v>0.99792836329088741</v>
      </c>
      <c r="BH52" s="50">
        <f t="shared" ca="1" si="8"/>
        <v>15.083903920089595</v>
      </c>
      <c r="BI52" s="50">
        <f t="shared" ca="1" si="31"/>
        <v>405.30740717481501</v>
      </c>
      <c r="BJ52" s="140">
        <v>0</v>
      </c>
      <c r="BK52" s="140">
        <v>0</v>
      </c>
      <c r="BM52" s="78"/>
      <c r="BR52" s="75">
        <f t="shared" ca="1" si="27"/>
        <v>44865</v>
      </c>
      <c r="BS52" s="74">
        <f t="shared" ca="1" si="14"/>
        <v>10</v>
      </c>
      <c r="BT52" s="74">
        <f t="shared" ca="1" si="15"/>
        <v>1</v>
      </c>
      <c r="BU52" s="73">
        <f t="shared" ca="1" si="16"/>
        <v>44865</v>
      </c>
      <c r="BW52" s="75">
        <f t="shared" ca="1" si="28"/>
        <v>44865</v>
      </c>
      <c r="BX52" s="74">
        <f t="shared" ca="1" si="29"/>
        <v>10</v>
      </c>
      <c r="BY52" s="74">
        <f t="shared" ca="1" si="17"/>
        <v>1</v>
      </c>
      <c r="BZ52" s="73">
        <f t="shared" ca="1" si="18"/>
        <v>44865</v>
      </c>
      <c r="CB52" s="75">
        <f t="shared" ca="1" si="30"/>
        <v>44865</v>
      </c>
      <c r="CC52" s="74">
        <f t="shared" ca="1" si="19"/>
        <v>10</v>
      </c>
      <c r="CD52" s="74">
        <f t="shared" ca="1" si="20"/>
        <v>1</v>
      </c>
      <c r="CE52" s="73">
        <f t="shared" ca="1" si="21"/>
        <v>44865</v>
      </c>
    </row>
    <row r="53" spans="1:83" x14ac:dyDescent="0.2">
      <c r="A53" s="38">
        <f t="shared" si="32"/>
        <v>50</v>
      </c>
      <c r="B53" s="108" t="s">
        <v>394</v>
      </c>
      <c r="C53" s="38" t="s">
        <v>806</v>
      </c>
      <c r="D53" s="137">
        <v>43465</v>
      </c>
      <c r="E53" s="137">
        <v>41212</v>
      </c>
      <c r="F53" s="137">
        <v>39568</v>
      </c>
      <c r="G53" s="122">
        <v>15</v>
      </c>
      <c r="H53" s="137">
        <v>46690</v>
      </c>
      <c r="I53" s="50">
        <v>36730000</v>
      </c>
      <c r="J53" s="50">
        <v>35232969.719999999</v>
      </c>
      <c r="K53" s="50">
        <v>1497030.2800000012</v>
      </c>
      <c r="L53" s="38">
        <v>4</v>
      </c>
      <c r="M53" s="38">
        <v>2</v>
      </c>
      <c r="N53" s="38">
        <v>2</v>
      </c>
      <c r="O53" s="50">
        <v>19320969.719999999</v>
      </c>
      <c r="P53" s="218">
        <v>3.5000000000000003E-2</v>
      </c>
      <c r="Q53" s="50">
        <v>112264.87</v>
      </c>
      <c r="R53" s="50">
        <v>3379746.5275938231</v>
      </c>
      <c r="S53" s="38" t="s">
        <v>10</v>
      </c>
      <c r="T53" s="51">
        <v>3.5000000000000003E-2</v>
      </c>
      <c r="U53" s="65">
        <v>0.45</v>
      </c>
      <c r="V53" s="105" t="s">
        <v>520</v>
      </c>
      <c r="W53" s="66">
        <v>1714113.2125062377</v>
      </c>
      <c r="X53" s="66">
        <v>217466.91972440958</v>
      </c>
      <c r="Y53" s="38" t="s">
        <v>237</v>
      </c>
      <c r="Z53" s="66">
        <f t="shared" si="0"/>
        <v>1714113.2125062377</v>
      </c>
      <c r="AA53" s="67"/>
      <c r="AC53" s="41">
        <f>VLOOKUP(A53,'Input Sheet'!$A$2:$B$232,2,0)</f>
        <v>1050</v>
      </c>
      <c r="AD53" s="259">
        <f t="shared" si="1"/>
        <v>1714113.2125062377</v>
      </c>
      <c r="AI53" s="68"/>
      <c r="AL53" s="107">
        <f t="shared" ca="1" si="22"/>
        <v>48</v>
      </c>
      <c r="AM53" s="49">
        <f t="shared" ca="1" si="23"/>
        <v>44895</v>
      </c>
      <c r="AN53" s="137" t="str">
        <f t="shared" ca="1" si="9"/>
        <v xml:space="preserve"> </v>
      </c>
      <c r="AO53" s="107">
        <f t="shared" ca="1" si="10"/>
        <v>0</v>
      </c>
      <c r="AP53" s="143">
        <f t="shared" ca="1" si="2"/>
        <v>0</v>
      </c>
      <c r="AQ53" s="143">
        <f t="shared" ca="1" si="11"/>
        <v>0</v>
      </c>
      <c r="AR53" s="49" t="str">
        <f t="shared" ca="1" si="3"/>
        <v xml:space="preserve"> </v>
      </c>
      <c r="AS53" s="107">
        <f t="shared" ca="1" si="4"/>
        <v>0</v>
      </c>
      <c r="AT53" s="107">
        <f t="shared" ca="1" si="5"/>
        <v>0</v>
      </c>
      <c r="AU53" s="107"/>
      <c r="AV53" s="107">
        <f ca="1">MAX(SUM($AQ$6:AQ53)-SUM($AT$6:AT53),0)</f>
        <v>900000</v>
      </c>
      <c r="AW53" s="107">
        <f t="shared" ca="1" si="24"/>
        <v>2628.8724973656481</v>
      </c>
      <c r="AX53" s="107">
        <v>0</v>
      </c>
      <c r="AY53" s="138" t="str">
        <f t="shared" ca="1" si="6"/>
        <v xml:space="preserve"> </v>
      </c>
      <c r="AZ53" s="107">
        <f t="shared" ca="1" si="7"/>
        <v>0</v>
      </c>
      <c r="BA53" s="107">
        <f ca="1">IF(AZ53=1,(SUM($AW$6:AW53,$AX$6:AX53)-SUM($BA$6:BA52)),0)</f>
        <v>0</v>
      </c>
      <c r="BB53" s="107"/>
      <c r="BC53" s="107">
        <f ca="1">AV53+SUM($AW$6:AW53)+SUM($AX$6:AX53)-SUM($BA$6:BA53)</f>
        <v>902628.87249736628</v>
      </c>
      <c r="BD53" s="107">
        <f t="shared" ca="1" si="12"/>
        <v>30</v>
      </c>
      <c r="BE53" s="51">
        <f ca="1">'PiT PD Structure'!J93</f>
        <v>3.7320127426743177E-5</v>
      </c>
      <c r="BF53" s="139">
        <f t="shared" ca="1" si="25"/>
        <v>0.45</v>
      </c>
      <c r="BG53" s="51">
        <f t="shared" ca="1" si="13"/>
        <v>0.99799512324600315</v>
      </c>
      <c r="BH53" s="50">
        <f t="shared" ca="1" si="8"/>
        <v>15.128409515466487</v>
      </c>
      <c r="BI53" s="50">
        <f t="shared" ca="1" si="31"/>
        <v>390.22350325472541</v>
      </c>
      <c r="BJ53" s="140">
        <v>0</v>
      </c>
      <c r="BK53" s="140">
        <v>0</v>
      </c>
      <c r="BM53" s="78"/>
      <c r="BR53" s="75">
        <f t="shared" ca="1" si="27"/>
        <v>44895</v>
      </c>
      <c r="BS53" s="74">
        <f t="shared" ca="1" si="14"/>
        <v>11</v>
      </c>
      <c r="BT53" s="74">
        <f t="shared" ca="1" si="15"/>
        <v>0</v>
      </c>
      <c r="BU53" s="73" t="str">
        <f t="shared" ca="1" si="16"/>
        <v xml:space="preserve"> </v>
      </c>
      <c r="BW53" s="75">
        <f t="shared" ca="1" si="28"/>
        <v>44895</v>
      </c>
      <c r="BX53" s="74">
        <f t="shared" ca="1" si="29"/>
        <v>11</v>
      </c>
      <c r="BY53" s="74">
        <f t="shared" ca="1" si="17"/>
        <v>0</v>
      </c>
      <c r="BZ53" s="73" t="str">
        <f t="shared" ca="1" si="18"/>
        <v xml:space="preserve"> </v>
      </c>
      <c r="CB53" s="75">
        <f t="shared" ca="1" si="30"/>
        <v>44895</v>
      </c>
      <c r="CC53" s="74">
        <f t="shared" ca="1" si="19"/>
        <v>11</v>
      </c>
      <c r="CD53" s="74">
        <f t="shared" ca="1" si="20"/>
        <v>0</v>
      </c>
      <c r="CE53" s="73" t="str">
        <f t="shared" ca="1" si="21"/>
        <v xml:space="preserve"> </v>
      </c>
    </row>
    <row r="54" spans="1:83" x14ac:dyDescent="0.2">
      <c r="A54" s="38">
        <f t="shared" si="32"/>
        <v>51</v>
      </c>
      <c r="B54" s="108" t="s">
        <v>395</v>
      </c>
      <c r="C54" s="38" t="s">
        <v>806</v>
      </c>
      <c r="D54" s="137">
        <v>43465</v>
      </c>
      <c r="E54" s="137">
        <v>40481</v>
      </c>
      <c r="F54" s="137">
        <v>39568</v>
      </c>
      <c r="G54" s="122">
        <v>12</v>
      </c>
      <c r="H54" s="137">
        <v>44681</v>
      </c>
      <c r="I54" s="50">
        <v>153973019.66</v>
      </c>
      <c r="J54" s="50">
        <v>153973019.66</v>
      </c>
      <c r="K54" s="50">
        <v>0</v>
      </c>
      <c r="L54" s="38">
        <v>1</v>
      </c>
      <c r="M54" s="38">
        <v>2</v>
      </c>
      <c r="N54" s="38">
        <v>2</v>
      </c>
      <c r="O54" s="50">
        <v>42643019.659999996</v>
      </c>
      <c r="P54" s="218">
        <v>3.5000000000000003E-2</v>
      </c>
      <c r="Q54" s="50">
        <v>247566.61</v>
      </c>
      <c r="R54" s="50">
        <v>2789662.3491268633</v>
      </c>
      <c r="S54" s="38" t="s">
        <v>54</v>
      </c>
      <c r="T54" s="51">
        <v>3.1662499999999996E-2</v>
      </c>
      <c r="U54" s="65">
        <v>0.45</v>
      </c>
      <c r="V54" s="105" t="s">
        <v>480</v>
      </c>
      <c r="W54" s="66">
        <v>317989.08799390035</v>
      </c>
      <c r="X54" s="66">
        <v>89903.534937160002</v>
      </c>
      <c r="Y54" s="38" t="s">
        <v>239</v>
      </c>
      <c r="Z54" s="66">
        <f t="shared" si="0"/>
        <v>89903.534937160002</v>
      </c>
      <c r="AA54" s="67"/>
      <c r="AC54" s="41">
        <f>VLOOKUP(A54,'Input Sheet'!$A$2:$B$232,2,0)</f>
        <v>1051</v>
      </c>
      <c r="AD54" s="259">
        <f t="shared" si="1"/>
        <v>89903.534937160002</v>
      </c>
      <c r="AI54" s="68"/>
      <c r="AL54" s="107">
        <f t="shared" ca="1" si="22"/>
        <v>49</v>
      </c>
      <c r="AM54" s="49">
        <f t="shared" ca="1" si="23"/>
        <v>44926</v>
      </c>
      <c r="AN54" s="137" t="str">
        <f t="shared" ca="1" si="9"/>
        <v xml:space="preserve"> </v>
      </c>
      <c r="AO54" s="107">
        <f t="shared" ca="1" si="10"/>
        <v>0</v>
      </c>
      <c r="AP54" s="143">
        <f t="shared" ca="1" si="2"/>
        <v>0</v>
      </c>
      <c r="AQ54" s="143">
        <f t="shared" ca="1" si="11"/>
        <v>0</v>
      </c>
      <c r="AR54" s="49" t="str">
        <f t="shared" ca="1" si="3"/>
        <v xml:space="preserve"> </v>
      </c>
      <c r="AS54" s="107">
        <f t="shared" ca="1" si="4"/>
        <v>0</v>
      </c>
      <c r="AT54" s="107">
        <f t="shared" ca="1" si="5"/>
        <v>0</v>
      </c>
      <c r="AU54" s="107"/>
      <c r="AV54" s="107">
        <f ca="1">MAX(SUM($AQ$6:AQ54)-SUM($AT$6:AT54),0)</f>
        <v>900000</v>
      </c>
      <c r="AW54" s="107">
        <f t="shared" ca="1" si="24"/>
        <v>2625.0000000000005</v>
      </c>
      <c r="AX54" s="107">
        <v>0</v>
      </c>
      <c r="AY54" s="138" t="str">
        <f t="shared" ca="1" si="6"/>
        <v xml:space="preserve"> </v>
      </c>
      <c r="AZ54" s="107">
        <f t="shared" ca="1" si="7"/>
        <v>0</v>
      </c>
      <c r="BA54" s="107">
        <f ca="1">IF(AZ54=1,(SUM($AW$6:AW54,$AX$6:AX54)-SUM($BA$6:BA53)),0)</f>
        <v>0</v>
      </c>
      <c r="BB54" s="107"/>
      <c r="BC54" s="107">
        <f ca="1">AV54+SUM($AW$6:AW54)+SUM($AX$6:AX54)-SUM($BA$6:BA54)</f>
        <v>905253.87249736628</v>
      </c>
      <c r="BD54" s="107">
        <f t="shared" ca="1" si="12"/>
        <v>31</v>
      </c>
      <c r="BE54" s="51">
        <f ca="1">'PiT PD Structure'!J94</f>
        <v>5.6626199913345499E-4</v>
      </c>
      <c r="BF54" s="139">
        <f t="shared" ca="1" si="25"/>
        <v>0.45</v>
      </c>
      <c r="BG54" s="51">
        <f t="shared" ca="1" si="13"/>
        <v>0.99792836329088741</v>
      </c>
      <c r="BH54" s="50">
        <f t="shared" ca="1" si="8"/>
        <v>230.19701583281645</v>
      </c>
      <c r="BI54" s="50">
        <f t="shared" ca="1" si="31"/>
        <v>375.09509373925891</v>
      </c>
      <c r="BJ54" s="140">
        <v>0</v>
      </c>
      <c r="BK54" s="140">
        <v>0</v>
      </c>
      <c r="BM54" s="78"/>
      <c r="BR54" s="75">
        <f t="shared" ca="1" si="27"/>
        <v>44926</v>
      </c>
      <c r="BS54" s="74">
        <f t="shared" ca="1" si="14"/>
        <v>12</v>
      </c>
      <c r="BT54" s="74">
        <f t="shared" ca="1" si="15"/>
        <v>0</v>
      </c>
      <c r="BU54" s="73" t="str">
        <f t="shared" ca="1" si="16"/>
        <v xml:space="preserve"> </v>
      </c>
      <c r="BW54" s="75">
        <f t="shared" ca="1" si="28"/>
        <v>44926</v>
      </c>
      <c r="BX54" s="74">
        <f t="shared" ca="1" si="29"/>
        <v>12</v>
      </c>
      <c r="BY54" s="74">
        <f t="shared" ca="1" si="17"/>
        <v>0</v>
      </c>
      <c r="BZ54" s="73" t="str">
        <f t="shared" ca="1" si="18"/>
        <v xml:space="preserve"> </v>
      </c>
      <c r="CB54" s="75">
        <f t="shared" ca="1" si="30"/>
        <v>44926</v>
      </c>
      <c r="CC54" s="74">
        <f t="shared" ca="1" si="19"/>
        <v>12</v>
      </c>
      <c r="CD54" s="74">
        <f t="shared" ca="1" si="20"/>
        <v>0</v>
      </c>
      <c r="CE54" s="73" t="str">
        <f t="shared" ca="1" si="21"/>
        <v xml:space="preserve"> </v>
      </c>
    </row>
    <row r="55" spans="1:83" x14ac:dyDescent="0.2">
      <c r="A55" s="38">
        <f t="shared" si="32"/>
        <v>52</v>
      </c>
      <c r="B55" s="108" t="s">
        <v>396</v>
      </c>
      <c r="C55" s="38" t="s">
        <v>806</v>
      </c>
      <c r="D55" s="137">
        <v>43465</v>
      </c>
      <c r="E55" s="137">
        <v>41942</v>
      </c>
      <c r="F55" s="137">
        <v>39568</v>
      </c>
      <c r="G55" s="122">
        <v>30</v>
      </c>
      <c r="H55" s="137">
        <v>48334</v>
      </c>
      <c r="I55" s="50">
        <v>25711000</v>
      </c>
      <c r="J55" s="50">
        <v>22955392.350000001</v>
      </c>
      <c r="K55" s="50">
        <v>2755607.6499999985</v>
      </c>
      <c r="L55" s="38">
        <v>1</v>
      </c>
      <c r="M55" s="38">
        <v>2</v>
      </c>
      <c r="N55" s="38">
        <v>2</v>
      </c>
      <c r="O55" s="50">
        <v>22955392.350000001</v>
      </c>
      <c r="P55" s="218">
        <v>3.5000000000000003E-2</v>
      </c>
      <c r="Q55" s="50">
        <v>5757977.79</v>
      </c>
      <c r="R55" s="50">
        <v>6195318.7665773928</v>
      </c>
      <c r="S55" s="38" t="s">
        <v>62</v>
      </c>
      <c r="T55" s="51">
        <v>3.6666666666666667E-2</v>
      </c>
      <c r="U55" s="65">
        <v>0.45</v>
      </c>
      <c r="V55" s="105" t="s">
        <v>512</v>
      </c>
      <c r="W55" s="66">
        <v>3977368.1684033694</v>
      </c>
      <c r="X55" s="66">
        <v>387793.064184063</v>
      </c>
      <c r="Y55" s="38" t="s">
        <v>238</v>
      </c>
      <c r="Z55" s="66">
        <f t="shared" si="0"/>
        <v>22955392.350000001</v>
      </c>
      <c r="AA55" s="67"/>
      <c r="AC55" s="41">
        <f>VLOOKUP(A55,'Input Sheet'!$A$2:$B$232,2,0)</f>
        <v>1052</v>
      </c>
      <c r="AD55" s="259">
        <f t="shared" si="1"/>
        <v>22955392.350000001</v>
      </c>
      <c r="AI55" s="68"/>
      <c r="AL55" s="107">
        <f t="shared" ca="1" si="22"/>
        <v>50</v>
      </c>
      <c r="AM55" s="49">
        <f t="shared" ca="1" si="23"/>
        <v>44957</v>
      </c>
      <c r="AN55" s="137" t="str">
        <f t="shared" ca="1" si="9"/>
        <v xml:space="preserve"> </v>
      </c>
      <c r="AO55" s="107">
        <f t="shared" ca="1" si="10"/>
        <v>0</v>
      </c>
      <c r="AP55" s="143">
        <f t="shared" ca="1" si="2"/>
        <v>0</v>
      </c>
      <c r="AQ55" s="143">
        <f t="shared" ca="1" si="11"/>
        <v>0</v>
      </c>
      <c r="AR55" s="49" t="str">
        <f t="shared" ca="1" si="3"/>
        <v xml:space="preserve"> </v>
      </c>
      <c r="AS55" s="107">
        <f t="shared" ca="1" si="4"/>
        <v>0</v>
      </c>
      <c r="AT55" s="107">
        <f t="shared" ca="1" si="5"/>
        <v>0</v>
      </c>
      <c r="AU55" s="107"/>
      <c r="AV55" s="107">
        <f ca="1">MAX(SUM($AQ$6:AQ55)-SUM($AT$6:AT55),0)</f>
        <v>900000</v>
      </c>
      <c r="AW55" s="107">
        <f t="shared" ca="1" si="24"/>
        <v>2620.4234122042344</v>
      </c>
      <c r="AX55" s="107">
        <v>0</v>
      </c>
      <c r="AY55" s="138" t="str">
        <f t="shared" ca="1" si="6"/>
        <v xml:space="preserve"> </v>
      </c>
      <c r="AZ55" s="107">
        <f t="shared" ca="1" si="7"/>
        <v>0</v>
      </c>
      <c r="BA55" s="107">
        <f ca="1">IF(AZ55=1,(SUM($AW$6:AW55,$AX$6:AX55)-SUM($BA$6:BA54)),0)</f>
        <v>0</v>
      </c>
      <c r="BB55" s="107"/>
      <c r="BC55" s="107">
        <f ca="1">AV55+SUM($AW$6:AW55)+SUM($AX$6:AX55)-SUM($BA$6:BA55)</f>
        <v>907874.29590957006</v>
      </c>
      <c r="BD55" s="107">
        <f t="shared" ca="1" si="12"/>
        <v>31</v>
      </c>
      <c r="BE55" s="51">
        <f ca="1">'PiT PD Structure'!J95</f>
        <v>3.9492704754673369E-5</v>
      </c>
      <c r="BF55" s="139">
        <f t="shared" ca="1" si="25"/>
        <v>0.45</v>
      </c>
      <c r="BG55" s="51">
        <f t="shared" ca="1" si="13"/>
        <v>0.99792836329088741</v>
      </c>
      <c r="BH55" s="50">
        <f t="shared" ca="1" si="8"/>
        <v>16.101060393428789</v>
      </c>
      <c r="BI55" s="50">
        <f t="shared" ca="1" si="31"/>
        <v>144.89807790644247</v>
      </c>
      <c r="BJ55" s="140">
        <v>0</v>
      </c>
      <c r="BK55" s="140">
        <v>0</v>
      </c>
      <c r="BM55" s="78"/>
      <c r="BR55" s="75">
        <f t="shared" ca="1" si="27"/>
        <v>44957</v>
      </c>
      <c r="BS55" s="74">
        <f t="shared" ca="1" si="14"/>
        <v>1</v>
      </c>
      <c r="BT55" s="74">
        <f t="shared" ca="1" si="15"/>
        <v>0</v>
      </c>
      <c r="BU55" s="73" t="str">
        <f t="shared" ca="1" si="16"/>
        <v xml:space="preserve"> </v>
      </c>
      <c r="BW55" s="75">
        <f t="shared" ca="1" si="28"/>
        <v>44957</v>
      </c>
      <c r="BX55" s="74">
        <f t="shared" ca="1" si="29"/>
        <v>1</v>
      </c>
      <c r="BY55" s="74">
        <f t="shared" ca="1" si="17"/>
        <v>0</v>
      </c>
      <c r="BZ55" s="73" t="str">
        <f t="shared" ca="1" si="18"/>
        <v xml:space="preserve"> </v>
      </c>
      <c r="CB55" s="75">
        <f t="shared" ca="1" si="30"/>
        <v>44957</v>
      </c>
      <c r="CC55" s="74">
        <f t="shared" ca="1" si="19"/>
        <v>1</v>
      </c>
      <c r="CD55" s="74">
        <f t="shared" ca="1" si="20"/>
        <v>0</v>
      </c>
      <c r="CE55" s="73" t="str">
        <f t="shared" ca="1" si="21"/>
        <v xml:space="preserve"> </v>
      </c>
    </row>
    <row r="56" spans="1:83" x14ac:dyDescent="0.2">
      <c r="A56" s="38">
        <f t="shared" si="32"/>
        <v>53</v>
      </c>
      <c r="B56" s="108" t="s">
        <v>399</v>
      </c>
      <c r="C56" s="38" t="s">
        <v>806</v>
      </c>
      <c r="D56" s="137">
        <v>43465</v>
      </c>
      <c r="E56" s="137">
        <v>41394</v>
      </c>
      <c r="F56" s="137">
        <v>39751</v>
      </c>
      <c r="G56" s="122">
        <v>15</v>
      </c>
      <c r="H56" s="137">
        <v>46690</v>
      </c>
      <c r="I56" s="50">
        <v>183650000</v>
      </c>
      <c r="J56" s="50">
        <v>116287752.92</v>
      </c>
      <c r="K56" s="50">
        <v>67362247.079999998</v>
      </c>
      <c r="L56" s="38">
        <v>1</v>
      </c>
      <c r="M56" s="38">
        <v>2</v>
      </c>
      <c r="N56" s="38">
        <v>2</v>
      </c>
      <c r="O56" s="50">
        <v>116287752.92</v>
      </c>
      <c r="P56" s="218">
        <v>0.02</v>
      </c>
      <c r="Q56" s="50">
        <v>15505033.59</v>
      </c>
      <c r="R56" s="50">
        <v>17037191.710267369</v>
      </c>
      <c r="S56" s="38" t="s">
        <v>156</v>
      </c>
      <c r="T56" s="51">
        <v>2.9249999999999998E-2</v>
      </c>
      <c r="U56" s="65">
        <v>0.45</v>
      </c>
      <c r="V56" s="105" t="s">
        <v>484</v>
      </c>
      <c r="W56" s="66">
        <v>54284040.681797877</v>
      </c>
      <c r="X56" s="66">
        <v>15740507.48362769</v>
      </c>
      <c r="Y56" s="38" t="s">
        <v>238</v>
      </c>
      <c r="Z56" s="66">
        <f t="shared" si="0"/>
        <v>116287752.92</v>
      </c>
      <c r="AA56" s="67"/>
      <c r="AC56" s="41">
        <f>VLOOKUP(A56,'Input Sheet'!$A$2:$B$232,2,0)</f>
        <v>1053</v>
      </c>
      <c r="AD56" s="259">
        <f t="shared" si="1"/>
        <v>116287752.92</v>
      </c>
      <c r="AI56" s="68"/>
      <c r="AL56" s="107">
        <f t="shared" ca="1" si="22"/>
        <v>51</v>
      </c>
      <c r="AM56" s="49">
        <f t="shared" ca="1" si="23"/>
        <v>44985</v>
      </c>
      <c r="AN56" s="137" t="str">
        <f t="shared" ca="1" si="9"/>
        <v xml:space="preserve"> </v>
      </c>
      <c r="AO56" s="107">
        <f t="shared" ca="1" si="10"/>
        <v>0</v>
      </c>
      <c r="AP56" s="143">
        <f t="shared" ca="1" si="2"/>
        <v>0</v>
      </c>
      <c r="AQ56" s="143">
        <f t="shared" ca="1" si="11"/>
        <v>0</v>
      </c>
      <c r="AR56" s="49" t="str">
        <f t="shared" ca="1" si="3"/>
        <v xml:space="preserve"> </v>
      </c>
      <c r="AS56" s="107">
        <f t="shared" ca="1" si="4"/>
        <v>0</v>
      </c>
      <c r="AT56" s="107">
        <f t="shared" ca="1" si="5"/>
        <v>0</v>
      </c>
      <c r="AU56" s="107"/>
      <c r="AV56" s="107">
        <f ca="1">MAX(SUM($AQ$6:AQ56)-SUM($AT$6:AT56),0)</f>
        <v>900000</v>
      </c>
      <c r="AW56" s="107">
        <f t="shared" ca="1" si="24"/>
        <v>2640.8219178082195</v>
      </c>
      <c r="AX56" s="107">
        <v>0</v>
      </c>
      <c r="AY56" s="138" t="str">
        <f t="shared" ca="1" si="6"/>
        <v xml:space="preserve"> </v>
      </c>
      <c r="AZ56" s="107">
        <f t="shared" ca="1" si="7"/>
        <v>0</v>
      </c>
      <c r="BA56" s="107">
        <f ca="1">IF(AZ56=1,(SUM($AW$6:AW56,$AX$6:AX56)-SUM($BA$6:BA55)),0)</f>
        <v>0</v>
      </c>
      <c r="BB56" s="107"/>
      <c r="BC56" s="107">
        <f ca="1">AV56+SUM($AW$6:AW56)+SUM($AX$6:AX56)-SUM($BA$6:BA56)</f>
        <v>910515.11782737775</v>
      </c>
      <c r="BD56" s="107">
        <f t="shared" ca="1" si="12"/>
        <v>28</v>
      </c>
      <c r="BE56" s="51">
        <f ca="1">'PiT PD Structure'!J96</f>
        <v>3.949114012724575E-5</v>
      </c>
      <c r="BF56" s="139">
        <f t="shared" ca="1" si="25"/>
        <v>0.45</v>
      </c>
      <c r="BG56" s="51">
        <f t="shared" ca="1" si="13"/>
        <v>0.99812865655496519</v>
      </c>
      <c r="BH56" s="50">
        <f t="shared" ca="1" si="8"/>
        <v>16.150496258550973</v>
      </c>
      <c r="BI56" s="50">
        <f t="shared" ca="1" si="31"/>
        <v>128.79701751301369</v>
      </c>
      <c r="BJ56" s="140">
        <v>0</v>
      </c>
      <c r="BK56" s="140">
        <v>0</v>
      </c>
      <c r="BM56" s="78"/>
      <c r="BR56" s="75">
        <f t="shared" ca="1" si="27"/>
        <v>44985</v>
      </c>
      <c r="BS56" s="74">
        <f t="shared" ca="1" si="14"/>
        <v>2</v>
      </c>
      <c r="BT56" s="74">
        <f t="shared" ca="1" si="15"/>
        <v>0</v>
      </c>
      <c r="BU56" s="73" t="str">
        <f t="shared" ca="1" si="16"/>
        <v xml:space="preserve"> </v>
      </c>
      <c r="BW56" s="75">
        <f t="shared" ca="1" si="28"/>
        <v>44985</v>
      </c>
      <c r="BX56" s="74">
        <f t="shared" ca="1" si="29"/>
        <v>2</v>
      </c>
      <c r="BY56" s="74">
        <f t="shared" ca="1" si="17"/>
        <v>0</v>
      </c>
      <c r="BZ56" s="73" t="str">
        <f t="shared" ca="1" si="18"/>
        <v xml:space="preserve"> </v>
      </c>
      <c r="CB56" s="75">
        <f t="shared" ca="1" si="30"/>
        <v>44985</v>
      </c>
      <c r="CC56" s="74">
        <f t="shared" ca="1" si="19"/>
        <v>2</v>
      </c>
      <c r="CD56" s="74">
        <f t="shared" ca="1" si="20"/>
        <v>0</v>
      </c>
      <c r="CE56" s="73" t="str">
        <f t="shared" ca="1" si="21"/>
        <v xml:space="preserve"> </v>
      </c>
    </row>
    <row r="57" spans="1:83" x14ac:dyDescent="0.2">
      <c r="A57" s="38">
        <f t="shared" si="32"/>
        <v>54</v>
      </c>
      <c r="B57" s="108" t="s">
        <v>400</v>
      </c>
      <c r="C57" s="38" t="s">
        <v>806</v>
      </c>
      <c r="D57" s="137">
        <v>43465</v>
      </c>
      <c r="E57" s="137">
        <v>41394</v>
      </c>
      <c r="F57" s="137">
        <v>39751</v>
      </c>
      <c r="G57" s="122">
        <v>15</v>
      </c>
      <c r="H57" s="137">
        <v>46690</v>
      </c>
      <c r="I57" s="50">
        <v>91825000</v>
      </c>
      <c r="J57" s="50">
        <v>67276648.659999996</v>
      </c>
      <c r="K57" s="50">
        <v>24548351.340000004</v>
      </c>
      <c r="L57" s="38">
        <v>1</v>
      </c>
      <c r="M57" s="38">
        <v>2</v>
      </c>
      <c r="N57" s="38">
        <v>2</v>
      </c>
      <c r="O57" s="50">
        <v>67276648.659999996</v>
      </c>
      <c r="P57" s="218">
        <v>0.02</v>
      </c>
      <c r="Q57" s="50">
        <v>8937297.3499999996</v>
      </c>
      <c r="R57" s="50">
        <v>8518595.8551336844</v>
      </c>
      <c r="S57" s="38" t="s">
        <v>156</v>
      </c>
      <c r="T57" s="51">
        <v>2.9249999999999998E-2</v>
      </c>
      <c r="U57" s="65">
        <v>0.45</v>
      </c>
      <c r="V57" s="105" t="s">
        <v>484</v>
      </c>
      <c r="W57" s="66">
        <v>27178736.706614904</v>
      </c>
      <c r="X57" s="66">
        <v>7906970.1075298125</v>
      </c>
      <c r="Y57" s="38" t="s">
        <v>238</v>
      </c>
      <c r="Z57" s="66">
        <f t="shared" si="0"/>
        <v>67276648.659999996</v>
      </c>
      <c r="AA57" s="67"/>
      <c r="AC57" s="41">
        <f>VLOOKUP(A57,'Input Sheet'!$A$2:$B$232,2,0)</f>
        <v>1054</v>
      </c>
      <c r="AD57" s="259">
        <f t="shared" si="1"/>
        <v>67276648.659999996</v>
      </c>
      <c r="AI57" s="68"/>
      <c r="AL57" s="107">
        <f t="shared" ca="1" si="22"/>
        <v>52</v>
      </c>
      <c r="AM57" s="49">
        <f t="shared" ca="1" si="23"/>
        <v>45016</v>
      </c>
      <c r="AN57" s="137" t="str">
        <f t="shared" ca="1" si="9"/>
        <v xml:space="preserve"> </v>
      </c>
      <c r="AO57" s="107">
        <f t="shared" ca="1" si="10"/>
        <v>0</v>
      </c>
      <c r="AP57" s="143">
        <f t="shared" ca="1" si="2"/>
        <v>0</v>
      </c>
      <c r="AQ57" s="143">
        <f t="shared" ca="1" si="11"/>
        <v>0</v>
      </c>
      <c r="AR57" s="49" t="str">
        <f t="shared" ca="1" si="3"/>
        <v xml:space="preserve"> </v>
      </c>
      <c r="AS57" s="107">
        <f t="shared" ca="1" si="4"/>
        <v>0</v>
      </c>
      <c r="AT57" s="107">
        <f t="shared" ca="1" si="5"/>
        <v>0</v>
      </c>
      <c r="AU57" s="107"/>
      <c r="AV57" s="107">
        <f ca="1">MAX(SUM($AQ$6:AQ57)-SUM($AT$6:AT57),0)</f>
        <v>900000</v>
      </c>
      <c r="AW57" s="107">
        <f t="shared" ca="1" si="24"/>
        <v>2636.9863013698632</v>
      </c>
      <c r="AX57" s="107">
        <v>0</v>
      </c>
      <c r="AY57" s="138" t="str">
        <f t="shared" ca="1" si="6"/>
        <v xml:space="preserve"> </v>
      </c>
      <c r="AZ57" s="107">
        <f t="shared" ca="1" si="7"/>
        <v>0</v>
      </c>
      <c r="BA57" s="107">
        <f ca="1">IF(AZ57=1,(SUM($AW$6:AW57,$AX$6:AX57)-SUM($BA$6:BA56)),0)</f>
        <v>0</v>
      </c>
      <c r="BB57" s="107"/>
      <c r="BC57" s="107">
        <f ca="1">AV57+SUM($AW$6:AW57)+SUM($AX$6:AX57)-SUM($BA$6:BA57)</f>
        <v>913152.10412874771</v>
      </c>
      <c r="BD57" s="107">
        <f t="shared" ca="1" si="12"/>
        <v>31</v>
      </c>
      <c r="BE57" s="51">
        <f ca="1">'PiT PD Structure'!J97</f>
        <v>3.9489575561768575E-5</v>
      </c>
      <c r="BF57" s="139">
        <f t="shared" ca="1" si="25"/>
        <v>0.45</v>
      </c>
      <c r="BG57" s="51">
        <f t="shared" ca="1" si="13"/>
        <v>0.99792836329088741</v>
      </c>
      <c r="BH57" s="50">
        <f t="shared" ca="1" si="8"/>
        <v>16.193378618282559</v>
      </c>
      <c r="BI57" s="50">
        <f t="shared" ca="1" si="31"/>
        <v>112.64652125446271</v>
      </c>
      <c r="BJ57" s="140">
        <v>0</v>
      </c>
      <c r="BK57" s="140">
        <v>0</v>
      </c>
      <c r="BM57" s="78"/>
      <c r="BR57" s="75">
        <f t="shared" ca="1" si="27"/>
        <v>45016</v>
      </c>
      <c r="BS57" s="74">
        <f t="shared" ca="1" si="14"/>
        <v>3</v>
      </c>
      <c r="BT57" s="74">
        <f t="shared" ca="1" si="15"/>
        <v>0</v>
      </c>
      <c r="BU57" s="73" t="str">
        <f t="shared" ca="1" si="16"/>
        <v xml:space="preserve"> </v>
      </c>
      <c r="BW57" s="75">
        <f t="shared" ca="1" si="28"/>
        <v>45016</v>
      </c>
      <c r="BX57" s="74">
        <f t="shared" ca="1" si="29"/>
        <v>3</v>
      </c>
      <c r="BY57" s="74">
        <f t="shared" ca="1" si="17"/>
        <v>0</v>
      </c>
      <c r="BZ57" s="73" t="str">
        <f t="shared" ca="1" si="18"/>
        <v xml:space="preserve"> </v>
      </c>
      <c r="CB57" s="75">
        <f t="shared" ca="1" si="30"/>
        <v>45016</v>
      </c>
      <c r="CC57" s="74">
        <f t="shared" ca="1" si="19"/>
        <v>3</v>
      </c>
      <c r="CD57" s="74">
        <f t="shared" ca="1" si="20"/>
        <v>0</v>
      </c>
      <c r="CE57" s="73" t="str">
        <f t="shared" ca="1" si="21"/>
        <v xml:space="preserve"> </v>
      </c>
    </row>
    <row r="58" spans="1:83" x14ac:dyDescent="0.2">
      <c r="A58" s="38">
        <f t="shared" si="32"/>
        <v>55</v>
      </c>
      <c r="B58" s="108" t="s">
        <v>402</v>
      </c>
      <c r="C58" s="38" t="s">
        <v>806</v>
      </c>
      <c r="D58" s="137">
        <v>43465</v>
      </c>
      <c r="E58" s="137">
        <v>41759</v>
      </c>
      <c r="F58" s="137">
        <v>39933</v>
      </c>
      <c r="G58" s="122">
        <v>15</v>
      </c>
      <c r="H58" s="137">
        <v>47056</v>
      </c>
      <c r="I58" s="50">
        <v>73460000</v>
      </c>
      <c r="J58" s="50">
        <v>36218705.359999999</v>
      </c>
      <c r="K58" s="50">
        <v>37241294.640000001</v>
      </c>
      <c r="L58" s="38">
        <v>1</v>
      </c>
      <c r="M58" s="38">
        <v>2</v>
      </c>
      <c r="N58" s="38">
        <v>2</v>
      </c>
      <c r="O58" s="50">
        <v>36218705.359999999</v>
      </c>
      <c r="P58" s="218">
        <v>0.02</v>
      </c>
      <c r="Q58" s="50">
        <v>3811883.11</v>
      </c>
      <c r="R58" s="50">
        <v>7552647.0978778899</v>
      </c>
      <c r="S58" s="38" t="s">
        <v>62</v>
      </c>
      <c r="T58" s="51">
        <v>2.5000000000000001E-2</v>
      </c>
      <c r="U58" s="65">
        <v>0.45</v>
      </c>
      <c r="V58" s="105" t="s">
        <v>514</v>
      </c>
      <c r="W58" s="66">
        <v>9670249.9565765299</v>
      </c>
      <c r="X58" s="66">
        <v>1151371.4184457439</v>
      </c>
      <c r="Y58" s="38" t="s">
        <v>237</v>
      </c>
      <c r="Z58" s="66">
        <f t="shared" si="0"/>
        <v>9670249.9565765299</v>
      </c>
      <c r="AA58" s="67"/>
      <c r="AC58" s="41">
        <f>VLOOKUP(A58,'Input Sheet'!$A$2:$B$232,2,0)</f>
        <v>1055</v>
      </c>
      <c r="AD58" s="259">
        <f t="shared" si="1"/>
        <v>9670249.9565765299</v>
      </c>
      <c r="AI58" s="68"/>
      <c r="AL58" s="107">
        <f t="shared" ca="1" si="22"/>
        <v>53</v>
      </c>
      <c r="AM58" s="49">
        <f t="shared" ca="1" si="23"/>
        <v>45046</v>
      </c>
      <c r="AN58" s="137" t="str">
        <f t="shared" ca="1" si="9"/>
        <v xml:space="preserve"> </v>
      </c>
      <c r="AO58" s="107">
        <f t="shared" ca="1" si="10"/>
        <v>0</v>
      </c>
      <c r="AP58" s="143">
        <f t="shared" ca="1" si="2"/>
        <v>0</v>
      </c>
      <c r="AQ58" s="143">
        <f t="shared" ca="1" si="11"/>
        <v>0</v>
      </c>
      <c r="AR58" s="49" t="str">
        <f t="shared" ca="1" si="3"/>
        <v xml:space="preserve"> </v>
      </c>
      <c r="AS58" s="107">
        <f t="shared" ca="1" si="4"/>
        <v>0</v>
      </c>
      <c r="AT58" s="107">
        <f t="shared" ca="1" si="5"/>
        <v>0</v>
      </c>
      <c r="AU58" s="107"/>
      <c r="AV58" s="107">
        <f ca="1">MAX(SUM($AQ$6:AQ58)-SUM($AT$6:AT58),0)</f>
        <v>900000</v>
      </c>
      <c r="AW58" s="107">
        <f t="shared" ca="1" si="24"/>
        <v>2642.9794520547948</v>
      </c>
      <c r="AX58" s="107">
        <v>0</v>
      </c>
      <c r="AY58" s="138">
        <f t="shared" ca="1" si="6"/>
        <v>45046</v>
      </c>
      <c r="AZ58" s="107">
        <f t="shared" ca="1" si="7"/>
        <v>1</v>
      </c>
      <c r="BA58" s="107">
        <f ca="1">IF(AZ58=1,(SUM($AW$6:AW58,$AX$6:AX58)-SUM($BA$6:BA57)),0)</f>
        <v>15795.08358080266</v>
      </c>
      <c r="BB58" s="107"/>
      <c r="BC58" s="107">
        <f ca="1">AV58+SUM($AW$6:AW58)+SUM($AX$6:AX58)-SUM($BA$6:BA58)</f>
        <v>900000</v>
      </c>
      <c r="BD58" s="107">
        <f t="shared" ca="1" si="12"/>
        <v>30</v>
      </c>
      <c r="BE58" s="51">
        <f ca="1">'PiT PD Structure'!J98</f>
        <v>3.9488011058574912E-5</v>
      </c>
      <c r="BF58" s="139">
        <f t="shared" ca="1" si="25"/>
        <v>0.45</v>
      </c>
      <c r="BG58" s="51">
        <f t="shared" ca="1" si="13"/>
        <v>0.99799512324600315</v>
      </c>
      <c r="BH58" s="50">
        <f t="shared" ca="1" si="8"/>
        <v>15.960581197572512</v>
      </c>
      <c r="BI58" s="50">
        <f t="shared" ca="1" si="31"/>
        <v>96.453142636180161</v>
      </c>
      <c r="BJ58" s="140">
        <v>0</v>
      </c>
      <c r="BK58" s="140">
        <v>0</v>
      </c>
      <c r="BM58" s="78"/>
      <c r="BR58" s="75">
        <f t="shared" ca="1" si="27"/>
        <v>45046</v>
      </c>
      <c r="BS58" s="74">
        <f t="shared" ca="1" si="14"/>
        <v>4</v>
      </c>
      <c r="BT58" s="74">
        <f t="shared" ca="1" si="15"/>
        <v>0</v>
      </c>
      <c r="BU58" s="73" t="str">
        <f t="shared" ca="1" si="16"/>
        <v xml:space="preserve"> </v>
      </c>
      <c r="BW58" s="75">
        <f t="shared" ca="1" si="28"/>
        <v>45046</v>
      </c>
      <c r="BX58" s="74">
        <f t="shared" ca="1" si="29"/>
        <v>4</v>
      </c>
      <c r="BY58" s="74">
        <f t="shared" ca="1" si="17"/>
        <v>1</v>
      </c>
      <c r="BZ58" s="73">
        <f t="shared" ca="1" si="18"/>
        <v>45046</v>
      </c>
      <c r="CB58" s="75">
        <f t="shared" ca="1" si="30"/>
        <v>45046</v>
      </c>
      <c r="CC58" s="74">
        <f t="shared" ca="1" si="19"/>
        <v>4</v>
      </c>
      <c r="CD58" s="74">
        <f t="shared" ca="1" si="20"/>
        <v>0</v>
      </c>
      <c r="CE58" s="73" t="str">
        <f t="shared" ca="1" si="21"/>
        <v xml:space="preserve"> </v>
      </c>
    </row>
    <row r="59" spans="1:83" x14ac:dyDescent="0.2">
      <c r="A59" s="38">
        <f t="shared" si="32"/>
        <v>56</v>
      </c>
      <c r="B59" s="108" t="s">
        <v>403</v>
      </c>
      <c r="C59" s="38" t="s">
        <v>806</v>
      </c>
      <c r="D59" s="137">
        <v>43465</v>
      </c>
      <c r="E59" s="137">
        <v>41212</v>
      </c>
      <c r="F59" s="137">
        <v>39933</v>
      </c>
      <c r="G59" s="122">
        <v>8</v>
      </c>
      <c r="H59" s="137">
        <v>44134</v>
      </c>
      <c r="I59" s="50">
        <v>183650000</v>
      </c>
      <c r="J59" s="50">
        <v>181691937.72999999</v>
      </c>
      <c r="K59" s="50">
        <v>1958062.2700000107</v>
      </c>
      <c r="L59" s="38">
        <v>1</v>
      </c>
      <c r="M59" s="38">
        <v>2</v>
      </c>
      <c r="N59" s="38">
        <v>2</v>
      </c>
      <c r="O59" s="50">
        <v>181691937.72999999</v>
      </c>
      <c r="P59" s="218">
        <v>5.7500000000000002E-2</v>
      </c>
      <c r="Q59" s="50">
        <v>69573104.829999998</v>
      </c>
      <c r="R59" s="50">
        <v>12077116.731919384</v>
      </c>
      <c r="S59" s="38" t="s">
        <v>156</v>
      </c>
      <c r="T59" s="51">
        <v>2.9249999999999998E-2</v>
      </c>
      <c r="U59" s="65">
        <v>0.45</v>
      </c>
      <c r="V59" s="105" t="s">
        <v>484</v>
      </c>
      <c r="W59" s="66">
        <v>18722663.637512647</v>
      </c>
      <c r="X59" s="66">
        <v>15027420.673013147</v>
      </c>
      <c r="Y59" s="38" t="s">
        <v>238</v>
      </c>
      <c r="Z59" s="66">
        <f t="shared" si="0"/>
        <v>181691937.72999999</v>
      </c>
      <c r="AA59" s="67"/>
      <c r="AC59" s="41">
        <f>VLOOKUP(A59,'Input Sheet'!$A$2:$B$232,2,0)</f>
        <v>1056</v>
      </c>
      <c r="AD59" s="259">
        <f t="shared" si="1"/>
        <v>181691937.72999999</v>
      </c>
      <c r="AI59" s="68"/>
      <c r="AL59" s="107">
        <f t="shared" ca="1" si="22"/>
        <v>54</v>
      </c>
      <c r="AM59" s="49">
        <f t="shared" ca="1" si="23"/>
        <v>45077</v>
      </c>
      <c r="AN59" s="137" t="str">
        <f t="shared" ca="1" si="9"/>
        <v xml:space="preserve"> </v>
      </c>
      <c r="AO59" s="107">
        <f t="shared" ca="1" si="10"/>
        <v>0</v>
      </c>
      <c r="AP59" s="143">
        <f t="shared" ca="1" si="2"/>
        <v>0</v>
      </c>
      <c r="AQ59" s="143">
        <f t="shared" ca="1" si="11"/>
        <v>0</v>
      </c>
      <c r="AR59" s="49" t="str">
        <f t="shared" ca="1" si="3"/>
        <v xml:space="preserve"> </v>
      </c>
      <c r="AS59" s="107">
        <f t="shared" ca="1" si="4"/>
        <v>0</v>
      </c>
      <c r="AT59" s="107">
        <f t="shared" ca="1" si="5"/>
        <v>0</v>
      </c>
      <c r="AU59" s="107"/>
      <c r="AV59" s="107">
        <f ca="1">MAX(SUM($AQ$6:AQ59)-SUM($AT$6:AT59),0)</f>
        <v>900000</v>
      </c>
      <c r="AW59" s="107">
        <f t="shared" ca="1" si="24"/>
        <v>2638.3561643835624</v>
      </c>
      <c r="AX59" s="107">
        <v>0</v>
      </c>
      <c r="AY59" s="138" t="str">
        <f t="shared" ca="1" si="6"/>
        <v xml:space="preserve"> </v>
      </c>
      <c r="AZ59" s="107">
        <f t="shared" ca="1" si="7"/>
        <v>0</v>
      </c>
      <c r="BA59" s="107">
        <f ca="1">IF(AZ59=1,(SUM($AW$6:AW59,$AX$6:AX59)-SUM($BA$6:BA58)),0)</f>
        <v>0</v>
      </c>
      <c r="BB59" s="107"/>
      <c r="BC59" s="107">
        <f ca="1">AV59+SUM($AW$6:AW59)+SUM($AX$6:AX59)-SUM($BA$6:BA59)</f>
        <v>902638.3561643837</v>
      </c>
      <c r="BD59" s="107">
        <f t="shared" ca="1" si="12"/>
        <v>31</v>
      </c>
      <c r="BE59" s="51">
        <f ca="1">'PiT PD Structure'!J99</f>
        <v>3.9486446616998627E-5</v>
      </c>
      <c r="BF59" s="139">
        <f t="shared" ca="1" si="25"/>
        <v>0.45</v>
      </c>
      <c r="BG59" s="51">
        <f t="shared" ca="1" si="13"/>
        <v>0.99792836329088741</v>
      </c>
      <c r="BH59" s="50">
        <f t="shared" ca="1" si="8"/>
        <v>16.005664812764685</v>
      </c>
      <c r="BI59" s="50">
        <f t="shared" ca="1" si="31"/>
        <v>80.492561438607652</v>
      </c>
      <c r="BJ59" s="140">
        <v>0</v>
      </c>
      <c r="BK59" s="140">
        <v>0</v>
      </c>
      <c r="BM59" s="78"/>
      <c r="BR59" s="75">
        <f t="shared" ca="1" si="27"/>
        <v>45077</v>
      </c>
      <c r="BS59" s="74">
        <f t="shared" ca="1" si="14"/>
        <v>5</v>
      </c>
      <c r="BT59" s="74">
        <f t="shared" ca="1" si="15"/>
        <v>0</v>
      </c>
      <c r="BU59" s="73" t="str">
        <f t="shared" ca="1" si="16"/>
        <v xml:space="preserve"> </v>
      </c>
      <c r="BW59" s="75">
        <f t="shared" ca="1" si="28"/>
        <v>45077</v>
      </c>
      <c r="BX59" s="74">
        <f t="shared" ca="1" si="29"/>
        <v>5</v>
      </c>
      <c r="BY59" s="74">
        <f t="shared" ca="1" si="17"/>
        <v>0</v>
      </c>
      <c r="BZ59" s="73" t="str">
        <f t="shared" ca="1" si="18"/>
        <v xml:space="preserve"> </v>
      </c>
      <c r="CB59" s="75">
        <f t="shared" ca="1" si="30"/>
        <v>45077</v>
      </c>
      <c r="CC59" s="74">
        <f t="shared" ca="1" si="19"/>
        <v>5</v>
      </c>
      <c r="CD59" s="74">
        <f t="shared" ca="1" si="20"/>
        <v>0</v>
      </c>
      <c r="CE59" s="73" t="str">
        <f t="shared" ca="1" si="21"/>
        <v xml:space="preserve"> </v>
      </c>
    </row>
    <row r="60" spans="1:83" x14ac:dyDescent="0.2">
      <c r="A60" s="38">
        <f t="shared" si="32"/>
        <v>57</v>
      </c>
      <c r="B60" s="108" t="s">
        <v>405</v>
      </c>
      <c r="C60" s="38" t="s">
        <v>806</v>
      </c>
      <c r="D60" s="137">
        <v>43465</v>
      </c>
      <c r="E60" s="137">
        <v>42368</v>
      </c>
      <c r="F60" s="137">
        <v>40116</v>
      </c>
      <c r="G60" s="122">
        <v>15</v>
      </c>
      <c r="H60" s="137">
        <v>47664</v>
      </c>
      <c r="I60" s="50">
        <v>36730000</v>
      </c>
      <c r="J60" s="50">
        <v>24345870.57</v>
      </c>
      <c r="K60" s="50">
        <v>12384129.43</v>
      </c>
      <c r="L60" s="38">
        <v>1</v>
      </c>
      <c r="M60" s="38">
        <v>2</v>
      </c>
      <c r="N60" s="38">
        <v>2</v>
      </c>
      <c r="O60" s="50">
        <v>15777870.57</v>
      </c>
      <c r="P60" s="218">
        <v>2.5000000000000001E-2</v>
      </c>
      <c r="Q60" s="50">
        <v>105173.65</v>
      </c>
      <c r="R60" s="50">
        <v>4081318.6864090883</v>
      </c>
      <c r="S60" s="38" t="s">
        <v>62</v>
      </c>
      <c r="T60" s="51">
        <v>2.5000000000000001E-2</v>
      </c>
      <c r="U60" s="65">
        <v>0.45</v>
      </c>
      <c r="V60" s="105" t="s">
        <v>521</v>
      </c>
      <c r="W60" s="66">
        <v>2960846.2841046033</v>
      </c>
      <c r="X60" s="66">
        <v>302913.22359265119</v>
      </c>
      <c r="Y60" s="38" t="s">
        <v>237</v>
      </c>
      <c r="Z60" s="66">
        <f t="shared" si="0"/>
        <v>2960846.2841046033</v>
      </c>
      <c r="AA60" s="67"/>
      <c r="AC60" s="41">
        <f>VLOOKUP(A60,'Input Sheet'!$A$2:$B$232,2,0)</f>
        <v>1057</v>
      </c>
      <c r="AD60" s="259">
        <f t="shared" si="1"/>
        <v>2960846.2841046033</v>
      </c>
      <c r="AI60" s="68"/>
      <c r="AL60" s="107">
        <f t="shared" ca="1" si="22"/>
        <v>55</v>
      </c>
      <c r="AM60" s="49">
        <f t="shared" ca="1" si="23"/>
        <v>45107</v>
      </c>
      <c r="AN60" s="137" t="str">
        <f t="shared" ca="1" si="9"/>
        <v xml:space="preserve"> </v>
      </c>
      <c r="AO60" s="107">
        <f t="shared" ca="1" si="10"/>
        <v>0</v>
      </c>
      <c r="AP60" s="143">
        <f t="shared" ca="1" si="2"/>
        <v>0</v>
      </c>
      <c r="AQ60" s="143">
        <f t="shared" ca="1" si="11"/>
        <v>0</v>
      </c>
      <c r="AR60" s="49" t="str">
        <f t="shared" ca="1" si="3"/>
        <v xml:space="preserve"> </v>
      </c>
      <c r="AS60" s="107">
        <f t="shared" ca="1" si="4"/>
        <v>0</v>
      </c>
      <c r="AT60" s="107">
        <f t="shared" ca="1" si="5"/>
        <v>0</v>
      </c>
      <c r="AU60" s="107"/>
      <c r="AV60" s="107">
        <f ca="1">MAX(SUM($AQ$6:AQ60)-SUM($AT$6:AT60),0)</f>
        <v>900000</v>
      </c>
      <c r="AW60" s="107">
        <f t="shared" ca="1" si="24"/>
        <v>2646.5753424657537</v>
      </c>
      <c r="AX60" s="107">
        <v>0</v>
      </c>
      <c r="AY60" s="138" t="str">
        <f t="shared" ca="1" si="6"/>
        <v xml:space="preserve"> </v>
      </c>
      <c r="AZ60" s="107">
        <f t="shared" ca="1" si="7"/>
        <v>0</v>
      </c>
      <c r="BA60" s="107">
        <f ca="1">IF(AZ60=1,(SUM($AW$6:AW60,$AX$6:AX60)-SUM($BA$6:BA59)),0)</f>
        <v>0</v>
      </c>
      <c r="BB60" s="107"/>
      <c r="BC60" s="107">
        <f ca="1">AV60+SUM($AW$6:AW60)+SUM($AX$6:AX60)-SUM($BA$6:BA60)</f>
        <v>905284.93150684983</v>
      </c>
      <c r="BD60" s="107">
        <f t="shared" ca="1" si="12"/>
        <v>30</v>
      </c>
      <c r="BE60" s="51">
        <f ca="1">'PiT PD Structure'!J100</f>
        <v>3.9484882237594832E-5</v>
      </c>
      <c r="BF60" s="139">
        <f t="shared" ca="1" si="25"/>
        <v>0.45</v>
      </c>
      <c r="BG60" s="51">
        <f t="shared" ca="1" si="13"/>
        <v>0.99799512324600315</v>
      </c>
      <c r="BH60" s="50">
        <f t="shared" ca="1" si="8"/>
        <v>16.053032004428406</v>
      </c>
      <c r="BI60" s="50">
        <f t="shared" ca="1" si="31"/>
        <v>64.486896625842974</v>
      </c>
      <c r="BJ60" s="140">
        <v>0</v>
      </c>
      <c r="BK60" s="140">
        <v>0</v>
      </c>
      <c r="BM60" s="78"/>
      <c r="BR60" s="75">
        <f t="shared" ca="1" si="27"/>
        <v>45107</v>
      </c>
      <c r="BS60" s="74">
        <f t="shared" ca="1" si="14"/>
        <v>6</v>
      </c>
      <c r="BT60" s="74">
        <f t="shared" ca="1" si="15"/>
        <v>0</v>
      </c>
      <c r="BU60" s="73" t="str">
        <f t="shared" ca="1" si="16"/>
        <v xml:space="preserve"> </v>
      </c>
      <c r="BW60" s="75">
        <f t="shared" ca="1" si="28"/>
        <v>45107</v>
      </c>
      <c r="BX60" s="74">
        <f t="shared" ca="1" si="29"/>
        <v>6</v>
      </c>
      <c r="BY60" s="74">
        <f t="shared" ca="1" si="17"/>
        <v>0</v>
      </c>
      <c r="BZ60" s="73" t="str">
        <f t="shared" ca="1" si="18"/>
        <v xml:space="preserve"> </v>
      </c>
      <c r="CB60" s="75">
        <f t="shared" ca="1" si="30"/>
        <v>45107</v>
      </c>
      <c r="CC60" s="74">
        <f t="shared" ca="1" si="19"/>
        <v>6</v>
      </c>
      <c r="CD60" s="74">
        <f t="shared" ca="1" si="20"/>
        <v>0</v>
      </c>
      <c r="CE60" s="73" t="str">
        <f t="shared" ca="1" si="21"/>
        <v xml:space="preserve"> </v>
      </c>
    </row>
    <row r="61" spans="1:83" x14ac:dyDescent="0.2">
      <c r="A61" s="38">
        <f t="shared" si="32"/>
        <v>58</v>
      </c>
      <c r="B61" s="108" t="s">
        <v>406</v>
      </c>
      <c r="C61" s="38" t="s">
        <v>806</v>
      </c>
      <c r="D61" s="137">
        <v>43465</v>
      </c>
      <c r="E61" s="137">
        <v>41759</v>
      </c>
      <c r="F61" s="137">
        <v>40298</v>
      </c>
      <c r="G61" s="122">
        <v>15</v>
      </c>
      <c r="H61" s="137">
        <v>47056</v>
      </c>
      <c r="I61" s="50">
        <v>169383671</v>
      </c>
      <c r="J61" s="50">
        <v>150953992.66</v>
      </c>
      <c r="K61" s="50">
        <v>18429678.340000004</v>
      </c>
      <c r="L61" s="38">
        <v>1</v>
      </c>
      <c r="M61" s="38">
        <v>2</v>
      </c>
      <c r="N61" s="38">
        <v>2</v>
      </c>
      <c r="O61" s="50">
        <v>94493992.659999996</v>
      </c>
      <c r="P61" s="218">
        <v>0.02</v>
      </c>
      <c r="Q61" s="50">
        <v>355988.6</v>
      </c>
      <c r="R61" s="50">
        <v>11610027.716578655</v>
      </c>
      <c r="S61" s="38" t="s">
        <v>62</v>
      </c>
      <c r="T61" s="51">
        <v>3.2500000000000001E-2</v>
      </c>
      <c r="U61" s="65">
        <v>0.45</v>
      </c>
      <c r="V61" s="105" t="s">
        <v>492</v>
      </c>
      <c r="W61" s="66">
        <v>11705431.45675</v>
      </c>
      <c r="X61" s="66">
        <v>1356188.9029129744</v>
      </c>
      <c r="Y61" s="38" t="s">
        <v>239</v>
      </c>
      <c r="Z61" s="66">
        <f t="shared" si="0"/>
        <v>1356188.9029129744</v>
      </c>
      <c r="AA61" s="67"/>
      <c r="AC61" s="41">
        <f>VLOOKUP(A61,'Input Sheet'!$A$2:$B$232,2,0)</f>
        <v>1058</v>
      </c>
      <c r="AD61" s="259">
        <f t="shared" si="1"/>
        <v>1356188.9029129744</v>
      </c>
      <c r="AI61" s="68"/>
      <c r="AL61" s="107">
        <f t="shared" ca="1" si="22"/>
        <v>56</v>
      </c>
      <c r="AM61" s="49">
        <f t="shared" ca="1" si="23"/>
        <v>45138</v>
      </c>
      <c r="AN61" s="137" t="str">
        <f t="shared" ca="1" si="9"/>
        <v xml:space="preserve"> </v>
      </c>
      <c r="AO61" s="107">
        <f t="shared" ca="1" si="10"/>
        <v>0</v>
      </c>
      <c r="AP61" s="143">
        <f t="shared" ca="1" si="2"/>
        <v>0</v>
      </c>
      <c r="AQ61" s="143">
        <f t="shared" ca="1" si="11"/>
        <v>0</v>
      </c>
      <c r="AR61" s="49" t="str">
        <f t="shared" ca="1" si="3"/>
        <v xml:space="preserve"> </v>
      </c>
      <c r="AS61" s="107">
        <f t="shared" ca="1" si="4"/>
        <v>0</v>
      </c>
      <c r="AT61" s="107">
        <f t="shared" ca="1" si="5"/>
        <v>0</v>
      </c>
      <c r="AU61" s="107"/>
      <c r="AV61" s="107">
        <f ca="1">MAX(SUM($AQ$6:AQ61)-SUM($AT$6:AT61),0)</f>
        <v>900000</v>
      </c>
      <c r="AW61" s="107">
        <f t="shared" ca="1" si="24"/>
        <v>2640.8219178082195</v>
      </c>
      <c r="AX61" s="107">
        <v>0</v>
      </c>
      <c r="AY61" s="138" t="str">
        <f t="shared" ca="1" si="6"/>
        <v xml:space="preserve"> </v>
      </c>
      <c r="AZ61" s="107">
        <f t="shared" ca="1" si="7"/>
        <v>0</v>
      </c>
      <c r="BA61" s="107">
        <f ca="1">IF(AZ61=1,(SUM($AW$6:AW61,$AX$6:AX61)-SUM($BA$6:BA60)),0)</f>
        <v>0</v>
      </c>
      <c r="BB61" s="107"/>
      <c r="BC61" s="107">
        <f ca="1">AV61+SUM($AW$6:AW61)+SUM($AX$6:AX61)-SUM($BA$6:BA61)</f>
        <v>907925.75342465751</v>
      </c>
      <c r="BD61" s="107">
        <f t="shared" ca="1" si="12"/>
        <v>31</v>
      </c>
      <c r="BE61" s="51">
        <f ca="1">'PiT PD Structure'!J101</f>
        <v>3.9483317920141481E-5</v>
      </c>
      <c r="BF61" s="139">
        <f t="shared" ca="1" si="25"/>
        <v>0.45</v>
      </c>
      <c r="BG61" s="51">
        <f t="shared" ca="1" si="13"/>
        <v>0.99792836329088741</v>
      </c>
      <c r="BH61" s="50">
        <f t="shared" ca="1" si="8"/>
        <v>16.098145785408541</v>
      </c>
      <c r="BI61" s="50">
        <f t="shared" ca="1" si="31"/>
        <v>48.433864621414571</v>
      </c>
      <c r="BJ61" s="140">
        <v>0</v>
      </c>
      <c r="BK61" s="140">
        <v>0</v>
      </c>
      <c r="BM61" s="78"/>
      <c r="BR61" s="75">
        <f t="shared" ca="1" si="27"/>
        <v>45138</v>
      </c>
      <c r="BS61" s="74">
        <f t="shared" ca="1" si="14"/>
        <v>7</v>
      </c>
      <c r="BT61" s="74">
        <f t="shared" ca="1" si="15"/>
        <v>0</v>
      </c>
      <c r="BU61" s="73" t="str">
        <f t="shared" ca="1" si="16"/>
        <v xml:space="preserve"> </v>
      </c>
      <c r="BW61" s="75">
        <f t="shared" ca="1" si="28"/>
        <v>45138</v>
      </c>
      <c r="BX61" s="74">
        <f t="shared" ca="1" si="29"/>
        <v>7</v>
      </c>
      <c r="BY61" s="74">
        <f t="shared" ca="1" si="17"/>
        <v>0</v>
      </c>
      <c r="BZ61" s="73" t="str">
        <f t="shared" ca="1" si="18"/>
        <v xml:space="preserve"> </v>
      </c>
      <c r="CB61" s="75">
        <f t="shared" ca="1" si="30"/>
        <v>45138</v>
      </c>
      <c r="CC61" s="74">
        <f t="shared" ca="1" si="19"/>
        <v>7</v>
      </c>
      <c r="CD61" s="74">
        <f t="shared" ca="1" si="20"/>
        <v>0</v>
      </c>
      <c r="CE61" s="73" t="str">
        <f t="shared" ca="1" si="21"/>
        <v xml:space="preserve"> </v>
      </c>
    </row>
    <row r="62" spans="1:83" x14ac:dyDescent="0.2">
      <c r="A62" s="38">
        <f t="shared" si="32"/>
        <v>59</v>
      </c>
      <c r="B62" s="108" t="s">
        <v>407</v>
      </c>
      <c r="C62" s="38" t="s">
        <v>806</v>
      </c>
      <c r="D62" s="137">
        <v>43465</v>
      </c>
      <c r="E62" s="137">
        <v>41759</v>
      </c>
      <c r="F62" s="137">
        <v>40298</v>
      </c>
      <c r="G62" s="122">
        <v>15</v>
      </c>
      <c r="H62" s="137">
        <v>47056</v>
      </c>
      <c r="I62" s="50">
        <v>36730000</v>
      </c>
      <c r="J62" s="50">
        <v>36730000</v>
      </c>
      <c r="K62" s="50">
        <v>0</v>
      </c>
      <c r="L62" s="38">
        <v>1</v>
      </c>
      <c r="M62" s="38">
        <v>2</v>
      </c>
      <c r="N62" s="38">
        <v>2</v>
      </c>
      <c r="O62" s="50">
        <v>24490000</v>
      </c>
      <c r="P62" s="218">
        <v>0.02</v>
      </c>
      <c r="Q62" s="50">
        <v>-1753180.79</v>
      </c>
      <c r="R62" s="50">
        <v>2517891.7428128175</v>
      </c>
      <c r="S62" s="38" t="s">
        <v>62</v>
      </c>
      <c r="T62" s="51">
        <v>2.75E-2</v>
      </c>
      <c r="U62" s="65">
        <v>0.45</v>
      </c>
      <c r="V62" s="105" t="s">
        <v>515</v>
      </c>
      <c r="W62" s="66">
        <v>2391001.8482554713</v>
      </c>
      <c r="X62" s="66">
        <v>269955.44837150018</v>
      </c>
      <c r="Y62" s="38" t="s">
        <v>237</v>
      </c>
      <c r="Z62" s="66">
        <f t="shared" si="0"/>
        <v>2391001.8482554713</v>
      </c>
      <c r="AA62" s="67"/>
      <c r="AC62" s="41">
        <f>VLOOKUP(A62,'Input Sheet'!$A$2:$B$232,2,0)</f>
        <v>1059</v>
      </c>
      <c r="AD62" s="259">
        <f t="shared" si="1"/>
        <v>2391001.8482554713</v>
      </c>
      <c r="AI62" s="68"/>
      <c r="AL62" s="107">
        <f t="shared" ca="1" si="22"/>
        <v>57</v>
      </c>
      <c r="AM62" s="49">
        <f t="shared" ca="1" si="23"/>
        <v>45169</v>
      </c>
      <c r="AN62" s="137" t="str">
        <f t="shared" ca="1" si="9"/>
        <v xml:space="preserve"> </v>
      </c>
      <c r="AO62" s="107">
        <f t="shared" ca="1" si="10"/>
        <v>0</v>
      </c>
      <c r="AP62" s="143">
        <f t="shared" ca="1" si="2"/>
        <v>0</v>
      </c>
      <c r="AQ62" s="143">
        <f t="shared" ca="1" si="11"/>
        <v>0</v>
      </c>
      <c r="AR62" s="49" t="str">
        <f t="shared" ca="1" si="3"/>
        <v xml:space="preserve"> </v>
      </c>
      <c r="AS62" s="107">
        <f t="shared" ca="1" si="4"/>
        <v>0</v>
      </c>
      <c r="AT62" s="107">
        <f t="shared" ca="1" si="5"/>
        <v>0</v>
      </c>
      <c r="AU62" s="107"/>
      <c r="AV62" s="107">
        <f ca="1">MAX(SUM($AQ$6:AQ62)-SUM($AT$6:AT62),0)</f>
        <v>900000</v>
      </c>
      <c r="AW62" s="107">
        <f t="shared" ca="1" si="24"/>
        <v>2632.1917808219182</v>
      </c>
      <c r="AX62" s="107">
        <v>0</v>
      </c>
      <c r="AY62" s="138" t="str">
        <f t="shared" ca="1" si="6"/>
        <v xml:space="preserve"> </v>
      </c>
      <c r="AZ62" s="107">
        <f t="shared" ca="1" si="7"/>
        <v>0</v>
      </c>
      <c r="BA62" s="107">
        <f ca="1">IF(AZ62=1,(SUM($AW$6:AW62,$AX$6:AX62)-SUM($BA$6:BA61)),0)</f>
        <v>0</v>
      </c>
      <c r="BB62" s="107"/>
      <c r="BC62" s="107">
        <f ca="1">AV62+SUM($AW$6:AW62)+SUM($AX$6:AX62)-SUM($BA$6:BA62)</f>
        <v>910557.94520547986</v>
      </c>
      <c r="BD62" s="107">
        <f t="shared" ca="1" si="12"/>
        <v>31</v>
      </c>
      <c r="BE62" s="51">
        <f ca="1">'PiT PD Structure'!J102</f>
        <v>3.9481753664527552E-5</v>
      </c>
      <c r="BF62" s="139">
        <f t="shared" ca="1" si="25"/>
        <v>0.45</v>
      </c>
      <c r="BG62" s="51">
        <f t="shared" ca="1" si="13"/>
        <v>0.99792836329088741</v>
      </c>
      <c r="BH62" s="50">
        <f t="shared" ca="1" si="8"/>
        <v>16.144176721859871</v>
      </c>
      <c r="BI62" s="50">
        <f t="shared" ca="1" si="31"/>
        <v>32.335718836006031</v>
      </c>
      <c r="BJ62" s="140">
        <v>0</v>
      </c>
      <c r="BK62" s="140">
        <v>0</v>
      </c>
      <c r="BM62" s="78"/>
      <c r="BR62" s="75">
        <f t="shared" ca="1" si="27"/>
        <v>45169</v>
      </c>
      <c r="BS62" s="74">
        <f t="shared" ca="1" si="14"/>
        <v>8</v>
      </c>
      <c r="BT62" s="74">
        <f t="shared" ca="1" si="15"/>
        <v>0</v>
      </c>
      <c r="BU62" s="73" t="str">
        <f t="shared" ca="1" si="16"/>
        <v xml:space="preserve"> </v>
      </c>
      <c r="BW62" s="75">
        <f t="shared" ca="1" si="28"/>
        <v>45169</v>
      </c>
      <c r="BX62" s="74">
        <f t="shared" ca="1" si="29"/>
        <v>8</v>
      </c>
      <c r="BY62" s="74">
        <f t="shared" ca="1" si="17"/>
        <v>0</v>
      </c>
      <c r="BZ62" s="73" t="str">
        <f t="shared" ca="1" si="18"/>
        <v xml:space="preserve"> </v>
      </c>
      <c r="CB62" s="75">
        <f t="shared" ca="1" si="30"/>
        <v>45169</v>
      </c>
      <c r="CC62" s="74">
        <f t="shared" ca="1" si="19"/>
        <v>8</v>
      </c>
      <c r="CD62" s="74">
        <f t="shared" ca="1" si="20"/>
        <v>0</v>
      </c>
      <c r="CE62" s="73" t="str">
        <f t="shared" ca="1" si="21"/>
        <v xml:space="preserve"> </v>
      </c>
    </row>
    <row r="63" spans="1:83" x14ac:dyDescent="0.2">
      <c r="A63" s="38">
        <f t="shared" si="32"/>
        <v>60</v>
      </c>
      <c r="B63" s="108" t="s">
        <v>408</v>
      </c>
      <c r="C63" s="38" t="s">
        <v>806</v>
      </c>
      <c r="D63" s="137">
        <v>43465</v>
      </c>
      <c r="E63" s="137">
        <v>41029</v>
      </c>
      <c r="F63" s="137">
        <v>40298</v>
      </c>
      <c r="G63" s="122">
        <v>12</v>
      </c>
      <c r="H63" s="137">
        <v>45229</v>
      </c>
      <c r="I63" s="50">
        <v>62441000</v>
      </c>
      <c r="J63" s="50">
        <v>53200635.530000001</v>
      </c>
      <c r="K63" s="50">
        <v>9240364.4699999988</v>
      </c>
      <c r="L63" s="38">
        <v>1</v>
      </c>
      <c r="M63" s="38">
        <v>2</v>
      </c>
      <c r="N63" s="38">
        <v>2</v>
      </c>
      <c r="O63" s="50">
        <v>16800635.530000001</v>
      </c>
      <c r="P63" s="218">
        <v>0.04</v>
      </c>
      <c r="Q63" s="50">
        <v>119226.5</v>
      </c>
      <c r="R63" s="50">
        <v>2749375.1926744999</v>
      </c>
      <c r="S63" s="38" t="s">
        <v>54</v>
      </c>
      <c r="T63" s="51">
        <v>3.1662499999999996E-2</v>
      </c>
      <c r="U63" s="65">
        <v>0.45</v>
      </c>
      <c r="V63" s="105" t="s">
        <v>480</v>
      </c>
      <c r="W63" s="66">
        <v>342388.58913447137</v>
      </c>
      <c r="X63" s="66">
        <v>57135.056930846396</v>
      </c>
      <c r="Y63" s="38" t="s">
        <v>239</v>
      </c>
      <c r="Z63" s="66">
        <f t="shared" si="0"/>
        <v>57135.056930846396</v>
      </c>
      <c r="AA63" s="67"/>
      <c r="AC63" s="41">
        <f>VLOOKUP(A63,'Input Sheet'!$A$2:$B$232,2,0)</f>
        <v>1060</v>
      </c>
      <c r="AD63" s="259">
        <f t="shared" si="1"/>
        <v>57135.056930846396</v>
      </c>
      <c r="AI63" s="68"/>
      <c r="AL63" s="107">
        <f t="shared" ca="1" si="22"/>
        <v>58</v>
      </c>
      <c r="AM63" s="49">
        <f t="shared" ca="1" si="23"/>
        <v>45199</v>
      </c>
      <c r="AN63" s="137" t="str">
        <f t="shared" ca="1" si="9"/>
        <v xml:space="preserve"> </v>
      </c>
      <c r="AO63" s="107">
        <f t="shared" ca="1" si="10"/>
        <v>0</v>
      </c>
      <c r="AP63" s="143">
        <f t="shared" ca="1" si="2"/>
        <v>0</v>
      </c>
      <c r="AQ63" s="143">
        <f t="shared" ca="1" si="11"/>
        <v>0</v>
      </c>
      <c r="AR63" s="49" t="str">
        <f t="shared" ca="1" si="3"/>
        <v xml:space="preserve"> </v>
      </c>
      <c r="AS63" s="107">
        <f t="shared" ca="1" si="4"/>
        <v>0</v>
      </c>
      <c r="AT63" s="107">
        <f t="shared" ca="1" si="5"/>
        <v>0</v>
      </c>
      <c r="AU63" s="107"/>
      <c r="AV63" s="107">
        <f ca="1">MAX(SUM($AQ$6:AQ63)-SUM($AT$6:AT63),0)</f>
        <v>900000</v>
      </c>
      <c r="AW63" s="107">
        <f t="shared" ca="1" si="24"/>
        <v>2646.5753424657537</v>
      </c>
      <c r="AX63" s="107">
        <v>0</v>
      </c>
      <c r="AY63" s="138" t="str">
        <f t="shared" ca="1" si="6"/>
        <v xml:space="preserve"> </v>
      </c>
      <c r="AZ63" s="107">
        <f t="shared" ca="1" si="7"/>
        <v>0</v>
      </c>
      <c r="BA63" s="107">
        <f ca="1">IF(AZ63=1,(SUM($AW$6:AW63,$AX$6:AX63)-SUM($BA$6:BA62)),0)</f>
        <v>0</v>
      </c>
      <c r="BB63" s="107"/>
      <c r="BC63" s="107">
        <f ca="1">AV63+SUM($AW$6:AW63)+SUM($AX$6:AX63)-SUM($BA$6:BA63)</f>
        <v>913204.52054794505</v>
      </c>
      <c r="BD63" s="107">
        <f t="shared" ca="1" si="12"/>
        <v>30</v>
      </c>
      <c r="BE63" s="51">
        <f ca="1">'PiT PD Structure'!J103</f>
        <v>3.9480189471086113E-5</v>
      </c>
      <c r="BF63" s="139">
        <f t="shared" ca="1" si="25"/>
        <v>0.45</v>
      </c>
      <c r="BG63" s="51">
        <f t="shared" ca="1" si="13"/>
        <v>0.99799512324600315</v>
      </c>
      <c r="BH63" s="50">
        <f t="shared" ca="1" si="8"/>
        <v>16.191542114145811</v>
      </c>
      <c r="BI63" s="50">
        <f t="shared" ca="1" si="31"/>
        <v>16.191542114146159</v>
      </c>
      <c r="BJ63" s="140">
        <v>0</v>
      </c>
      <c r="BK63" s="140">
        <v>0</v>
      </c>
      <c r="BM63" s="78"/>
      <c r="BR63" s="75">
        <f t="shared" ca="1" si="27"/>
        <v>45199</v>
      </c>
      <c r="BS63" s="74">
        <f t="shared" ca="1" si="14"/>
        <v>9</v>
      </c>
      <c r="BT63" s="74">
        <f t="shared" ca="1" si="15"/>
        <v>0</v>
      </c>
      <c r="BU63" s="73" t="str">
        <f t="shared" ca="1" si="16"/>
        <v xml:space="preserve"> </v>
      </c>
      <c r="BW63" s="75">
        <f t="shared" ca="1" si="28"/>
        <v>45199</v>
      </c>
      <c r="BX63" s="74">
        <f t="shared" ca="1" si="29"/>
        <v>9</v>
      </c>
      <c r="BY63" s="74">
        <f t="shared" ca="1" si="17"/>
        <v>0</v>
      </c>
      <c r="BZ63" s="73" t="str">
        <f t="shared" ca="1" si="18"/>
        <v xml:space="preserve"> </v>
      </c>
      <c r="CB63" s="75">
        <f t="shared" ca="1" si="30"/>
        <v>45199</v>
      </c>
      <c r="CC63" s="74">
        <f t="shared" ca="1" si="19"/>
        <v>9</v>
      </c>
      <c r="CD63" s="74">
        <f t="shared" ca="1" si="20"/>
        <v>0</v>
      </c>
      <c r="CE63" s="73" t="str">
        <f t="shared" ca="1" si="21"/>
        <v xml:space="preserve"> </v>
      </c>
    </row>
    <row r="64" spans="1:83" x14ac:dyDescent="0.2">
      <c r="A64" s="38">
        <f t="shared" si="32"/>
        <v>61</v>
      </c>
      <c r="B64" s="108" t="s">
        <v>409</v>
      </c>
      <c r="C64" s="38" t="s">
        <v>806</v>
      </c>
      <c r="D64" s="137">
        <v>43465</v>
      </c>
      <c r="E64" s="137">
        <v>41212</v>
      </c>
      <c r="F64" s="137">
        <v>40298</v>
      </c>
      <c r="G64" s="122">
        <v>12</v>
      </c>
      <c r="H64" s="137">
        <v>45412</v>
      </c>
      <c r="I64" s="50">
        <v>55095000</v>
      </c>
      <c r="J64" s="50">
        <v>39457945.899999999</v>
      </c>
      <c r="K64" s="50">
        <v>15637054.100000001</v>
      </c>
      <c r="L64" s="38">
        <v>1</v>
      </c>
      <c r="M64" s="38">
        <v>2</v>
      </c>
      <c r="N64" s="38">
        <v>2</v>
      </c>
      <c r="O64" s="50">
        <v>9614820.9000000004</v>
      </c>
      <c r="P64" s="218">
        <v>0.05</v>
      </c>
      <c r="Q64" s="50">
        <v>82831.87</v>
      </c>
      <c r="R64" s="50">
        <v>3633135.2557437639</v>
      </c>
      <c r="S64" s="38" t="s">
        <v>12</v>
      </c>
      <c r="T64" s="51">
        <v>3.6249999999999998E-2</v>
      </c>
      <c r="U64" s="65">
        <v>0.45</v>
      </c>
      <c r="V64" s="105" t="s">
        <v>499</v>
      </c>
      <c r="W64" s="66">
        <v>1363987.0889515802</v>
      </c>
      <c r="X64" s="66">
        <v>284936.64269190468</v>
      </c>
      <c r="Y64" s="38" t="s">
        <v>239</v>
      </c>
      <c r="Z64" s="66">
        <f t="shared" si="0"/>
        <v>284936.64269190468</v>
      </c>
      <c r="AA64" s="67"/>
      <c r="AC64" s="41">
        <f>VLOOKUP(A64,'Input Sheet'!$A$2:$B$232,2,0)</f>
        <v>1061</v>
      </c>
      <c r="AD64" s="259">
        <f t="shared" si="1"/>
        <v>284936.64269190468</v>
      </c>
      <c r="AI64" s="68"/>
      <c r="AL64" s="107">
        <f t="shared" ca="1" si="22"/>
        <v>59</v>
      </c>
      <c r="AM64" s="49">
        <f t="shared" ca="1" si="23"/>
        <v>45230</v>
      </c>
      <c r="AN64" s="137">
        <f t="shared" ca="1" si="9"/>
        <v>45230</v>
      </c>
      <c r="AO64" s="107">
        <f t="shared" ca="1" si="10"/>
        <v>0</v>
      </c>
      <c r="AP64" s="143">
        <f t="shared" ca="1" si="2"/>
        <v>0</v>
      </c>
      <c r="AQ64" s="143">
        <f t="shared" ca="1" si="11"/>
        <v>0</v>
      </c>
      <c r="AR64" s="49">
        <f t="shared" ca="1" si="3"/>
        <v>45230</v>
      </c>
      <c r="AS64" s="107">
        <f t="shared" ca="1" si="4"/>
        <v>1</v>
      </c>
      <c r="AT64" s="107">
        <f t="shared" ca="1" si="5"/>
        <v>900000</v>
      </c>
      <c r="AU64" s="107"/>
      <c r="AV64" s="107">
        <f ca="1">MAX(SUM($AQ$6:AQ64)-SUM($AT$6:AT64),0)</f>
        <v>0</v>
      </c>
      <c r="AW64" s="107">
        <f t="shared" ca="1" si="24"/>
        <v>2632.1917808219182</v>
      </c>
      <c r="AX64" s="107">
        <v>0</v>
      </c>
      <c r="AY64" s="138">
        <f t="shared" ca="1" si="6"/>
        <v>45230</v>
      </c>
      <c r="AZ64" s="107">
        <f t="shared" ca="1" si="7"/>
        <v>1</v>
      </c>
      <c r="BA64" s="107">
        <f ca="1">IF(AZ64=1,(SUM($AW$6:AW64,$AX$6:AX64)-SUM($BA$6:BA63)),0)</f>
        <v>15836.712328767404</v>
      </c>
      <c r="BB64" s="107"/>
      <c r="BC64" s="107">
        <f ca="1">AV64+SUM($AW$6:AW64)+SUM($AX$6:AX64)-SUM($BA$6:BA64)</f>
        <v>0</v>
      </c>
      <c r="BD64" s="107">
        <f t="shared" ca="1" si="12"/>
        <v>31</v>
      </c>
      <c r="BE64" s="51">
        <f ca="1">'PiT PD Structure'!J104</f>
        <v>3.9478625339595119E-5</v>
      </c>
      <c r="BF64" s="139">
        <f t="shared" ca="1" si="25"/>
        <v>0.45</v>
      </c>
      <c r="BG64" s="51">
        <f t="shared" ca="1" si="13"/>
        <v>0.99792836329088741</v>
      </c>
      <c r="BH64" s="50">
        <f t="shared" ca="1" si="8"/>
        <v>0</v>
      </c>
      <c r="BI64" s="50">
        <f t="shared" ca="1" si="31"/>
        <v>3.4816594052244909E-13</v>
      </c>
      <c r="BJ64" s="140">
        <v>0</v>
      </c>
      <c r="BK64" s="140">
        <v>0</v>
      </c>
      <c r="BM64" s="78"/>
      <c r="BR64" s="75">
        <f t="shared" ca="1" si="27"/>
        <v>45230</v>
      </c>
      <c r="BS64" s="74">
        <f t="shared" ca="1" si="14"/>
        <v>10</v>
      </c>
      <c r="BT64" s="74">
        <f t="shared" ca="1" si="15"/>
        <v>1</v>
      </c>
      <c r="BU64" s="73">
        <f t="shared" ca="1" si="16"/>
        <v>45230</v>
      </c>
      <c r="BW64" s="75">
        <f t="shared" ca="1" si="28"/>
        <v>45230</v>
      </c>
      <c r="BX64" s="74">
        <f t="shared" ca="1" si="29"/>
        <v>10</v>
      </c>
      <c r="BY64" s="74">
        <f t="shared" ca="1" si="17"/>
        <v>1</v>
      </c>
      <c r="BZ64" s="73">
        <f t="shared" ca="1" si="18"/>
        <v>45230</v>
      </c>
      <c r="CB64" s="75">
        <f t="shared" ca="1" si="30"/>
        <v>45230</v>
      </c>
      <c r="CC64" s="74">
        <f t="shared" ca="1" si="19"/>
        <v>10</v>
      </c>
      <c r="CD64" s="74">
        <f t="shared" ca="1" si="20"/>
        <v>1</v>
      </c>
      <c r="CE64" s="73">
        <f t="shared" ca="1" si="21"/>
        <v>45230</v>
      </c>
    </row>
    <row r="65" spans="1:83" x14ac:dyDescent="0.2">
      <c r="A65" s="38">
        <f t="shared" si="32"/>
        <v>62</v>
      </c>
      <c r="B65" s="108" t="s">
        <v>413</v>
      </c>
      <c r="C65" s="38" t="s">
        <v>806</v>
      </c>
      <c r="D65" s="137">
        <v>43465</v>
      </c>
      <c r="E65" s="137">
        <v>41394</v>
      </c>
      <c r="F65" s="137">
        <v>40481</v>
      </c>
      <c r="G65" s="122">
        <v>12</v>
      </c>
      <c r="H65" s="137">
        <v>45595</v>
      </c>
      <c r="I65" s="50">
        <v>62094234.75</v>
      </c>
      <c r="J65" s="50">
        <v>62094234.75</v>
      </c>
      <c r="K65" s="50">
        <v>0</v>
      </c>
      <c r="L65" s="38">
        <v>1</v>
      </c>
      <c r="M65" s="38">
        <v>2</v>
      </c>
      <c r="N65" s="38">
        <v>2</v>
      </c>
      <c r="O65" s="50">
        <v>28406934.75</v>
      </c>
      <c r="P65" s="218">
        <v>3.5000000000000003E-2</v>
      </c>
      <c r="Q65" s="50">
        <v>166243.85999999999</v>
      </c>
      <c r="R65" s="50">
        <v>3123170.1954000415</v>
      </c>
      <c r="S65" s="38" t="s">
        <v>10</v>
      </c>
      <c r="T65" s="51">
        <v>3.5909090909090911E-2</v>
      </c>
      <c r="U65" s="65">
        <v>0.45</v>
      </c>
      <c r="V65" s="105" t="s">
        <v>477</v>
      </c>
      <c r="W65" s="66">
        <v>1717668.5802147947</v>
      </c>
      <c r="X65" s="66">
        <v>328314.31325497362</v>
      </c>
      <c r="Y65" s="38" t="s">
        <v>237</v>
      </c>
      <c r="Z65" s="66">
        <f t="shared" si="0"/>
        <v>1717668.5802147947</v>
      </c>
      <c r="AA65" s="67"/>
      <c r="AC65" s="41">
        <f>VLOOKUP(A65,'Input Sheet'!$A$2:$B$232,2,0)</f>
        <v>1062</v>
      </c>
      <c r="AD65" s="259">
        <f t="shared" si="1"/>
        <v>1717668.5802147947</v>
      </c>
      <c r="AI65" s="68"/>
      <c r="AL65" s="107">
        <f t="shared" ca="1" si="22"/>
        <v>60</v>
      </c>
      <c r="AM65" s="49">
        <f t="shared" ca="1" si="23"/>
        <v>45260</v>
      </c>
      <c r="AN65" s="137" t="str">
        <f t="shared" ca="1" si="9"/>
        <v xml:space="preserve"> </v>
      </c>
      <c r="AO65" s="107">
        <f t="shared" ca="1" si="10"/>
        <v>0</v>
      </c>
      <c r="AP65" s="143">
        <f t="shared" ca="1" si="2"/>
        <v>0</v>
      </c>
      <c r="AQ65" s="143">
        <f t="shared" ca="1" si="11"/>
        <v>0</v>
      </c>
      <c r="AR65" s="49" t="str">
        <f t="shared" ca="1" si="3"/>
        <v xml:space="preserve"> </v>
      </c>
      <c r="AS65" s="107">
        <f t="shared" ca="1" si="4"/>
        <v>0</v>
      </c>
      <c r="AT65" s="107">
        <f t="shared" ca="1" si="5"/>
        <v>0</v>
      </c>
      <c r="AU65" s="107"/>
      <c r="AV65" s="107">
        <f ca="1">MAX(SUM($AQ$6:AQ65)-SUM($AT$6:AT65),0)</f>
        <v>0</v>
      </c>
      <c r="AW65" s="107">
        <f t="shared" ca="1" si="24"/>
        <v>0</v>
      </c>
      <c r="AX65" s="107">
        <v>0</v>
      </c>
      <c r="AY65" s="138" t="str">
        <f t="shared" ca="1" si="6"/>
        <v xml:space="preserve"> </v>
      </c>
      <c r="AZ65" s="107">
        <f t="shared" ca="1" si="7"/>
        <v>0</v>
      </c>
      <c r="BA65" s="107">
        <f ca="1">IF(AZ65=1,(SUM($AW$6:AW65,$AX$6:AX65)-SUM($BA$6:BA64)),0)</f>
        <v>0</v>
      </c>
      <c r="BB65" s="107"/>
      <c r="BC65" s="107">
        <f ca="1">AV65+SUM($AW$6:AW65)+SUM($AX$6:AX65)-SUM($BA$6:BA65)</f>
        <v>0</v>
      </c>
      <c r="BD65" s="107">
        <f t="shared" ca="1" si="12"/>
        <v>30</v>
      </c>
      <c r="BE65" s="51">
        <f ca="1">'PiT PD Structure'!J105</f>
        <v>3.9477061269943547E-5</v>
      </c>
      <c r="BF65" s="139">
        <f t="shared" ca="1" si="25"/>
        <v>0.45</v>
      </c>
      <c r="BG65" s="51">
        <f t="shared" ca="1" si="13"/>
        <v>0.99799512324600315</v>
      </c>
      <c r="BH65" s="50">
        <f t="shared" ca="1" si="8"/>
        <v>0</v>
      </c>
      <c r="BI65" s="50">
        <f t="shared" ca="1" si="31"/>
        <v>3.4816594052244909E-13</v>
      </c>
      <c r="BJ65" s="140">
        <v>0</v>
      </c>
      <c r="BK65" s="140">
        <v>0</v>
      </c>
      <c r="BM65" s="78"/>
      <c r="BR65" s="75">
        <f t="shared" ca="1" si="27"/>
        <v>45260</v>
      </c>
      <c r="BS65" s="74">
        <f t="shared" ca="1" si="14"/>
        <v>11</v>
      </c>
      <c r="BT65" s="74">
        <f t="shared" ca="1" si="15"/>
        <v>0</v>
      </c>
      <c r="BU65" s="73" t="str">
        <f t="shared" ca="1" si="16"/>
        <v xml:space="preserve"> </v>
      </c>
      <c r="BW65" s="75">
        <f t="shared" ca="1" si="28"/>
        <v>45260</v>
      </c>
      <c r="BX65" s="74">
        <f t="shared" ca="1" si="29"/>
        <v>11</v>
      </c>
      <c r="BY65" s="74">
        <f t="shared" ca="1" si="17"/>
        <v>0</v>
      </c>
      <c r="BZ65" s="73" t="str">
        <f t="shared" ca="1" si="18"/>
        <v xml:space="preserve"> </v>
      </c>
      <c r="CB65" s="75">
        <f t="shared" ca="1" si="30"/>
        <v>45260</v>
      </c>
      <c r="CC65" s="74">
        <f t="shared" ca="1" si="19"/>
        <v>11</v>
      </c>
      <c r="CD65" s="74">
        <f t="shared" ca="1" si="20"/>
        <v>0</v>
      </c>
      <c r="CE65" s="73" t="str">
        <f t="shared" ca="1" si="21"/>
        <v xml:space="preserve"> </v>
      </c>
    </row>
    <row r="66" spans="1:83" x14ac:dyDescent="0.2">
      <c r="A66" s="38">
        <f t="shared" si="32"/>
        <v>63</v>
      </c>
      <c r="B66" s="108" t="s">
        <v>414</v>
      </c>
      <c r="C66" s="38" t="s">
        <v>806</v>
      </c>
      <c r="D66" s="137">
        <v>43465</v>
      </c>
      <c r="E66" s="137">
        <v>41440</v>
      </c>
      <c r="F66" s="137">
        <v>40527</v>
      </c>
      <c r="G66" s="122">
        <v>12</v>
      </c>
      <c r="H66" s="137">
        <v>45641</v>
      </c>
      <c r="I66" s="50">
        <v>183650000</v>
      </c>
      <c r="J66" s="50">
        <v>166635911.78999999</v>
      </c>
      <c r="K66" s="50">
        <v>17014088.210000008</v>
      </c>
      <c r="L66" s="38">
        <v>2</v>
      </c>
      <c r="M66" s="38">
        <v>2</v>
      </c>
      <c r="N66" s="38">
        <v>2</v>
      </c>
      <c r="O66" s="50">
        <v>74811911.790000007</v>
      </c>
      <c r="P66" s="218">
        <v>0.05</v>
      </c>
      <c r="Q66" s="50">
        <v>152669.82999999999</v>
      </c>
      <c r="R66" s="50">
        <v>13952757.737227844</v>
      </c>
      <c r="S66" s="38" t="s">
        <v>12</v>
      </c>
      <c r="T66" s="51">
        <v>3.6111111111111115E-2</v>
      </c>
      <c r="U66" s="65">
        <v>0.45</v>
      </c>
      <c r="V66" s="105" t="s">
        <v>19</v>
      </c>
      <c r="W66" s="66">
        <v>5865657.9095282415</v>
      </c>
      <c r="X66" s="66">
        <v>1122897.1553696231</v>
      </c>
      <c r="Y66" s="38" t="s">
        <v>237</v>
      </c>
      <c r="Z66" s="66">
        <f t="shared" si="0"/>
        <v>5865657.9095282415</v>
      </c>
      <c r="AA66" s="67"/>
      <c r="AC66" s="41">
        <f>VLOOKUP(A66,'Input Sheet'!$A$2:$B$232,2,0)</f>
        <v>1063</v>
      </c>
      <c r="AD66" s="259">
        <f t="shared" si="1"/>
        <v>5865657.9095282415</v>
      </c>
      <c r="AI66" s="68"/>
      <c r="AL66" s="107">
        <f t="shared" ca="1" si="22"/>
        <v>61</v>
      </c>
      <c r="AM66" s="49">
        <f t="shared" ca="1" si="23"/>
        <v>45291</v>
      </c>
      <c r="AN66" s="137" t="str">
        <f t="shared" ca="1" si="9"/>
        <v xml:space="preserve"> </v>
      </c>
      <c r="AO66" s="107">
        <f t="shared" ca="1" si="10"/>
        <v>0</v>
      </c>
      <c r="AP66" s="143">
        <f t="shared" ca="1" si="2"/>
        <v>0</v>
      </c>
      <c r="AQ66" s="143">
        <f t="shared" ca="1" si="11"/>
        <v>0</v>
      </c>
      <c r="AR66" s="49" t="str">
        <f t="shared" ca="1" si="3"/>
        <v xml:space="preserve"> </v>
      </c>
      <c r="AS66" s="107">
        <f t="shared" ca="1" si="4"/>
        <v>0</v>
      </c>
      <c r="AT66" s="107">
        <f t="shared" ca="1" si="5"/>
        <v>0</v>
      </c>
      <c r="AU66" s="107"/>
      <c r="AV66" s="107">
        <f ca="1">MAX(SUM($AQ$6:AQ66)-SUM($AT$6:AT66),0)</f>
        <v>0</v>
      </c>
      <c r="AW66" s="107">
        <f t="shared" ca="1" si="24"/>
        <v>0</v>
      </c>
      <c r="AX66" s="107">
        <v>0</v>
      </c>
      <c r="AY66" s="138" t="str">
        <f t="shared" ca="1" si="6"/>
        <v xml:space="preserve"> </v>
      </c>
      <c r="AZ66" s="107">
        <f t="shared" ca="1" si="7"/>
        <v>0</v>
      </c>
      <c r="BA66" s="107">
        <f ca="1">IF(AZ66=1,(SUM($AW$6:AW66,$AX$6:AX66)-SUM($BA$6:BA65)),0)</f>
        <v>0</v>
      </c>
      <c r="BB66" s="107"/>
      <c r="BC66" s="107">
        <f ca="1">AV66+SUM($AW$6:AW66)+SUM($AX$6:AX66)-SUM($BA$6:BA66)</f>
        <v>0</v>
      </c>
      <c r="BD66" s="107">
        <f t="shared" ca="1" si="12"/>
        <v>31</v>
      </c>
      <c r="BE66" s="51">
        <f ca="1">'PiT PD Structure'!J106</f>
        <v>6.4771955162012951E-4</v>
      </c>
      <c r="BF66" s="139">
        <f t="shared" ca="1" si="25"/>
        <v>0.45</v>
      </c>
      <c r="BG66" s="51">
        <f t="shared" ca="1" si="13"/>
        <v>0.99792836329088741</v>
      </c>
      <c r="BH66" s="50">
        <f t="shared" ca="1" si="8"/>
        <v>0</v>
      </c>
      <c r="BI66" s="50">
        <f t="shared" ca="1" si="31"/>
        <v>3.4816594052244909E-13</v>
      </c>
      <c r="BJ66" s="140">
        <v>0</v>
      </c>
      <c r="BK66" s="140">
        <v>0</v>
      </c>
      <c r="BM66" s="78"/>
      <c r="BR66" s="75">
        <f t="shared" ca="1" si="27"/>
        <v>45291</v>
      </c>
      <c r="BS66" s="74">
        <f t="shared" ca="1" si="14"/>
        <v>12</v>
      </c>
      <c r="BT66" s="74">
        <f t="shared" ca="1" si="15"/>
        <v>0</v>
      </c>
      <c r="BU66" s="73" t="str">
        <f t="shared" ca="1" si="16"/>
        <v xml:space="preserve"> </v>
      </c>
      <c r="BW66" s="75">
        <f t="shared" ca="1" si="28"/>
        <v>45291</v>
      </c>
      <c r="BX66" s="74">
        <f t="shared" ca="1" si="29"/>
        <v>12</v>
      </c>
      <c r="BY66" s="74">
        <f t="shared" ca="1" si="17"/>
        <v>0</v>
      </c>
      <c r="BZ66" s="73" t="str">
        <f t="shared" ca="1" si="18"/>
        <v xml:space="preserve"> </v>
      </c>
      <c r="CB66" s="75">
        <f t="shared" ca="1" si="30"/>
        <v>45291</v>
      </c>
      <c r="CC66" s="74">
        <f t="shared" ca="1" si="19"/>
        <v>12</v>
      </c>
      <c r="CD66" s="74">
        <f t="shared" ca="1" si="20"/>
        <v>0</v>
      </c>
      <c r="CE66" s="73" t="str">
        <f t="shared" ca="1" si="21"/>
        <v xml:space="preserve"> </v>
      </c>
    </row>
    <row r="67" spans="1:83" x14ac:dyDescent="0.2">
      <c r="A67" s="38">
        <f t="shared" si="32"/>
        <v>64</v>
      </c>
      <c r="B67" s="108" t="s">
        <v>415</v>
      </c>
      <c r="C67" s="38" t="s">
        <v>806</v>
      </c>
      <c r="D67" s="137">
        <v>43465</v>
      </c>
      <c r="E67" s="137">
        <v>42170</v>
      </c>
      <c r="F67" s="137">
        <v>40527</v>
      </c>
      <c r="G67" s="122">
        <v>15</v>
      </c>
      <c r="H67" s="137">
        <v>47467</v>
      </c>
      <c r="I67" s="50">
        <v>55095000</v>
      </c>
      <c r="J67" s="50">
        <v>54016885.469999999</v>
      </c>
      <c r="K67" s="50">
        <v>1078114.5300000012</v>
      </c>
      <c r="L67" s="38">
        <v>4</v>
      </c>
      <c r="M67" s="38">
        <v>2</v>
      </c>
      <c r="N67" s="38">
        <v>2</v>
      </c>
      <c r="O67" s="50">
        <v>39324885.469999999</v>
      </c>
      <c r="P67" s="218">
        <v>2.5000000000000001E-2</v>
      </c>
      <c r="Q67" s="50">
        <v>408648.85</v>
      </c>
      <c r="R67" s="50">
        <v>5599019.2801059624</v>
      </c>
      <c r="S67" s="38" t="s">
        <v>62</v>
      </c>
      <c r="T67" s="51">
        <v>2.5000000000000001E-2</v>
      </c>
      <c r="U67" s="65">
        <v>0.45</v>
      </c>
      <c r="V67" s="105" t="s">
        <v>523</v>
      </c>
      <c r="W67" s="66">
        <v>3913758.9904730534</v>
      </c>
      <c r="X67" s="66">
        <v>415928.95376986719</v>
      </c>
      <c r="Y67" s="38" t="s">
        <v>239</v>
      </c>
      <c r="Z67" s="66">
        <f t="shared" si="0"/>
        <v>415928.95376986719</v>
      </c>
      <c r="AA67" s="67"/>
      <c r="AC67" s="41">
        <f>VLOOKUP(A67,'Input Sheet'!$A$2:$B$232,2,0)</f>
        <v>1064</v>
      </c>
      <c r="AD67" s="259">
        <f t="shared" si="1"/>
        <v>415928.95376986719</v>
      </c>
      <c r="AI67" s="68"/>
      <c r="AL67" s="107">
        <f t="shared" ca="1" si="22"/>
        <v>0</v>
      </c>
      <c r="AM67" s="49">
        <f t="shared" ca="1" si="23"/>
        <v>45322</v>
      </c>
      <c r="AN67" s="137" t="str">
        <f t="shared" ca="1" si="9"/>
        <v xml:space="preserve"> </v>
      </c>
      <c r="AO67" s="107">
        <f t="shared" ca="1" si="10"/>
        <v>0</v>
      </c>
      <c r="AP67" s="143">
        <f t="shared" ca="1" si="2"/>
        <v>0</v>
      </c>
      <c r="AQ67" s="143">
        <f t="shared" ca="1" si="11"/>
        <v>0</v>
      </c>
      <c r="AR67" s="49" t="str">
        <f t="shared" ca="1" si="3"/>
        <v xml:space="preserve"> </v>
      </c>
      <c r="AS67" s="107">
        <f t="shared" ca="1" si="4"/>
        <v>0</v>
      </c>
      <c r="AT67" s="107">
        <f t="shared" ca="1" si="5"/>
        <v>0</v>
      </c>
      <c r="AU67" s="107"/>
      <c r="AV67" s="107">
        <f ca="1">MAX(SUM($AQ$6:AQ67)-SUM($AT$6:AT67),0)</f>
        <v>0</v>
      </c>
      <c r="AW67" s="107">
        <f t="shared" ca="1" si="24"/>
        <v>0</v>
      </c>
      <c r="AX67" s="107">
        <v>0</v>
      </c>
      <c r="AY67" s="138" t="str">
        <f t="shared" ca="1" si="6"/>
        <v xml:space="preserve"> </v>
      </c>
      <c r="AZ67" s="107">
        <f t="shared" ca="1" si="7"/>
        <v>0</v>
      </c>
      <c r="BA67" s="107">
        <f ca="1">IF(AZ67=1,(SUM($AW$6:AW67,$AX$6:AX67)-SUM($BA$6:BA66)),0)</f>
        <v>0</v>
      </c>
      <c r="BB67" s="107"/>
      <c r="BC67" s="107">
        <f ca="1">AV67+SUM($AW$6:AW67)+SUM($AX$6:AX67)-SUM($BA$6:BA67)</f>
        <v>0</v>
      </c>
      <c r="BD67" s="107">
        <f t="shared" ca="1" si="12"/>
        <v>0</v>
      </c>
      <c r="BE67" s="51">
        <f ca="1">'PiT PD Structure'!J107</f>
        <v>4.2197701786150787E-5</v>
      </c>
      <c r="BF67" s="139">
        <f t="shared" ca="1" si="25"/>
        <v>0.45</v>
      </c>
      <c r="BG67" s="51">
        <f t="shared" ca="1" si="13"/>
        <v>1</v>
      </c>
      <c r="BH67" s="50">
        <f t="shared" ca="1" si="8"/>
        <v>0</v>
      </c>
      <c r="BI67" s="50">
        <f t="shared" ca="1" si="31"/>
        <v>3.4816594052244909E-13</v>
      </c>
      <c r="BJ67" s="140">
        <v>0</v>
      </c>
      <c r="BK67" s="140">
        <v>0</v>
      </c>
      <c r="BM67" s="78"/>
      <c r="BR67" s="75">
        <f t="shared" ref="BR67:BR130" ca="1" si="33">EOMONTH(BR66,1)</f>
        <v>45322</v>
      </c>
      <c r="BS67" s="74">
        <f t="shared" ca="1" si="14"/>
        <v>1</v>
      </c>
      <c r="BT67" s="74">
        <f t="shared" ca="1" si="15"/>
        <v>0</v>
      </c>
      <c r="BU67" s="73" t="str">
        <f t="shared" ca="1" si="16"/>
        <v xml:space="preserve"> </v>
      </c>
      <c r="BW67" s="75">
        <f t="shared" ca="1" si="28"/>
        <v>45322</v>
      </c>
      <c r="BX67" s="74">
        <f t="shared" ca="1" si="29"/>
        <v>1</v>
      </c>
      <c r="BY67" s="74">
        <f t="shared" ca="1" si="17"/>
        <v>0</v>
      </c>
      <c r="BZ67" s="73" t="str">
        <f t="shared" ca="1" si="18"/>
        <v xml:space="preserve"> </v>
      </c>
      <c r="CB67" s="75">
        <f t="shared" ca="1" si="30"/>
        <v>45322</v>
      </c>
      <c r="CC67" s="74">
        <f t="shared" ca="1" si="19"/>
        <v>1</v>
      </c>
      <c r="CD67" s="74">
        <f t="shared" ca="1" si="20"/>
        <v>0</v>
      </c>
      <c r="CE67" s="73" t="str">
        <f t="shared" ca="1" si="21"/>
        <v xml:space="preserve"> </v>
      </c>
    </row>
    <row r="68" spans="1:83" x14ac:dyDescent="0.2">
      <c r="A68" s="38">
        <f t="shared" si="32"/>
        <v>65</v>
      </c>
      <c r="B68" s="108" t="s">
        <v>416</v>
      </c>
      <c r="C68" s="38" t="s">
        <v>806</v>
      </c>
      <c r="D68" s="137">
        <v>43465</v>
      </c>
      <c r="E68" s="137">
        <v>42338</v>
      </c>
      <c r="F68" s="137">
        <v>40693</v>
      </c>
      <c r="G68" s="122">
        <v>15</v>
      </c>
      <c r="H68" s="137">
        <v>47633</v>
      </c>
      <c r="I68" s="50">
        <v>36730000</v>
      </c>
      <c r="J68" s="50">
        <v>22635995.030000001</v>
      </c>
      <c r="K68" s="50">
        <v>14094004.969999999</v>
      </c>
      <c r="L68" s="38">
        <v>4</v>
      </c>
      <c r="M68" s="38">
        <v>2</v>
      </c>
      <c r="N68" s="38">
        <v>2</v>
      </c>
      <c r="O68" s="50">
        <v>17739995.030000001</v>
      </c>
      <c r="P68" s="218">
        <v>2.5000000000000001E-2</v>
      </c>
      <c r="Q68" s="50">
        <v>164272.92000000001</v>
      </c>
      <c r="R68" s="50">
        <v>4750867.9209129671</v>
      </c>
      <c r="S68" s="38" t="s">
        <v>12</v>
      </c>
      <c r="T68" s="51">
        <v>2.8333333333333335E-2</v>
      </c>
      <c r="U68" s="65">
        <v>0.45</v>
      </c>
      <c r="V68" s="105" t="s">
        <v>511</v>
      </c>
      <c r="W68" s="66">
        <v>3537184.539226613</v>
      </c>
      <c r="X68" s="66">
        <v>363103.74845268071</v>
      </c>
      <c r="Y68" s="38" t="s">
        <v>237</v>
      </c>
      <c r="Z68" s="66">
        <f t="shared" si="0"/>
        <v>3537184.539226613</v>
      </c>
      <c r="AA68" s="67"/>
      <c r="AC68" s="41">
        <f>VLOOKUP(A68,'Input Sheet'!$A$2:$B$232,2,0)</f>
        <v>1065</v>
      </c>
      <c r="AD68" s="259">
        <f t="shared" si="1"/>
        <v>3537184.539226613</v>
      </c>
      <c r="AI68" s="68"/>
      <c r="AL68" s="107">
        <f t="shared" ca="1" si="22"/>
        <v>0</v>
      </c>
      <c r="AM68" s="49">
        <f t="shared" ca="1" si="23"/>
        <v>45351</v>
      </c>
      <c r="AN68" s="137" t="str">
        <f t="shared" ca="1" si="9"/>
        <v xml:space="preserve"> </v>
      </c>
      <c r="AO68" s="107">
        <f t="shared" ca="1" si="10"/>
        <v>0</v>
      </c>
      <c r="AP68" s="143">
        <f t="shared" ca="1" si="2"/>
        <v>0</v>
      </c>
      <c r="AQ68" s="143">
        <f t="shared" ca="1" si="11"/>
        <v>0</v>
      </c>
      <c r="AR68" s="49" t="str">
        <f t="shared" ca="1" si="3"/>
        <v xml:space="preserve"> </v>
      </c>
      <c r="AS68" s="107">
        <f t="shared" ca="1" si="4"/>
        <v>0</v>
      </c>
      <c r="AT68" s="107">
        <f t="shared" ca="1" si="5"/>
        <v>0</v>
      </c>
      <c r="AU68" s="107"/>
      <c r="AV68" s="107">
        <f ca="1">MAX(SUM($AQ$6:AQ68)-SUM($AT$6:AT68),0)</f>
        <v>0</v>
      </c>
      <c r="AW68" s="107">
        <f t="shared" ca="1" si="24"/>
        <v>0</v>
      </c>
      <c r="AX68" s="107">
        <v>0</v>
      </c>
      <c r="AY68" s="138" t="str">
        <f t="shared" ca="1" si="6"/>
        <v xml:space="preserve"> </v>
      </c>
      <c r="AZ68" s="107">
        <f t="shared" ca="1" si="7"/>
        <v>0</v>
      </c>
      <c r="BA68" s="107">
        <f ca="1">IF(AZ68=1,(SUM($AW$6:AW68,$AX$6:AX68)-SUM($BA$6:BA67)),0)</f>
        <v>0</v>
      </c>
      <c r="BB68" s="107"/>
      <c r="BC68" s="107">
        <f ca="1">AV68+SUM($AW$6:AW68)+SUM($AX$6:AX68)-SUM($BA$6:BA68)</f>
        <v>0</v>
      </c>
      <c r="BD68" s="107">
        <f t="shared" ca="1" si="12"/>
        <v>0</v>
      </c>
      <c r="BE68" s="51">
        <f ca="1">'PiT PD Structure'!J108</f>
        <v>4.2195913543596753E-5</v>
      </c>
      <c r="BF68" s="139">
        <f t="shared" ca="1" si="25"/>
        <v>0.45</v>
      </c>
      <c r="BG68" s="51">
        <f t="shared" ca="1" si="13"/>
        <v>1</v>
      </c>
      <c r="BH68" s="50">
        <f t="shared" ca="1" si="8"/>
        <v>0</v>
      </c>
      <c r="BI68" s="50">
        <f t="shared" ca="1" si="31"/>
        <v>3.4816594052244909E-13</v>
      </c>
      <c r="BJ68" s="140">
        <v>0</v>
      </c>
      <c r="BK68" s="140">
        <v>0</v>
      </c>
      <c r="BM68" s="78"/>
      <c r="BR68" s="75">
        <f t="shared" ca="1" si="33"/>
        <v>45351</v>
      </c>
      <c r="BS68" s="74">
        <f t="shared" ca="1" si="14"/>
        <v>2</v>
      </c>
      <c r="BT68" s="74">
        <f t="shared" ca="1" si="15"/>
        <v>0</v>
      </c>
      <c r="BU68" s="73" t="str">
        <f t="shared" ca="1" si="16"/>
        <v xml:space="preserve"> </v>
      </c>
      <c r="BW68" s="75">
        <f t="shared" ca="1" si="28"/>
        <v>45351</v>
      </c>
      <c r="BX68" s="74">
        <f t="shared" ca="1" si="29"/>
        <v>2</v>
      </c>
      <c r="BY68" s="74">
        <f t="shared" ca="1" si="17"/>
        <v>0</v>
      </c>
      <c r="BZ68" s="73" t="str">
        <f t="shared" ca="1" si="18"/>
        <v xml:space="preserve"> </v>
      </c>
      <c r="CB68" s="75">
        <f t="shared" ca="1" si="30"/>
        <v>45351</v>
      </c>
      <c r="CC68" s="74">
        <f t="shared" ca="1" si="19"/>
        <v>2</v>
      </c>
      <c r="CD68" s="74">
        <f t="shared" ca="1" si="20"/>
        <v>0</v>
      </c>
      <c r="CE68" s="73" t="str">
        <f t="shared" ca="1" si="21"/>
        <v xml:space="preserve"> </v>
      </c>
    </row>
    <row r="69" spans="1:83" x14ac:dyDescent="0.2">
      <c r="A69" s="38">
        <f t="shared" si="32"/>
        <v>66</v>
      </c>
      <c r="B69" s="108" t="s">
        <v>418</v>
      </c>
      <c r="C69" s="38" t="s">
        <v>806</v>
      </c>
      <c r="D69" s="137">
        <v>43465</v>
      </c>
      <c r="E69" s="137">
        <v>42353</v>
      </c>
      <c r="F69" s="137">
        <v>40709</v>
      </c>
      <c r="G69" s="122">
        <v>15</v>
      </c>
      <c r="H69" s="137">
        <v>47649</v>
      </c>
      <c r="I69" s="50">
        <v>367300000</v>
      </c>
      <c r="J69" s="50">
        <v>337629342.37</v>
      </c>
      <c r="K69" s="50">
        <v>29670657.629999995</v>
      </c>
      <c r="L69" s="38">
        <v>1</v>
      </c>
      <c r="M69" s="38">
        <v>2</v>
      </c>
      <c r="N69" s="38">
        <v>2</v>
      </c>
      <c r="O69" s="50">
        <v>251928342.37</v>
      </c>
      <c r="P69" s="218">
        <v>2.5000000000000001E-2</v>
      </c>
      <c r="Q69" s="50">
        <v>261575.08</v>
      </c>
      <c r="R69" s="50">
        <v>40773720.621893398</v>
      </c>
      <c r="S69" s="38" t="s">
        <v>54</v>
      </c>
      <c r="T69" s="51">
        <v>3.1662499999999996E-2</v>
      </c>
      <c r="U69" s="65">
        <v>0.45</v>
      </c>
      <c r="V69" s="105" t="s">
        <v>480</v>
      </c>
      <c r="W69" s="66">
        <v>12267940.209068056</v>
      </c>
      <c r="X69" s="66">
        <v>630152.84741500148</v>
      </c>
      <c r="Y69" s="38" t="s">
        <v>239</v>
      </c>
      <c r="Z69" s="66">
        <f t="shared" ref="Z69:Z132" si="34">IF(Y69="Stage 1",X69,IF(Y69="Stage 2",W69,O69))</f>
        <v>630152.84741500148</v>
      </c>
      <c r="AA69" s="67"/>
      <c r="AC69" s="41">
        <f>VLOOKUP(A69,'Input Sheet'!$A$2:$B$232,2,0)</f>
        <v>1066</v>
      </c>
      <c r="AD69" s="259">
        <f t="shared" ref="AD69:AD111" si="35">Z69</f>
        <v>630152.84741500148</v>
      </c>
      <c r="AI69" s="68"/>
      <c r="AL69" s="107">
        <f t="shared" ca="1" si="22"/>
        <v>0</v>
      </c>
      <c r="AM69" s="49">
        <f t="shared" ca="1" si="23"/>
        <v>45382</v>
      </c>
      <c r="AN69" s="137" t="str">
        <f t="shared" ca="1" si="9"/>
        <v xml:space="preserve"> </v>
      </c>
      <c r="AO69" s="107">
        <f t="shared" ca="1" si="10"/>
        <v>0</v>
      </c>
      <c r="AP69" s="143">
        <f t="shared" ca="1" si="2"/>
        <v>0</v>
      </c>
      <c r="AQ69" s="143">
        <f t="shared" ca="1" si="11"/>
        <v>0</v>
      </c>
      <c r="AR69" s="49" t="str">
        <f t="shared" ca="1" si="3"/>
        <v xml:space="preserve"> </v>
      </c>
      <c r="AS69" s="107">
        <f t="shared" ca="1" si="4"/>
        <v>0</v>
      </c>
      <c r="AT69" s="107">
        <f t="shared" ca="1" si="5"/>
        <v>0</v>
      </c>
      <c r="AU69" s="107"/>
      <c r="AV69" s="107">
        <f ca="1">MAX(SUM($AQ$6:AQ69)-SUM($AT$6:AT69),0)</f>
        <v>0</v>
      </c>
      <c r="AW69" s="107">
        <f t="shared" ca="1" si="24"/>
        <v>0</v>
      </c>
      <c r="AX69" s="107">
        <v>0</v>
      </c>
      <c r="AY69" s="138" t="str">
        <f t="shared" ca="1" si="6"/>
        <v xml:space="preserve"> </v>
      </c>
      <c r="AZ69" s="107">
        <f t="shared" ca="1" si="7"/>
        <v>0</v>
      </c>
      <c r="BA69" s="107">
        <f ca="1">IF(AZ69=1,(SUM($AW$6:AW69,$AX$6:AX69)-SUM($BA$6:BA68)),0)</f>
        <v>0</v>
      </c>
      <c r="BB69" s="107"/>
      <c r="BC69" s="107">
        <f ca="1">AV69+SUM($AW$6:AW69)+SUM($AX$6:AX69)-SUM($BA$6:BA69)</f>
        <v>0</v>
      </c>
      <c r="BD69" s="107">
        <f t="shared" ca="1" si="12"/>
        <v>0</v>
      </c>
      <c r="BE69" s="51">
        <f ca="1">'PiT PD Structure'!J109</f>
        <v>4.2194125376648906E-5</v>
      </c>
      <c r="BF69" s="139">
        <f t="shared" ca="1" si="25"/>
        <v>0.45</v>
      </c>
      <c r="BG69" s="51">
        <f t="shared" ca="1" si="13"/>
        <v>1</v>
      </c>
      <c r="BH69" s="50">
        <f t="shared" ca="1" si="8"/>
        <v>0</v>
      </c>
      <c r="BI69" s="50">
        <f t="shared" ca="1" si="31"/>
        <v>3.4816594052244909E-13</v>
      </c>
      <c r="BJ69" s="140">
        <v>0</v>
      </c>
      <c r="BK69" s="140">
        <v>0</v>
      </c>
      <c r="BM69" s="78"/>
      <c r="BR69" s="75">
        <f t="shared" ca="1" si="33"/>
        <v>45382</v>
      </c>
      <c r="BS69" s="74">
        <f t="shared" ca="1" si="14"/>
        <v>3</v>
      </c>
      <c r="BT69" s="74">
        <f t="shared" ca="1" si="15"/>
        <v>0</v>
      </c>
      <c r="BU69" s="73" t="str">
        <f t="shared" ca="1" si="16"/>
        <v xml:space="preserve"> </v>
      </c>
      <c r="BW69" s="75">
        <f t="shared" ca="1" si="28"/>
        <v>45382</v>
      </c>
      <c r="BX69" s="74">
        <f t="shared" ca="1" si="29"/>
        <v>3</v>
      </c>
      <c r="BY69" s="74">
        <f t="shared" ca="1" si="17"/>
        <v>0</v>
      </c>
      <c r="BZ69" s="73" t="str">
        <f t="shared" ca="1" si="18"/>
        <v xml:space="preserve"> </v>
      </c>
      <c r="CB69" s="75">
        <f t="shared" ca="1" si="30"/>
        <v>45382</v>
      </c>
      <c r="CC69" s="74">
        <f t="shared" ca="1" si="19"/>
        <v>3</v>
      </c>
      <c r="CD69" s="74">
        <f t="shared" ca="1" si="20"/>
        <v>0</v>
      </c>
      <c r="CE69" s="73" t="str">
        <f t="shared" ca="1" si="21"/>
        <v xml:space="preserve"> </v>
      </c>
    </row>
    <row r="70" spans="1:83" x14ac:dyDescent="0.2">
      <c r="A70" s="38">
        <f t="shared" si="32"/>
        <v>67</v>
      </c>
      <c r="B70" s="108" t="s">
        <v>419</v>
      </c>
      <c r="C70" s="38" t="s">
        <v>806</v>
      </c>
      <c r="D70" s="137">
        <v>43465</v>
      </c>
      <c r="E70" s="137">
        <v>41623</v>
      </c>
      <c r="F70" s="137">
        <v>40709</v>
      </c>
      <c r="G70" s="122">
        <v>12</v>
      </c>
      <c r="H70" s="137">
        <v>45823</v>
      </c>
      <c r="I70" s="50">
        <v>183650000</v>
      </c>
      <c r="J70" s="50">
        <v>182693201.84</v>
      </c>
      <c r="K70" s="50">
        <v>956798.15999999642</v>
      </c>
      <c r="L70" s="38">
        <v>4</v>
      </c>
      <c r="M70" s="38">
        <v>2</v>
      </c>
      <c r="N70" s="38">
        <v>2</v>
      </c>
      <c r="O70" s="50">
        <v>98521201.840000004</v>
      </c>
      <c r="P70" s="218">
        <v>0.04</v>
      </c>
      <c r="Q70" s="50">
        <v>164361.37</v>
      </c>
      <c r="R70" s="50">
        <v>13082885.199394846</v>
      </c>
      <c r="S70" s="38" t="s">
        <v>12</v>
      </c>
      <c r="T70" s="51">
        <v>2.8999999999999998E-2</v>
      </c>
      <c r="U70" s="65">
        <v>0.45</v>
      </c>
      <c r="V70" s="105" t="s">
        <v>231</v>
      </c>
      <c r="W70" s="66">
        <v>7022796.2803906174</v>
      </c>
      <c r="X70" s="66">
        <v>1232524.2675139208</v>
      </c>
      <c r="Y70" s="38" t="s">
        <v>239</v>
      </c>
      <c r="Z70" s="66">
        <f t="shared" si="34"/>
        <v>1232524.2675139208</v>
      </c>
      <c r="AA70" s="67"/>
      <c r="AC70" s="41">
        <f>VLOOKUP(A70,'Input Sheet'!$A$2:$B$232,2,0)</f>
        <v>1067</v>
      </c>
      <c r="AD70" s="259">
        <f t="shared" si="35"/>
        <v>1232524.2675139208</v>
      </c>
      <c r="AI70" s="68"/>
      <c r="AL70" s="107">
        <f t="shared" ca="1" si="22"/>
        <v>0</v>
      </c>
      <c r="AM70" s="49">
        <f t="shared" ca="1" si="23"/>
        <v>45412</v>
      </c>
      <c r="AN70" s="137" t="str">
        <f t="shared" ca="1" si="9"/>
        <v xml:space="preserve"> </v>
      </c>
      <c r="AO70" s="107">
        <f t="shared" ca="1" si="10"/>
        <v>0</v>
      </c>
      <c r="AP70" s="143">
        <f t="shared" ref="AP70:AP133" ca="1" si="36">AO70*$AV$2</f>
        <v>0</v>
      </c>
      <c r="AQ70" s="143">
        <f t="shared" ca="1" si="11"/>
        <v>0</v>
      </c>
      <c r="AR70" s="49" t="str">
        <f t="shared" ref="AR70:AR133" ca="1" si="37">BU70</f>
        <v xml:space="preserve"> </v>
      </c>
      <c r="AS70" s="107">
        <f t="shared" ref="AS70:AS133" ca="1" si="38">BT70</f>
        <v>0</v>
      </c>
      <c r="AT70" s="107">
        <f t="shared" ref="AT70:AT133" ca="1" si="39">AS70*$BI$2</f>
        <v>0</v>
      </c>
      <c r="AU70" s="107"/>
      <c r="AV70" s="107">
        <f ca="1">MAX(SUM($AQ$6:AQ70)-SUM($AT$6:AT70),0)</f>
        <v>0</v>
      </c>
      <c r="AW70" s="107">
        <f t="shared" ca="1" si="24"/>
        <v>0</v>
      </c>
      <c r="AX70" s="107">
        <v>0</v>
      </c>
      <c r="AY70" s="138" t="str">
        <f t="shared" ref="AY70:AY133" ca="1" si="40">BZ70</f>
        <v xml:space="preserve"> </v>
      </c>
      <c r="AZ70" s="107">
        <f t="shared" ref="AZ70:AZ133" ca="1" si="41">BY70</f>
        <v>0</v>
      </c>
      <c r="BA70" s="107">
        <f ca="1">IF(AZ70=1,(SUM($AW$6:AW70,$AX$6:AX70)-SUM($BA$6:BA69)),0)</f>
        <v>0</v>
      </c>
      <c r="BB70" s="107"/>
      <c r="BC70" s="107">
        <f ca="1">AV70+SUM($AW$6:AW70)+SUM($AX$6:AX70)-SUM($BA$6:BA70)</f>
        <v>0</v>
      </c>
      <c r="BD70" s="107">
        <f t="shared" ca="1" si="12"/>
        <v>0</v>
      </c>
      <c r="BE70" s="51">
        <f ca="1">'PiT PD Structure'!J110</f>
        <v>4.2192337285640313E-5</v>
      </c>
      <c r="BF70" s="139">
        <f t="shared" ca="1" si="25"/>
        <v>0.45</v>
      </c>
      <c r="BG70" s="51">
        <f t="shared" ca="1" si="13"/>
        <v>1</v>
      </c>
      <c r="BH70" s="50">
        <f t="shared" ref="BH70:BH133" ca="1" si="42">IF(AL70=0,0,BC70*BE70*BF70*BG70)</f>
        <v>0</v>
      </c>
      <c r="BI70" s="50">
        <f t="shared" ca="1" si="31"/>
        <v>3.4816594052244909E-13</v>
      </c>
      <c r="BJ70" s="140">
        <v>0</v>
      </c>
      <c r="BK70" s="140">
        <v>0</v>
      </c>
      <c r="BM70" s="78"/>
      <c r="BR70" s="75">
        <f t="shared" ca="1" si="33"/>
        <v>45412</v>
      </c>
      <c r="BS70" s="74">
        <f t="shared" ca="1" si="14"/>
        <v>4</v>
      </c>
      <c r="BT70" s="74">
        <f t="shared" ca="1" si="15"/>
        <v>0</v>
      </c>
      <c r="BU70" s="73" t="str">
        <f t="shared" ca="1" si="16"/>
        <v xml:space="preserve"> </v>
      </c>
      <c r="BW70" s="75">
        <f t="shared" ca="1" si="28"/>
        <v>45412</v>
      </c>
      <c r="BX70" s="74">
        <f t="shared" ca="1" si="29"/>
        <v>4</v>
      </c>
      <c r="BY70" s="74">
        <f t="shared" ca="1" si="17"/>
        <v>0</v>
      </c>
      <c r="BZ70" s="73" t="str">
        <f t="shared" ca="1" si="18"/>
        <v xml:space="preserve"> </v>
      </c>
      <c r="CB70" s="75">
        <f t="shared" ca="1" si="30"/>
        <v>45412</v>
      </c>
      <c r="CC70" s="74">
        <f t="shared" ca="1" si="19"/>
        <v>4</v>
      </c>
      <c r="CD70" s="74">
        <f t="shared" ca="1" si="20"/>
        <v>0</v>
      </c>
      <c r="CE70" s="73" t="str">
        <f t="shared" ca="1" si="21"/>
        <v xml:space="preserve"> </v>
      </c>
    </row>
    <row r="71" spans="1:83" x14ac:dyDescent="0.2">
      <c r="A71" s="38">
        <f t="shared" si="32"/>
        <v>68</v>
      </c>
      <c r="B71" s="108" t="s">
        <v>420</v>
      </c>
      <c r="C71" s="38" t="s">
        <v>806</v>
      </c>
      <c r="D71" s="137">
        <v>43465</v>
      </c>
      <c r="E71" s="137">
        <v>42368</v>
      </c>
      <c r="F71" s="137">
        <v>40724</v>
      </c>
      <c r="G71" s="122">
        <v>15</v>
      </c>
      <c r="H71" s="137">
        <v>47664</v>
      </c>
      <c r="I71" s="50">
        <v>36730000</v>
      </c>
      <c r="J71" s="50">
        <v>26208060.809999999</v>
      </c>
      <c r="K71" s="50">
        <v>10521939.190000001</v>
      </c>
      <c r="L71" s="38">
        <v>1</v>
      </c>
      <c r="M71" s="38">
        <v>2</v>
      </c>
      <c r="N71" s="38">
        <v>2</v>
      </c>
      <c r="O71" s="50">
        <v>17637960.809999999</v>
      </c>
      <c r="P71" s="218">
        <v>0.02</v>
      </c>
      <c r="Q71" s="50">
        <v>255889.41</v>
      </c>
      <c r="R71" s="50">
        <v>3264811.4786566645</v>
      </c>
      <c r="S71" s="38" t="s">
        <v>62</v>
      </c>
      <c r="T71" s="51">
        <v>0.02</v>
      </c>
      <c r="U71" s="65">
        <v>0.45</v>
      </c>
      <c r="V71" s="105" t="s">
        <v>524</v>
      </c>
      <c r="W71" s="66">
        <v>3136381.2816323303</v>
      </c>
      <c r="X71" s="66">
        <v>322287.004133487</v>
      </c>
      <c r="Y71" s="38" t="s">
        <v>239</v>
      </c>
      <c r="Z71" s="66">
        <f t="shared" si="34"/>
        <v>322287.004133487</v>
      </c>
      <c r="AA71" s="67"/>
      <c r="AC71" s="41">
        <f>VLOOKUP(A71,'Input Sheet'!$A$2:$B$232,2,0)</f>
        <v>1068</v>
      </c>
      <c r="AD71" s="259">
        <f t="shared" si="35"/>
        <v>322287.004133487</v>
      </c>
      <c r="AI71" s="68"/>
      <c r="AL71" s="107">
        <f t="shared" ca="1" si="22"/>
        <v>0</v>
      </c>
      <c r="AM71" s="49">
        <f t="shared" ca="1" si="23"/>
        <v>45443</v>
      </c>
      <c r="AN71" s="137" t="str">
        <f t="shared" ref="AN71:AN134" ca="1" si="43">CE71</f>
        <v xml:space="preserve"> </v>
      </c>
      <c r="AO71" s="107">
        <f t="shared" ref="AO71:AO134" ca="1" si="44">IF(EOMONTH(AM71,0)=EOMONTH($AN$2,12),1,0)</f>
        <v>0</v>
      </c>
      <c r="AP71" s="143">
        <f t="shared" ca="1" si="36"/>
        <v>0</v>
      </c>
      <c r="AQ71" s="143">
        <f t="shared" ref="AQ71:AQ134" ca="1" si="45">IF(AND(AP71&gt;0,AM71&lt;=$AR$2),AQ70+AP71,0)</f>
        <v>0</v>
      </c>
      <c r="AR71" s="49" t="str">
        <f t="shared" ca="1" si="37"/>
        <v xml:space="preserve"> </v>
      </c>
      <c r="AS71" s="107">
        <f t="shared" ca="1" si="38"/>
        <v>0</v>
      </c>
      <c r="AT71" s="107">
        <f t="shared" ca="1" si="39"/>
        <v>0</v>
      </c>
      <c r="AU71" s="107"/>
      <c r="AV71" s="107">
        <f ca="1">MAX(SUM($AQ$6:AQ71)-SUM($AT$6:AT71),0)</f>
        <v>0</v>
      </c>
      <c r="AW71" s="107">
        <f t="shared" ca="1" si="24"/>
        <v>0</v>
      </c>
      <c r="AX71" s="107">
        <v>0</v>
      </c>
      <c r="AY71" s="138" t="str">
        <f t="shared" ca="1" si="40"/>
        <v xml:space="preserve"> </v>
      </c>
      <c r="AZ71" s="107">
        <f t="shared" ca="1" si="41"/>
        <v>0</v>
      </c>
      <c r="BA71" s="107">
        <f ca="1">IF(AZ71=1,(SUM($AW$6:AW71,$AX$6:AX71)-SUM($BA$6:BA70)),0)</f>
        <v>0</v>
      </c>
      <c r="BB71" s="107"/>
      <c r="BC71" s="107">
        <f ca="1">AV71+SUM($AW$6:AW71)+SUM($AX$6:AX71)-SUM($BA$6:BA71)</f>
        <v>0</v>
      </c>
      <c r="BD71" s="107">
        <f t="shared" ref="BD71:BD134" ca="1" si="46">IF(AL71&gt;0,AM71-AM70,0)</f>
        <v>0</v>
      </c>
      <c r="BE71" s="51">
        <f ca="1">'PiT PD Structure'!J111</f>
        <v>4.2190549270237909E-5</v>
      </c>
      <c r="BF71" s="139">
        <f t="shared" ca="1" si="25"/>
        <v>0.45</v>
      </c>
      <c r="BG71" s="51">
        <f t="shared" ref="BG71:BG134" ca="1" si="47">1/(1+$BE$2)^(BD71/360)</f>
        <v>1</v>
      </c>
      <c r="BH71" s="50">
        <f t="shared" ca="1" si="42"/>
        <v>0</v>
      </c>
      <c r="BI71" s="50">
        <f t="shared" ca="1" si="31"/>
        <v>3.4816594052244909E-13</v>
      </c>
      <c r="BJ71" s="140">
        <v>0</v>
      </c>
      <c r="BK71" s="140">
        <v>0</v>
      </c>
      <c r="BM71" s="78"/>
      <c r="BR71" s="75">
        <f t="shared" ca="1" si="33"/>
        <v>45443</v>
      </c>
      <c r="BS71" s="74">
        <f t="shared" ref="BS71:BS134" ca="1" si="48">MONTH(BR71)</f>
        <v>5</v>
      </c>
      <c r="BT71" s="74">
        <f t="shared" ref="BT71:BT134" ca="1" si="49">IF(EOMONTH(BR71,0)&gt;EOMONTH($AR$2,0),0,IF(EOMONTH(BR71,0)&gt;=EOMONTH($AO$2,0),(IF($BS$3=1,IF(MONTH($AO$2)=BS71,1,0),IF($BS$3=2,IF(OR(MONTH($AO$2)=BS71,MONTH($AO$2)+6=BS71,MONTH($AO$2)-6=BS71),1,0),IF($BS$3=4,IF(OR(MONTH($AO$2)=BS71,MONTH($AO$2)+3=BS71,MONTH($AO$2)+6=BS71,MONTH($AO$2)+9=BS71,MONTH($AO$2)-9=BS71,MONTH($AO$2)-3=BS71,MONTH($AO$2)-6=BS71),1,0),IF($BS$3=6,IF(OR(MONTH($AO$2)=BS71,MONTH($AO$2)+2=BS71,MONTH($AO$2)+4=BS71,MONTH($AO$2)+6=BS71,MONTH($AO$2)+8=BS71,MONTH($AO$2)+10=BS71,MONTH($AO$2)-2=BS71,MONTH($AO$2)-4=BS71,MONTH($AO$2)-6=BS71,MONTH($AO$2)-8=BS71,MONTH($AO$2)-10=BS71),1,0),IF($BS$3=12,1,IF(AND($BS$3=0,EOMONTH(BR71,0)=EOMONTH($AR$2,0)),1,0))))))),0))</f>
        <v>0</v>
      </c>
      <c r="BU71" s="73" t="str">
        <f t="shared" ref="BU71:BU134" ca="1" si="50">IF(BT71=1,BR71," ")</f>
        <v xml:space="preserve"> </v>
      </c>
      <c r="BW71" s="75">
        <f t="shared" ca="1" si="28"/>
        <v>45443</v>
      </c>
      <c r="BX71" s="74">
        <f t="shared" ca="1" si="29"/>
        <v>5</v>
      </c>
      <c r="BY71" s="74">
        <f t="shared" ref="BY71:BY134" ca="1" si="51">IF(EOMONTH(BW71,0)&gt;EOMONTH($AR$2,0),0,IF(EOMONTH(BW71,0)&gt;=EOMONTH($AP$2,0),(IF($BX$3=1,IF(MONTH($AP$2)=BX71,1,0),IF($BX$3=2,IF(OR(MONTH($AP$2)=BX71,MONTH($AP$2)+6=BX71,MONTH($AP$2)-6=BX71),1,0),IF($BX$3=4,IF(OR(MONTH($AP$2)=BX71,MONTH($AP$2)+3=BX71,MONTH($AP$2)+6=BX71,MONTH($AP$2)+9=BX71,MONTH($AP$2)-9=BX71,MONTH($AP$2)-3=BX71,MONTH($AP$2)-6=BX71),1,0),IF($BX$3=6,IF(OR(MONTH($AP$2)=BX71,MONTH($AP$2)+2=BX71,MONTH($AP$2)+4=BX71,MONTH($AP$2)+6=BX71,MONTH($AP$2)+8=BX71,MONTH($AP$2)+10=BX71,MONTH($AP$2)-2=BX71,MONTH($AP$2)-4=BX71,MONTH($AP$2)-6=BX71,MONTH($AP$2)-8=BX71,MONTH($AP$2)-10=BX71),1,0),IF($BX$3=12,1,IF(AND($BX$3=0,EOMONTH(BW71,0)=EOMONTH($AR$2,0)),1,0))))))),0))</f>
        <v>0</v>
      </c>
      <c r="BZ71" s="73" t="str">
        <f t="shared" ref="BZ71:BZ134" ca="1" si="52">IF(BY71=1,BW71," ")</f>
        <v xml:space="preserve"> </v>
      </c>
      <c r="CB71" s="75">
        <f t="shared" ca="1" si="30"/>
        <v>45443</v>
      </c>
      <c r="CC71" s="74">
        <f t="shared" ref="CC71:CC134" ca="1" si="53">MONTH(CB71)</f>
        <v>5</v>
      </c>
      <c r="CD71" s="74">
        <f t="shared" ref="CD71:CD134" ca="1" si="54">IF(EOMONTH(CB71,0)&gt;EOMONTH($AR$2,0),0,IF(EOMONTH(BR71,0)&gt;=EOMONTH($AO$2,0),IF($CC$3=1,IF(MONTH($AO$2)=CC71,1,0),IF($CC$3=2,IF(OR(MONTH($AO$2)=CC71,MONTH($AO$2)+6=CC71),1,0),IF($CC$3=4,IF(OR(MONTH($AO$2)=CC71,MONTH($AO$2)+3=CC71,MONTH($AO$2)+6=CC71,MONTH($AO$2)+9=CC71,MONTH($AO$2)-9=CC71,MONTH($AO$2)-3=CC71,MONTH($AO$2)-6=CC71),1,0),IF($CC$3=6,IF(OR(MONTH($AO$2)=CC71,MONTH($AO$2)+2=CC71,MONTH($AO$2)+4=CC71,MONTH($AO$2)+6=CC71,MONTH($AO$2)+8=CC71,MONTH($AO$2)+10=CC71,MONTH($AO$2)-2=CC71,MONTH($AO$2)-4=CC71,MONTH($AO$2)-6=CC71,MONTH($AO$2)-8=CC71,MONTH($AO$2)-10=CC71),1,0),IF($CC$3=12,1,IF(AND($CC$3=0,EOMONTH(CB71,0)=EOMONTH($AR$2,0)),1,0)))))),0))</f>
        <v>0</v>
      </c>
      <c r="CE71" s="73" t="str">
        <f t="shared" ref="CE71:CE134" ca="1" si="55">IF(CD71=1,CB71," ")</f>
        <v xml:space="preserve"> </v>
      </c>
    </row>
    <row r="72" spans="1:83" x14ac:dyDescent="0.2">
      <c r="A72" s="38">
        <f t="shared" si="32"/>
        <v>69</v>
      </c>
      <c r="B72" s="108" t="s">
        <v>421</v>
      </c>
      <c r="C72" s="38" t="s">
        <v>806</v>
      </c>
      <c r="D72" s="137">
        <v>43465</v>
      </c>
      <c r="E72" s="137">
        <v>42475</v>
      </c>
      <c r="F72" s="137">
        <v>40648</v>
      </c>
      <c r="G72" s="122">
        <v>15</v>
      </c>
      <c r="H72" s="137">
        <v>47771</v>
      </c>
      <c r="I72" s="50">
        <v>36730000</v>
      </c>
      <c r="J72" s="50">
        <v>36717872.960000001</v>
      </c>
      <c r="K72" s="50">
        <v>12127.039999999106</v>
      </c>
      <c r="L72" s="38">
        <v>1</v>
      </c>
      <c r="M72" s="38">
        <v>2</v>
      </c>
      <c r="N72" s="38">
        <v>2</v>
      </c>
      <c r="O72" s="50">
        <v>29374190.57</v>
      </c>
      <c r="P72" s="218">
        <v>0.02</v>
      </c>
      <c r="Q72" s="50">
        <v>123327.76</v>
      </c>
      <c r="R72" s="50">
        <v>3601117.8678639573</v>
      </c>
      <c r="S72" s="38" t="s">
        <v>62</v>
      </c>
      <c r="T72" s="51">
        <v>2.5000000000000001E-2</v>
      </c>
      <c r="U72" s="65">
        <v>0.45</v>
      </c>
      <c r="V72" s="105" t="s">
        <v>490</v>
      </c>
      <c r="W72" s="66">
        <v>3582712.4638179671</v>
      </c>
      <c r="X72" s="66">
        <v>355786.56937905628</v>
      </c>
      <c r="Y72" s="38" t="s">
        <v>239</v>
      </c>
      <c r="Z72" s="66">
        <f t="shared" si="34"/>
        <v>355786.56937905628</v>
      </c>
      <c r="AA72" s="67"/>
      <c r="AC72" s="41">
        <f>VLOOKUP(A72,'Input Sheet'!$A$2:$B$232,2,0)</f>
        <v>1069</v>
      </c>
      <c r="AD72" s="259">
        <f t="shared" si="35"/>
        <v>355786.56937905628</v>
      </c>
      <c r="AI72" s="68"/>
      <c r="AL72" s="107">
        <f t="shared" ref="AL72:AL135" ca="1" si="56">IF(AM72&lt;=$AR$2,AL71+1,0)</f>
        <v>0</v>
      </c>
      <c r="AM72" s="49">
        <f t="shared" ref="AM72:AM135" ca="1" si="57">EOMONTH(AM71,1)</f>
        <v>45473</v>
      </c>
      <c r="AN72" s="137" t="str">
        <f t="shared" ca="1" si="43"/>
        <v xml:space="preserve"> </v>
      </c>
      <c r="AO72" s="107">
        <f t="shared" ca="1" si="44"/>
        <v>0</v>
      </c>
      <c r="AP72" s="143">
        <f t="shared" ca="1" si="36"/>
        <v>0</v>
      </c>
      <c r="AQ72" s="143">
        <f t="shared" ca="1" si="45"/>
        <v>0</v>
      </c>
      <c r="AR72" s="49" t="str">
        <f t="shared" ca="1" si="37"/>
        <v xml:space="preserve"> </v>
      </c>
      <c r="AS72" s="107">
        <f t="shared" ca="1" si="38"/>
        <v>0</v>
      </c>
      <c r="AT72" s="107">
        <f t="shared" ca="1" si="39"/>
        <v>0</v>
      </c>
      <c r="AU72" s="107"/>
      <c r="AV72" s="107">
        <f ca="1">MAX(SUM($AQ$6:AQ72)-SUM($AT$6:AT72),0)</f>
        <v>0</v>
      </c>
      <c r="AW72" s="107">
        <f t="shared" ref="AW72:AW135" ca="1" si="58">IFERROR(IF(AND(AV71&gt;0,AM72&lt;=$AR$2),(AV71*($AZ$2*(DATEDIF(AM72,$AR$2,"d")/365)))/(DATEDIF(AM72,$AR$2,"m")),0),0)</f>
        <v>0</v>
      </c>
      <c r="AX72" s="107">
        <v>0</v>
      </c>
      <c r="AY72" s="138" t="str">
        <f t="shared" ca="1" si="40"/>
        <v xml:space="preserve"> </v>
      </c>
      <c r="AZ72" s="107">
        <f t="shared" ca="1" si="41"/>
        <v>0</v>
      </c>
      <c r="BA72" s="107">
        <f ca="1">IF(AZ72=1,(SUM($AW$6:AW72,$AX$6:AX72)-SUM($BA$6:BA71)),0)</f>
        <v>0</v>
      </c>
      <c r="BB72" s="107"/>
      <c r="BC72" s="107">
        <f ca="1">AV72+SUM($AW$6:AW72)+SUM($AX$6:AX72)-SUM($BA$6:BA72)</f>
        <v>0</v>
      </c>
      <c r="BD72" s="107">
        <f t="shared" ca="1" si="46"/>
        <v>0</v>
      </c>
      <c r="BE72" s="51">
        <f ca="1">'PiT PD Structure'!J112</f>
        <v>4.2188761330885782E-5</v>
      </c>
      <c r="BF72" s="139">
        <f t="shared" ref="BF72:BF135" ca="1" si="59">BF71</f>
        <v>0.45</v>
      </c>
      <c r="BG72" s="51">
        <f t="shared" ca="1" si="47"/>
        <v>1</v>
      </c>
      <c r="BH72" s="50">
        <f t="shared" ca="1" si="42"/>
        <v>0</v>
      </c>
      <c r="BI72" s="50">
        <f t="shared" ca="1" si="31"/>
        <v>3.4816594052244909E-13</v>
      </c>
      <c r="BJ72" s="140">
        <v>0</v>
      </c>
      <c r="BK72" s="140">
        <v>0</v>
      </c>
      <c r="BM72" s="78"/>
      <c r="BR72" s="75">
        <f t="shared" ca="1" si="33"/>
        <v>45473</v>
      </c>
      <c r="BS72" s="74">
        <f t="shared" ca="1" si="48"/>
        <v>6</v>
      </c>
      <c r="BT72" s="74">
        <f t="shared" ca="1" si="49"/>
        <v>0</v>
      </c>
      <c r="BU72" s="73" t="str">
        <f t="shared" ca="1" si="50"/>
        <v xml:space="preserve"> </v>
      </c>
      <c r="BW72" s="75">
        <f t="shared" ref="BW72:BW135" ca="1" si="60">EOMONTH(BR71,1)</f>
        <v>45473</v>
      </c>
      <c r="BX72" s="74">
        <f t="shared" ref="BX72:BX135" ca="1" si="61">MONTH(BR72)</f>
        <v>6</v>
      </c>
      <c r="BY72" s="74">
        <f t="shared" ca="1" si="51"/>
        <v>0</v>
      </c>
      <c r="BZ72" s="73" t="str">
        <f t="shared" ca="1" si="52"/>
        <v xml:space="preserve"> </v>
      </c>
      <c r="CB72" s="75">
        <f t="shared" ref="CB72:CB135" ca="1" si="62">EOMONTH(CB71,1)</f>
        <v>45473</v>
      </c>
      <c r="CC72" s="74">
        <f t="shared" ca="1" si="53"/>
        <v>6</v>
      </c>
      <c r="CD72" s="74">
        <f t="shared" ca="1" si="54"/>
        <v>0</v>
      </c>
      <c r="CE72" s="73" t="str">
        <f t="shared" ca="1" si="55"/>
        <v xml:space="preserve"> </v>
      </c>
    </row>
    <row r="73" spans="1:83" x14ac:dyDescent="0.2">
      <c r="A73" s="38">
        <f t="shared" si="32"/>
        <v>70</v>
      </c>
      <c r="B73" s="108" t="s">
        <v>422</v>
      </c>
      <c r="C73" s="38" t="s">
        <v>806</v>
      </c>
      <c r="D73" s="137">
        <v>43465</v>
      </c>
      <c r="E73" s="137">
        <v>42750</v>
      </c>
      <c r="F73" s="137">
        <v>40862</v>
      </c>
      <c r="G73" s="122">
        <v>15</v>
      </c>
      <c r="H73" s="137">
        <v>47072</v>
      </c>
      <c r="I73" s="50">
        <v>44340000</v>
      </c>
      <c r="J73" s="50">
        <v>39138281.640000001</v>
      </c>
      <c r="K73" s="50">
        <v>5201718.3599999994</v>
      </c>
      <c r="L73" s="38">
        <v>12</v>
      </c>
      <c r="M73" s="38">
        <v>2</v>
      </c>
      <c r="N73" s="38">
        <v>2</v>
      </c>
      <c r="O73" s="50">
        <v>33226281.640000001</v>
      </c>
      <c r="P73" s="218">
        <v>0</v>
      </c>
      <c r="Q73" s="50">
        <v>0</v>
      </c>
      <c r="R73" s="50">
        <v>0</v>
      </c>
      <c r="S73" s="38" t="s">
        <v>12</v>
      </c>
      <c r="T73" s="51">
        <v>3.6111111111111115E-2</v>
      </c>
      <c r="U73" s="65">
        <v>0.45</v>
      </c>
      <c r="V73" s="105" t="s">
        <v>19</v>
      </c>
      <c r="W73" s="66">
        <v>4216523.0141341425</v>
      </c>
      <c r="X73" s="66">
        <v>490627.92607257469</v>
      </c>
      <c r="Y73" s="38" t="s">
        <v>237</v>
      </c>
      <c r="Z73" s="66">
        <f t="shared" si="34"/>
        <v>4216523.0141341425</v>
      </c>
      <c r="AA73" s="67"/>
      <c r="AC73" s="41">
        <f>VLOOKUP(A73,'Input Sheet'!$A$2:$B$232,2,0)</f>
        <v>1070</v>
      </c>
      <c r="AD73" s="259">
        <f t="shared" si="35"/>
        <v>4216523.0141341425</v>
      </c>
      <c r="AI73" s="68"/>
      <c r="AL73" s="107">
        <f t="shared" ca="1" si="56"/>
        <v>0</v>
      </c>
      <c r="AM73" s="49">
        <f t="shared" ca="1" si="57"/>
        <v>45504</v>
      </c>
      <c r="AN73" s="137" t="str">
        <f t="shared" ca="1" si="43"/>
        <v xml:space="preserve"> </v>
      </c>
      <c r="AO73" s="107">
        <f t="shared" ca="1" si="44"/>
        <v>0</v>
      </c>
      <c r="AP73" s="143">
        <f t="shared" ca="1" si="36"/>
        <v>0</v>
      </c>
      <c r="AQ73" s="143">
        <f t="shared" ca="1" si="45"/>
        <v>0</v>
      </c>
      <c r="AR73" s="49" t="str">
        <f t="shared" ca="1" si="37"/>
        <v xml:space="preserve"> </v>
      </c>
      <c r="AS73" s="107">
        <f t="shared" ca="1" si="38"/>
        <v>0</v>
      </c>
      <c r="AT73" s="107">
        <f t="shared" ca="1" si="39"/>
        <v>0</v>
      </c>
      <c r="AU73" s="107"/>
      <c r="AV73" s="107">
        <f ca="1">MAX(SUM($AQ$6:AQ73)-SUM($AT$6:AT73),0)</f>
        <v>0</v>
      </c>
      <c r="AW73" s="107">
        <f t="shared" ca="1" si="58"/>
        <v>0</v>
      </c>
      <c r="AX73" s="107">
        <v>0</v>
      </c>
      <c r="AY73" s="138" t="str">
        <f t="shared" ca="1" si="40"/>
        <v xml:space="preserve"> </v>
      </c>
      <c r="AZ73" s="107">
        <f t="shared" ca="1" si="41"/>
        <v>0</v>
      </c>
      <c r="BA73" s="107">
        <f ca="1">IF(AZ73=1,(SUM($AW$6:AW73,$AX$6:AX73)-SUM($BA$6:BA72)),0)</f>
        <v>0</v>
      </c>
      <c r="BB73" s="107"/>
      <c r="BC73" s="107">
        <f ca="1">AV73+SUM($AW$6:AW73)+SUM($AX$6:AX73)-SUM($BA$6:BA73)</f>
        <v>0</v>
      </c>
      <c r="BD73" s="107">
        <f t="shared" ca="1" si="46"/>
        <v>0</v>
      </c>
      <c r="BE73" s="51">
        <f ca="1">'PiT PD Structure'!J113</f>
        <v>4.2186973467028821E-5</v>
      </c>
      <c r="BF73" s="139">
        <f t="shared" ca="1" si="59"/>
        <v>0.45</v>
      </c>
      <c r="BG73" s="51">
        <f t="shared" ca="1" si="47"/>
        <v>1</v>
      </c>
      <c r="BH73" s="50">
        <f t="shared" ca="1" si="42"/>
        <v>0</v>
      </c>
      <c r="BI73" s="50">
        <f t="shared" ref="BI73:BI136" ca="1" si="63">BI72-BH72</f>
        <v>3.4816594052244909E-13</v>
      </c>
      <c r="BJ73" s="140">
        <v>0</v>
      </c>
      <c r="BK73" s="140">
        <v>0</v>
      </c>
      <c r="BM73" s="78"/>
      <c r="BR73" s="75">
        <f t="shared" ca="1" si="33"/>
        <v>45504</v>
      </c>
      <c r="BS73" s="74">
        <f t="shared" ca="1" si="48"/>
        <v>7</v>
      </c>
      <c r="BT73" s="74">
        <f t="shared" ca="1" si="49"/>
        <v>0</v>
      </c>
      <c r="BU73" s="73" t="str">
        <f t="shared" ca="1" si="50"/>
        <v xml:space="preserve"> </v>
      </c>
      <c r="BW73" s="75">
        <f t="shared" ca="1" si="60"/>
        <v>45504</v>
      </c>
      <c r="BX73" s="74">
        <f t="shared" ca="1" si="61"/>
        <v>7</v>
      </c>
      <c r="BY73" s="74">
        <f t="shared" ca="1" si="51"/>
        <v>0</v>
      </c>
      <c r="BZ73" s="73" t="str">
        <f t="shared" ca="1" si="52"/>
        <v xml:space="preserve"> </v>
      </c>
      <c r="CB73" s="75">
        <f t="shared" ca="1" si="62"/>
        <v>45504</v>
      </c>
      <c r="CC73" s="74">
        <f t="shared" ca="1" si="53"/>
        <v>7</v>
      </c>
      <c r="CD73" s="74">
        <f t="shared" ca="1" si="54"/>
        <v>0</v>
      </c>
      <c r="CE73" s="73" t="str">
        <f t="shared" ca="1" si="55"/>
        <v xml:space="preserve"> </v>
      </c>
    </row>
    <row r="74" spans="1:83" x14ac:dyDescent="0.2">
      <c r="A74" s="38">
        <f t="shared" ref="A74:A137" si="64">IF(B74=0," ",A73+1)</f>
        <v>71</v>
      </c>
      <c r="B74" s="108" t="s">
        <v>423</v>
      </c>
      <c r="C74" s="38" t="s">
        <v>806</v>
      </c>
      <c r="D74" s="137">
        <v>43465</v>
      </c>
      <c r="E74" s="137">
        <v>41713</v>
      </c>
      <c r="F74" s="137">
        <v>40801</v>
      </c>
      <c r="G74" s="122">
        <v>12</v>
      </c>
      <c r="H74" s="137">
        <v>45915</v>
      </c>
      <c r="I74" s="50">
        <v>222618082.16</v>
      </c>
      <c r="J74" s="50">
        <v>222618082.16</v>
      </c>
      <c r="K74" s="50">
        <v>0</v>
      </c>
      <c r="L74" s="38">
        <v>1</v>
      </c>
      <c r="M74" s="38">
        <v>2</v>
      </c>
      <c r="N74" s="38">
        <v>2</v>
      </c>
      <c r="O74" s="50">
        <v>129702082.16</v>
      </c>
      <c r="P74" s="218">
        <v>0.06</v>
      </c>
      <c r="Q74" s="50">
        <v>1755535.47</v>
      </c>
      <c r="R74" s="50">
        <v>27563260.891765844</v>
      </c>
      <c r="S74" s="38" t="s">
        <v>58</v>
      </c>
      <c r="T74" s="51">
        <v>4.2500000000000003E-2</v>
      </c>
      <c r="U74" s="65">
        <v>0.45</v>
      </c>
      <c r="V74" s="105" t="s">
        <v>519</v>
      </c>
      <c r="W74" s="66">
        <v>2905820.6351291444</v>
      </c>
      <c r="X74" s="66">
        <v>294245.40776355832</v>
      </c>
      <c r="Y74" s="38" t="s">
        <v>237</v>
      </c>
      <c r="Z74" s="66">
        <f t="shared" si="34"/>
        <v>2905820.6351291444</v>
      </c>
      <c r="AA74" s="67"/>
      <c r="AC74" s="41">
        <f>VLOOKUP(A74,'Input Sheet'!$A$2:$B$232,2,0)</f>
        <v>1071</v>
      </c>
      <c r="AD74" s="259">
        <f t="shared" si="35"/>
        <v>2905820.6351291444</v>
      </c>
      <c r="AI74" s="68"/>
      <c r="AL74" s="107">
        <f t="shared" ca="1" si="56"/>
        <v>0</v>
      </c>
      <c r="AM74" s="49">
        <f t="shared" ca="1" si="57"/>
        <v>45535</v>
      </c>
      <c r="AN74" s="137" t="str">
        <f t="shared" ca="1" si="43"/>
        <v xml:space="preserve"> </v>
      </c>
      <c r="AO74" s="107">
        <f t="shared" ca="1" si="44"/>
        <v>0</v>
      </c>
      <c r="AP74" s="143">
        <f t="shared" ca="1" si="36"/>
        <v>0</v>
      </c>
      <c r="AQ74" s="143">
        <f t="shared" ca="1" si="45"/>
        <v>0</v>
      </c>
      <c r="AR74" s="49" t="str">
        <f t="shared" ca="1" si="37"/>
        <v xml:space="preserve"> </v>
      </c>
      <c r="AS74" s="107">
        <f t="shared" ca="1" si="38"/>
        <v>0</v>
      </c>
      <c r="AT74" s="107">
        <f t="shared" ca="1" si="39"/>
        <v>0</v>
      </c>
      <c r="AU74" s="107"/>
      <c r="AV74" s="107">
        <f ca="1">MAX(SUM($AQ$6:AQ74)-SUM($AT$6:AT74),0)</f>
        <v>0</v>
      </c>
      <c r="AW74" s="107">
        <f t="shared" ca="1" si="58"/>
        <v>0</v>
      </c>
      <c r="AX74" s="107">
        <v>0</v>
      </c>
      <c r="AY74" s="138" t="str">
        <f t="shared" ca="1" si="40"/>
        <v xml:space="preserve"> </v>
      </c>
      <c r="AZ74" s="107">
        <f t="shared" ca="1" si="41"/>
        <v>0</v>
      </c>
      <c r="BA74" s="107">
        <f ca="1">IF(AZ74=1,(SUM($AW$6:AW74,$AX$6:AX74)-SUM($BA$6:BA73)),0)</f>
        <v>0</v>
      </c>
      <c r="BB74" s="107"/>
      <c r="BC74" s="107">
        <f ca="1">AV74+SUM($AW$6:AW74)+SUM($AX$6:AX74)-SUM($BA$6:BA74)</f>
        <v>0</v>
      </c>
      <c r="BD74" s="107">
        <f t="shared" ca="1" si="46"/>
        <v>0</v>
      </c>
      <c r="BE74" s="51">
        <f ca="1">'PiT PD Structure'!J114</f>
        <v>4.2185185679111115E-5</v>
      </c>
      <c r="BF74" s="139">
        <f t="shared" ca="1" si="59"/>
        <v>0.45</v>
      </c>
      <c r="BG74" s="51">
        <f t="shared" ca="1" si="47"/>
        <v>1</v>
      </c>
      <c r="BH74" s="50">
        <f t="shared" ca="1" si="42"/>
        <v>0</v>
      </c>
      <c r="BI74" s="50">
        <f t="shared" ca="1" si="63"/>
        <v>3.4816594052244909E-13</v>
      </c>
      <c r="BJ74" s="140">
        <v>0</v>
      </c>
      <c r="BK74" s="140">
        <v>0</v>
      </c>
      <c r="BM74" s="78"/>
      <c r="BR74" s="75">
        <f t="shared" ca="1" si="33"/>
        <v>45535</v>
      </c>
      <c r="BS74" s="74">
        <f t="shared" ca="1" si="48"/>
        <v>8</v>
      </c>
      <c r="BT74" s="74">
        <f t="shared" ca="1" si="49"/>
        <v>0</v>
      </c>
      <c r="BU74" s="73" t="str">
        <f t="shared" ca="1" si="50"/>
        <v xml:space="preserve"> </v>
      </c>
      <c r="BW74" s="75">
        <f t="shared" ca="1" si="60"/>
        <v>45535</v>
      </c>
      <c r="BX74" s="74">
        <f t="shared" ca="1" si="61"/>
        <v>8</v>
      </c>
      <c r="BY74" s="74">
        <f t="shared" ca="1" si="51"/>
        <v>0</v>
      </c>
      <c r="BZ74" s="73" t="str">
        <f t="shared" ca="1" si="52"/>
        <v xml:space="preserve"> </v>
      </c>
      <c r="CB74" s="75">
        <f t="shared" ca="1" si="62"/>
        <v>45535</v>
      </c>
      <c r="CC74" s="74">
        <f t="shared" ca="1" si="53"/>
        <v>8</v>
      </c>
      <c r="CD74" s="74">
        <f t="shared" ca="1" si="54"/>
        <v>0</v>
      </c>
      <c r="CE74" s="73" t="str">
        <f t="shared" ca="1" si="55"/>
        <v xml:space="preserve"> </v>
      </c>
    </row>
    <row r="75" spans="1:83" x14ac:dyDescent="0.2">
      <c r="A75" s="38">
        <f t="shared" si="64"/>
        <v>72</v>
      </c>
      <c r="B75" s="108" t="s">
        <v>424</v>
      </c>
      <c r="C75" s="38" t="s">
        <v>806</v>
      </c>
      <c r="D75" s="137">
        <v>43465</v>
      </c>
      <c r="E75" s="137">
        <v>42597</v>
      </c>
      <c r="F75" s="137">
        <v>40954</v>
      </c>
      <c r="G75" s="122">
        <v>15</v>
      </c>
      <c r="H75" s="137">
        <v>47894</v>
      </c>
      <c r="I75" s="50">
        <v>115300000</v>
      </c>
      <c r="J75" s="50">
        <v>108699856.23999999</v>
      </c>
      <c r="K75" s="50">
        <v>6600143.7600000054</v>
      </c>
      <c r="L75" s="38">
        <v>4</v>
      </c>
      <c r="M75" s="38">
        <v>2</v>
      </c>
      <c r="N75" s="38">
        <v>2</v>
      </c>
      <c r="O75" s="50">
        <v>89484856.239999995</v>
      </c>
      <c r="P75" s="218">
        <v>0.02</v>
      </c>
      <c r="Q75" s="50">
        <v>660262.1</v>
      </c>
      <c r="R75" s="50">
        <v>11941214.478563817</v>
      </c>
      <c r="S75" s="38" t="s">
        <v>60</v>
      </c>
      <c r="T75" s="51">
        <v>3.3333333333333333E-2</v>
      </c>
      <c r="U75" s="65">
        <v>0.45</v>
      </c>
      <c r="V75" s="105" t="s">
        <v>482</v>
      </c>
      <c r="W75" s="66">
        <v>4563344.4981399439</v>
      </c>
      <c r="X75" s="66">
        <v>210354.00900733098</v>
      </c>
      <c r="Y75" s="38" t="s">
        <v>239</v>
      </c>
      <c r="Z75" s="66">
        <f t="shared" si="34"/>
        <v>210354.00900733098</v>
      </c>
      <c r="AA75" s="67"/>
      <c r="AC75" s="41">
        <f>VLOOKUP(A75,'Input Sheet'!$A$2:$B$232,2,0)</f>
        <v>1072</v>
      </c>
      <c r="AD75" s="259">
        <f t="shared" si="35"/>
        <v>210354.00900733098</v>
      </c>
      <c r="AI75" s="68"/>
      <c r="AL75" s="107">
        <f t="shared" ca="1" si="56"/>
        <v>0</v>
      </c>
      <c r="AM75" s="49">
        <f t="shared" ca="1" si="57"/>
        <v>45565</v>
      </c>
      <c r="AN75" s="137" t="str">
        <f t="shared" ca="1" si="43"/>
        <v xml:space="preserve"> </v>
      </c>
      <c r="AO75" s="107">
        <f t="shared" ca="1" si="44"/>
        <v>0</v>
      </c>
      <c r="AP75" s="143">
        <f t="shared" ca="1" si="36"/>
        <v>0</v>
      </c>
      <c r="AQ75" s="143">
        <f t="shared" ca="1" si="45"/>
        <v>0</v>
      </c>
      <c r="AR75" s="49" t="str">
        <f t="shared" ca="1" si="37"/>
        <v xml:space="preserve"> </v>
      </c>
      <c r="AS75" s="107">
        <f t="shared" ca="1" si="38"/>
        <v>0</v>
      </c>
      <c r="AT75" s="107">
        <f t="shared" ca="1" si="39"/>
        <v>0</v>
      </c>
      <c r="AU75" s="107"/>
      <c r="AV75" s="107">
        <f ca="1">MAX(SUM($AQ$6:AQ75)-SUM($AT$6:AT75),0)</f>
        <v>0</v>
      </c>
      <c r="AW75" s="107">
        <f t="shared" ca="1" si="58"/>
        <v>0</v>
      </c>
      <c r="AX75" s="107">
        <v>0</v>
      </c>
      <c r="AY75" s="138" t="str">
        <f t="shared" ca="1" si="40"/>
        <v xml:space="preserve"> </v>
      </c>
      <c r="AZ75" s="107">
        <f t="shared" ca="1" si="41"/>
        <v>0</v>
      </c>
      <c r="BA75" s="107">
        <f ca="1">IF(AZ75=1,(SUM($AW$6:AW75,$AX$6:AX75)-SUM($BA$6:BA74)),0)</f>
        <v>0</v>
      </c>
      <c r="BB75" s="107"/>
      <c r="BC75" s="107">
        <f ca="1">AV75+SUM($AW$6:AW75)+SUM($AX$6:AX75)-SUM($BA$6:BA75)</f>
        <v>0</v>
      </c>
      <c r="BD75" s="107">
        <f t="shared" ca="1" si="46"/>
        <v>0</v>
      </c>
      <c r="BE75" s="51">
        <f ca="1">'PiT PD Structure'!J115</f>
        <v>4.2183397966688574E-5</v>
      </c>
      <c r="BF75" s="139">
        <f t="shared" ca="1" si="59"/>
        <v>0.45</v>
      </c>
      <c r="BG75" s="51">
        <f t="shared" ca="1" si="47"/>
        <v>1</v>
      </c>
      <c r="BH75" s="50">
        <f t="shared" ca="1" si="42"/>
        <v>0</v>
      </c>
      <c r="BI75" s="50">
        <f t="shared" ca="1" si="63"/>
        <v>3.4816594052244909E-13</v>
      </c>
      <c r="BJ75" s="140">
        <v>0</v>
      </c>
      <c r="BK75" s="140">
        <v>0</v>
      </c>
      <c r="BM75" s="78"/>
      <c r="BR75" s="75">
        <f t="shared" ca="1" si="33"/>
        <v>45565</v>
      </c>
      <c r="BS75" s="74">
        <f t="shared" ca="1" si="48"/>
        <v>9</v>
      </c>
      <c r="BT75" s="74">
        <f t="shared" ca="1" si="49"/>
        <v>0</v>
      </c>
      <c r="BU75" s="73" t="str">
        <f t="shared" ca="1" si="50"/>
        <v xml:space="preserve"> </v>
      </c>
      <c r="BW75" s="75">
        <f t="shared" ca="1" si="60"/>
        <v>45565</v>
      </c>
      <c r="BX75" s="74">
        <f t="shared" ca="1" si="61"/>
        <v>9</v>
      </c>
      <c r="BY75" s="74">
        <f t="shared" ca="1" si="51"/>
        <v>0</v>
      </c>
      <c r="BZ75" s="73" t="str">
        <f t="shared" ca="1" si="52"/>
        <v xml:space="preserve"> </v>
      </c>
      <c r="CB75" s="75">
        <f t="shared" ca="1" si="62"/>
        <v>45565</v>
      </c>
      <c r="CC75" s="74">
        <f t="shared" ca="1" si="53"/>
        <v>9</v>
      </c>
      <c r="CD75" s="74">
        <f t="shared" ca="1" si="54"/>
        <v>0</v>
      </c>
      <c r="CE75" s="73" t="str">
        <f t="shared" ca="1" si="55"/>
        <v xml:space="preserve"> </v>
      </c>
    </row>
    <row r="76" spans="1:83" x14ac:dyDescent="0.2">
      <c r="A76" s="38">
        <f t="shared" si="64"/>
        <v>73</v>
      </c>
      <c r="B76" s="108" t="s">
        <v>426</v>
      </c>
      <c r="C76" s="38" t="s">
        <v>806</v>
      </c>
      <c r="D76" s="137">
        <v>43465</v>
      </c>
      <c r="E76" s="137">
        <v>41912</v>
      </c>
      <c r="F76" s="137">
        <v>40998</v>
      </c>
      <c r="G76" s="122">
        <v>12</v>
      </c>
      <c r="H76" s="137">
        <v>46111</v>
      </c>
      <c r="I76" s="50">
        <v>183650000</v>
      </c>
      <c r="J76" s="50">
        <v>183336506.21000001</v>
      </c>
      <c r="K76" s="50">
        <v>313493.78999999166</v>
      </c>
      <c r="L76" s="38">
        <v>1</v>
      </c>
      <c r="M76" s="38">
        <v>2</v>
      </c>
      <c r="N76" s="38">
        <v>2</v>
      </c>
      <c r="O76" s="50">
        <v>114468506.20999999</v>
      </c>
      <c r="P76" s="218">
        <v>0.05</v>
      </c>
      <c r="Q76" s="50">
        <v>1427667.93</v>
      </c>
      <c r="R76" s="50">
        <v>21822186.569837563</v>
      </c>
      <c r="S76" s="38" t="s">
        <v>10</v>
      </c>
      <c r="T76" s="51">
        <v>4.4999999999999998E-2</v>
      </c>
      <c r="U76" s="65">
        <v>0.45</v>
      </c>
      <c r="V76" s="105" t="s">
        <v>525</v>
      </c>
      <c r="W76" s="66">
        <v>8249595.7455803677</v>
      </c>
      <c r="X76" s="66">
        <v>1246882.4503001962</v>
      </c>
      <c r="Y76" s="38" t="s">
        <v>239</v>
      </c>
      <c r="Z76" s="66">
        <f t="shared" si="34"/>
        <v>1246882.4503001962</v>
      </c>
      <c r="AA76" s="67"/>
      <c r="AC76" s="41">
        <f>VLOOKUP(A76,'Input Sheet'!$A$2:$B$232,2,0)</f>
        <v>1073</v>
      </c>
      <c r="AD76" s="259">
        <f t="shared" si="35"/>
        <v>1246882.4503001962</v>
      </c>
      <c r="AI76" s="68"/>
      <c r="AL76" s="107">
        <f t="shared" ca="1" si="56"/>
        <v>0</v>
      </c>
      <c r="AM76" s="49">
        <f t="shared" ca="1" si="57"/>
        <v>45596</v>
      </c>
      <c r="AN76" s="137" t="str">
        <f t="shared" ca="1" si="43"/>
        <v xml:space="preserve"> </v>
      </c>
      <c r="AO76" s="107">
        <f t="shared" ca="1" si="44"/>
        <v>0</v>
      </c>
      <c r="AP76" s="143">
        <f t="shared" ca="1" si="36"/>
        <v>0</v>
      </c>
      <c r="AQ76" s="143">
        <f t="shared" ca="1" si="45"/>
        <v>0</v>
      </c>
      <c r="AR76" s="49" t="str">
        <f t="shared" ca="1" si="37"/>
        <v xml:space="preserve"> </v>
      </c>
      <c r="AS76" s="107">
        <f t="shared" ca="1" si="38"/>
        <v>0</v>
      </c>
      <c r="AT76" s="107">
        <f t="shared" ca="1" si="39"/>
        <v>0</v>
      </c>
      <c r="AU76" s="107"/>
      <c r="AV76" s="107">
        <f ca="1">MAX(SUM($AQ$6:AQ76)-SUM($AT$6:AT76),0)</f>
        <v>0</v>
      </c>
      <c r="AW76" s="107">
        <f t="shared" ca="1" si="58"/>
        <v>0</v>
      </c>
      <c r="AX76" s="107">
        <v>0</v>
      </c>
      <c r="AY76" s="138" t="str">
        <f t="shared" ca="1" si="40"/>
        <v xml:space="preserve"> </v>
      </c>
      <c r="AZ76" s="107">
        <f t="shared" ca="1" si="41"/>
        <v>0</v>
      </c>
      <c r="BA76" s="107">
        <f ca="1">IF(AZ76=1,(SUM($AW$6:AW76,$AX$6:AX76)-SUM($BA$6:BA75)),0)</f>
        <v>0</v>
      </c>
      <c r="BB76" s="107"/>
      <c r="BC76" s="107">
        <f ca="1">AV76+SUM($AW$6:AW76)+SUM($AX$6:AX76)-SUM($BA$6:BA76)</f>
        <v>0</v>
      </c>
      <c r="BD76" s="107">
        <f t="shared" ca="1" si="46"/>
        <v>0</v>
      </c>
      <c r="BE76" s="51">
        <f ca="1">'PiT PD Structure'!J116</f>
        <v>4.2181610330427333E-5</v>
      </c>
      <c r="BF76" s="139">
        <f t="shared" ca="1" si="59"/>
        <v>0.45</v>
      </c>
      <c r="BG76" s="51">
        <f t="shared" ca="1" si="47"/>
        <v>1</v>
      </c>
      <c r="BH76" s="50">
        <f t="shared" ca="1" si="42"/>
        <v>0</v>
      </c>
      <c r="BI76" s="50">
        <f t="shared" ca="1" si="63"/>
        <v>3.4816594052244909E-13</v>
      </c>
      <c r="BJ76" s="140">
        <v>0</v>
      </c>
      <c r="BK76" s="140">
        <v>0</v>
      </c>
      <c r="BM76" s="78"/>
      <c r="BR76" s="75">
        <f t="shared" ca="1" si="33"/>
        <v>45596</v>
      </c>
      <c r="BS76" s="74">
        <f t="shared" ca="1" si="48"/>
        <v>10</v>
      </c>
      <c r="BT76" s="74">
        <f t="shared" ca="1" si="49"/>
        <v>0</v>
      </c>
      <c r="BU76" s="73" t="str">
        <f t="shared" ca="1" si="50"/>
        <v xml:space="preserve"> </v>
      </c>
      <c r="BW76" s="75">
        <f t="shared" ca="1" si="60"/>
        <v>45596</v>
      </c>
      <c r="BX76" s="74">
        <f t="shared" ca="1" si="61"/>
        <v>10</v>
      </c>
      <c r="BY76" s="74">
        <f t="shared" ca="1" si="51"/>
        <v>0</v>
      </c>
      <c r="BZ76" s="73" t="str">
        <f t="shared" ca="1" si="52"/>
        <v xml:space="preserve"> </v>
      </c>
      <c r="CB76" s="75">
        <f t="shared" ca="1" si="62"/>
        <v>45596</v>
      </c>
      <c r="CC76" s="74">
        <f t="shared" ca="1" si="53"/>
        <v>10</v>
      </c>
      <c r="CD76" s="74">
        <f t="shared" ca="1" si="54"/>
        <v>0</v>
      </c>
      <c r="CE76" s="73" t="str">
        <f t="shared" ca="1" si="55"/>
        <v xml:space="preserve"> </v>
      </c>
    </row>
    <row r="77" spans="1:83" x14ac:dyDescent="0.2">
      <c r="A77" s="38">
        <f t="shared" si="64"/>
        <v>74</v>
      </c>
      <c r="B77" s="108" t="s">
        <v>427</v>
      </c>
      <c r="C77" s="38" t="s">
        <v>806</v>
      </c>
      <c r="D77" s="137">
        <v>43465</v>
      </c>
      <c r="E77" s="137">
        <v>42781</v>
      </c>
      <c r="F77" s="137">
        <v>41136</v>
      </c>
      <c r="G77" s="122">
        <v>15</v>
      </c>
      <c r="H77" s="137">
        <v>48075</v>
      </c>
      <c r="I77" s="50">
        <v>55095000</v>
      </c>
      <c r="J77" s="50">
        <v>38971544.159999996</v>
      </c>
      <c r="K77" s="50">
        <v>16123455.840000004</v>
      </c>
      <c r="L77" s="38">
        <v>4</v>
      </c>
      <c r="M77" s="38">
        <v>2</v>
      </c>
      <c r="N77" s="38">
        <v>2</v>
      </c>
      <c r="O77" s="50">
        <v>31625544.16</v>
      </c>
      <c r="P77" s="218">
        <v>2.5000000000000001E-2</v>
      </c>
      <c r="Q77" s="50">
        <v>451217.54</v>
      </c>
      <c r="R77" s="50">
        <v>7710776.1373841716</v>
      </c>
      <c r="S77" s="38" t="s">
        <v>62</v>
      </c>
      <c r="T77" s="51">
        <v>2.5000000000000001E-2</v>
      </c>
      <c r="U77" s="65">
        <v>0.45</v>
      </c>
      <c r="V77" s="105" t="s">
        <v>526</v>
      </c>
      <c r="W77" s="66">
        <v>6157588.5496286247</v>
      </c>
      <c r="X77" s="66">
        <v>572562.48549445905</v>
      </c>
      <c r="Y77" s="38" t="s">
        <v>239</v>
      </c>
      <c r="Z77" s="66">
        <f t="shared" si="34"/>
        <v>572562.48549445905</v>
      </c>
      <c r="AA77" s="67"/>
      <c r="AC77" s="41">
        <f>VLOOKUP(A77,'Input Sheet'!$A$2:$B$232,2,0)</f>
        <v>1074</v>
      </c>
      <c r="AD77" s="259">
        <f t="shared" si="35"/>
        <v>572562.48549445905</v>
      </c>
      <c r="AI77" s="68"/>
      <c r="AL77" s="107">
        <f t="shared" ca="1" si="56"/>
        <v>0</v>
      </c>
      <c r="AM77" s="49">
        <f t="shared" ca="1" si="57"/>
        <v>45626</v>
      </c>
      <c r="AN77" s="137" t="str">
        <f t="shared" ca="1" si="43"/>
        <v xml:space="preserve"> </v>
      </c>
      <c r="AO77" s="107">
        <f t="shared" ca="1" si="44"/>
        <v>0</v>
      </c>
      <c r="AP77" s="143">
        <f t="shared" ca="1" si="36"/>
        <v>0</v>
      </c>
      <c r="AQ77" s="143">
        <f t="shared" ca="1" si="45"/>
        <v>0</v>
      </c>
      <c r="AR77" s="49" t="str">
        <f t="shared" ca="1" si="37"/>
        <v xml:space="preserve"> </v>
      </c>
      <c r="AS77" s="107">
        <f t="shared" ca="1" si="38"/>
        <v>0</v>
      </c>
      <c r="AT77" s="107">
        <f t="shared" ca="1" si="39"/>
        <v>0</v>
      </c>
      <c r="AU77" s="107"/>
      <c r="AV77" s="107">
        <f ca="1">MAX(SUM($AQ$6:AQ77)-SUM($AT$6:AT77),0)</f>
        <v>0</v>
      </c>
      <c r="AW77" s="107">
        <f t="shared" ca="1" si="58"/>
        <v>0</v>
      </c>
      <c r="AX77" s="107">
        <v>0</v>
      </c>
      <c r="AY77" s="138" t="str">
        <f t="shared" ca="1" si="40"/>
        <v xml:space="preserve"> </v>
      </c>
      <c r="AZ77" s="107">
        <f t="shared" ca="1" si="41"/>
        <v>0</v>
      </c>
      <c r="BA77" s="107">
        <f ca="1">IF(AZ77=1,(SUM($AW$6:AW77,$AX$6:AX77)-SUM($BA$6:BA76)),0)</f>
        <v>0</v>
      </c>
      <c r="BB77" s="107"/>
      <c r="BC77" s="107">
        <f ca="1">AV77+SUM($AW$6:AW77)+SUM($AX$6:AX77)-SUM($BA$6:BA77)</f>
        <v>0</v>
      </c>
      <c r="BD77" s="107">
        <f t="shared" ca="1" si="46"/>
        <v>0</v>
      </c>
      <c r="BE77" s="51">
        <f ca="1">'PiT PD Structure'!J117</f>
        <v>4.2179822769550235E-5</v>
      </c>
      <c r="BF77" s="139">
        <f t="shared" ca="1" si="59"/>
        <v>0.45</v>
      </c>
      <c r="BG77" s="51">
        <f t="shared" ca="1" si="47"/>
        <v>1</v>
      </c>
      <c r="BH77" s="50">
        <f t="shared" ca="1" si="42"/>
        <v>0</v>
      </c>
      <c r="BI77" s="50">
        <f t="shared" ca="1" si="63"/>
        <v>3.4816594052244909E-13</v>
      </c>
      <c r="BJ77" s="140">
        <v>0</v>
      </c>
      <c r="BK77" s="140">
        <v>0</v>
      </c>
      <c r="BM77" s="78"/>
      <c r="BR77" s="75">
        <f t="shared" ca="1" si="33"/>
        <v>45626</v>
      </c>
      <c r="BS77" s="74">
        <f t="shared" ca="1" si="48"/>
        <v>11</v>
      </c>
      <c r="BT77" s="74">
        <f t="shared" ca="1" si="49"/>
        <v>0</v>
      </c>
      <c r="BU77" s="73" t="str">
        <f t="shared" ca="1" si="50"/>
        <v xml:space="preserve"> </v>
      </c>
      <c r="BW77" s="75">
        <f t="shared" ca="1" si="60"/>
        <v>45626</v>
      </c>
      <c r="BX77" s="74">
        <f t="shared" ca="1" si="61"/>
        <v>11</v>
      </c>
      <c r="BY77" s="74">
        <f t="shared" ca="1" si="51"/>
        <v>0</v>
      </c>
      <c r="BZ77" s="73" t="str">
        <f t="shared" ca="1" si="52"/>
        <v xml:space="preserve"> </v>
      </c>
      <c r="CB77" s="75">
        <f t="shared" ca="1" si="62"/>
        <v>45626</v>
      </c>
      <c r="CC77" s="74">
        <f t="shared" ca="1" si="53"/>
        <v>11</v>
      </c>
      <c r="CD77" s="74">
        <f t="shared" ca="1" si="54"/>
        <v>0</v>
      </c>
      <c r="CE77" s="73" t="str">
        <f t="shared" ca="1" si="55"/>
        <v xml:space="preserve"> </v>
      </c>
    </row>
    <row r="78" spans="1:83" x14ac:dyDescent="0.2">
      <c r="A78" s="38">
        <f t="shared" si="64"/>
        <v>75</v>
      </c>
      <c r="B78" s="108" t="s">
        <v>401</v>
      </c>
      <c r="C78" s="38" t="s">
        <v>806</v>
      </c>
      <c r="D78" s="137">
        <v>43465</v>
      </c>
      <c r="E78" s="137">
        <v>42891</v>
      </c>
      <c r="F78" s="137">
        <v>41248</v>
      </c>
      <c r="G78" s="122">
        <v>15</v>
      </c>
      <c r="H78" s="137">
        <v>48187</v>
      </c>
      <c r="I78" s="50">
        <v>183650000</v>
      </c>
      <c r="J78" s="50">
        <v>183650000</v>
      </c>
      <c r="K78" s="50">
        <v>0</v>
      </c>
      <c r="L78" s="38">
        <v>1</v>
      </c>
      <c r="M78" s="38">
        <v>2</v>
      </c>
      <c r="N78" s="38">
        <v>2</v>
      </c>
      <c r="O78" s="50">
        <v>183650000</v>
      </c>
      <c r="P78" s="218">
        <v>0.02</v>
      </c>
      <c r="Q78" s="50">
        <v>17905874.699999999</v>
      </c>
      <c r="R78" s="50">
        <v>23921579.666608103</v>
      </c>
      <c r="S78" s="38" t="s">
        <v>62</v>
      </c>
      <c r="T78" s="51">
        <v>2.5000000000000001E-2</v>
      </c>
      <c r="U78" s="65">
        <v>0.45</v>
      </c>
      <c r="V78" s="105" t="s">
        <v>514</v>
      </c>
      <c r="W78" s="66">
        <v>29373519.469140999</v>
      </c>
      <c r="X78" s="66">
        <v>2788511.9125293302</v>
      </c>
      <c r="Y78" s="38" t="s">
        <v>237</v>
      </c>
      <c r="Z78" s="66">
        <f t="shared" si="34"/>
        <v>29373519.469140999</v>
      </c>
      <c r="AA78" s="67"/>
      <c r="AC78" s="41">
        <f>VLOOKUP(A78,'Input Sheet'!$A$2:$B$232,2,0)</f>
        <v>1075</v>
      </c>
      <c r="AD78" s="259">
        <f t="shared" si="35"/>
        <v>29373519.469140999</v>
      </c>
      <c r="AI78" s="68"/>
      <c r="AL78" s="107">
        <f t="shared" ca="1" si="56"/>
        <v>0</v>
      </c>
      <c r="AM78" s="49">
        <f t="shared" ca="1" si="57"/>
        <v>45657</v>
      </c>
      <c r="AN78" s="137" t="str">
        <f t="shared" ca="1" si="43"/>
        <v xml:space="preserve"> </v>
      </c>
      <c r="AO78" s="107">
        <f t="shared" ca="1" si="44"/>
        <v>0</v>
      </c>
      <c r="AP78" s="143">
        <f t="shared" ca="1" si="36"/>
        <v>0</v>
      </c>
      <c r="AQ78" s="143">
        <f t="shared" ca="1" si="45"/>
        <v>0</v>
      </c>
      <c r="AR78" s="49" t="str">
        <f t="shared" ca="1" si="37"/>
        <v xml:space="preserve"> </v>
      </c>
      <c r="AS78" s="107">
        <f t="shared" ca="1" si="38"/>
        <v>0</v>
      </c>
      <c r="AT78" s="107">
        <f t="shared" ca="1" si="39"/>
        <v>0</v>
      </c>
      <c r="AU78" s="107"/>
      <c r="AV78" s="107">
        <f ca="1">MAX(SUM($AQ$6:AQ78)-SUM($AT$6:AT78),0)</f>
        <v>0</v>
      </c>
      <c r="AW78" s="107">
        <f t="shared" ca="1" si="58"/>
        <v>0</v>
      </c>
      <c r="AX78" s="107">
        <v>0</v>
      </c>
      <c r="AY78" s="138" t="str">
        <f t="shared" ca="1" si="40"/>
        <v xml:space="preserve"> </v>
      </c>
      <c r="AZ78" s="107">
        <f t="shared" ca="1" si="41"/>
        <v>0</v>
      </c>
      <c r="BA78" s="107">
        <f ca="1">IF(AZ78=1,(SUM($AW$6:AW78,$AX$6:AX78)-SUM($BA$6:BA77)),0)</f>
        <v>0</v>
      </c>
      <c r="BB78" s="107"/>
      <c r="BC78" s="107">
        <f ca="1">AV78+SUM($AW$6:AW78)+SUM($AX$6:AX78)-SUM($BA$6:BA78)</f>
        <v>0</v>
      </c>
      <c r="BD78" s="107">
        <f t="shared" ca="1" si="46"/>
        <v>0</v>
      </c>
      <c r="BE78" s="51">
        <f ca="1">'PiT PD Structure'!J118</f>
        <v>7.4805040611258811E-4</v>
      </c>
      <c r="BF78" s="139">
        <f t="shared" ca="1" si="59"/>
        <v>0.45</v>
      </c>
      <c r="BG78" s="51">
        <f t="shared" ca="1" si="47"/>
        <v>1</v>
      </c>
      <c r="BH78" s="50">
        <f t="shared" ca="1" si="42"/>
        <v>0</v>
      </c>
      <c r="BI78" s="50">
        <f t="shared" ca="1" si="63"/>
        <v>3.4816594052244909E-13</v>
      </c>
      <c r="BJ78" s="140">
        <v>0</v>
      </c>
      <c r="BK78" s="140">
        <v>0</v>
      </c>
      <c r="BM78" s="78"/>
      <c r="BR78" s="75">
        <f t="shared" ca="1" si="33"/>
        <v>45657</v>
      </c>
      <c r="BS78" s="74">
        <f t="shared" ca="1" si="48"/>
        <v>12</v>
      </c>
      <c r="BT78" s="74">
        <f t="shared" ca="1" si="49"/>
        <v>0</v>
      </c>
      <c r="BU78" s="73" t="str">
        <f t="shared" ca="1" si="50"/>
        <v xml:space="preserve"> </v>
      </c>
      <c r="BW78" s="75">
        <f t="shared" ca="1" si="60"/>
        <v>45657</v>
      </c>
      <c r="BX78" s="74">
        <f t="shared" ca="1" si="61"/>
        <v>12</v>
      </c>
      <c r="BY78" s="74">
        <f t="shared" ca="1" si="51"/>
        <v>0</v>
      </c>
      <c r="BZ78" s="73" t="str">
        <f t="shared" ca="1" si="52"/>
        <v xml:space="preserve"> </v>
      </c>
      <c r="CB78" s="75">
        <f t="shared" ca="1" si="62"/>
        <v>45657</v>
      </c>
      <c r="CC78" s="74">
        <f t="shared" ca="1" si="53"/>
        <v>12</v>
      </c>
      <c r="CD78" s="74">
        <f t="shared" ca="1" si="54"/>
        <v>0</v>
      </c>
      <c r="CE78" s="73" t="str">
        <f t="shared" ca="1" si="55"/>
        <v xml:space="preserve"> </v>
      </c>
    </row>
    <row r="79" spans="1:83" x14ac:dyDescent="0.2">
      <c r="A79" s="38">
        <f t="shared" si="64"/>
        <v>76</v>
      </c>
      <c r="B79" s="108" t="s">
        <v>428</v>
      </c>
      <c r="C79" s="38" t="s">
        <v>806</v>
      </c>
      <c r="D79" s="137">
        <v>43465</v>
      </c>
      <c r="E79" s="137">
        <v>43038</v>
      </c>
      <c r="F79" s="137">
        <v>41394</v>
      </c>
      <c r="G79" s="122">
        <v>15</v>
      </c>
      <c r="H79" s="137">
        <v>48334</v>
      </c>
      <c r="I79" s="50">
        <v>36730000</v>
      </c>
      <c r="J79" s="50">
        <v>6401117.8799999999</v>
      </c>
      <c r="K79" s="50">
        <v>30328882.120000001</v>
      </c>
      <c r="L79" s="38">
        <v>1</v>
      </c>
      <c r="M79" s="38">
        <v>2</v>
      </c>
      <c r="N79" s="38">
        <v>2</v>
      </c>
      <c r="O79" s="50">
        <v>2729117.88</v>
      </c>
      <c r="P79" s="218">
        <v>0.02</v>
      </c>
      <c r="Q79" s="50">
        <v>-51861.56</v>
      </c>
      <c r="R79" s="50">
        <v>4551800.4586256109</v>
      </c>
      <c r="S79" s="38" t="s">
        <v>10</v>
      </c>
      <c r="T79" s="51">
        <v>0.02</v>
      </c>
      <c r="U79" s="65">
        <v>0.45</v>
      </c>
      <c r="V79" s="105" t="s">
        <v>527</v>
      </c>
      <c r="W79" s="66">
        <v>4950885.5191040169</v>
      </c>
      <c r="X79" s="66">
        <v>450313.86064646754</v>
      </c>
      <c r="Y79" s="38" t="s">
        <v>239</v>
      </c>
      <c r="Z79" s="66">
        <f t="shared" si="34"/>
        <v>450313.86064646754</v>
      </c>
      <c r="AA79" s="67"/>
      <c r="AC79" s="41">
        <f>VLOOKUP(A79,'Input Sheet'!$A$2:$B$232,2,0)</f>
        <v>1076</v>
      </c>
      <c r="AD79" s="259">
        <f t="shared" si="35"/>
        <v>450313.86064646754</v>
      </c>
      <c r="AI79" s="68"/>
      <c r="AL79" s="107">
        <f t="shared" ca="1" si="56"/>
        <v>0</v>
      </c>
      <c r="AM79" s="49">
        <f t="shared" ca="1" si="57"/>
        <v>45688</v>
      </c>
      <c r="AN79" s="137" t="str">
        <f t="shared" ca="1" si="43"/>
        <v xml:space="preserve"> </v>
      </c>
      <c r="AO79" s="107">
        <f t="shared" ca="1" si="44"/>
        <v>0</v>
      </c>
      <c r="AP79" s="143">
        <f t="shared" ca="1" si="36"/>
        <v>0</v>
      </c>
      <c r="AQ79" s="143">
        <f t="shared" ca="1" si="45"/>
        <v>0</v>
      </c>
      <c r="AR79" s="49" t="str">
        <f t="shared" ca="1" si="37"/>
        <v xml:space="preserve"> </v>
      </c>
      <c r="AS79" s="107">
        <f t="shared" ca="1" si="38"/>
        <v>0</v>
      </c>
      <c r="AT79" s="107">
        <f t="shared" ca="1" si="39"/>
        <v>0</v>
      </c>
      <c r="AU79" s="107"/>
      <c r="AV79" s="107">
        <f ca="1">MAX(SUM($AQ$6:AQ79)-SUM($AT$6:AT79),0)</f>
        <v>0</v>
      </c>
      <c r="AW79" s="107">
        <f t="shared" ca="1" si="58"/>
        <v>0</v>
      </c>
      <c r="AX79" s="107">
        <v>0</v>
      </c>
      <c r="AY79" s="138" t="str">
        <f t="shared" ca="1" si="40"/>
        <v xml:space="preserve"> </v>
      </c>
      <c r="AZ79" s="107">
        <f t="shared" ca="1" si="41"/>
        <v>0</v>
      </c>
      <c r="BA79" s="107">
        <f ca="1">IF(AZ79=1,(SUM($AW$6:AW79,$AX$6:AX79)-SUM($BA$6:BA78)),0)</f>
        <v>0</v>
      </c>
      <c r="BB79" s="107"/>
      <c r="BC79" s="107">
        <f ca="1">AV79+SUM($AW$6:AW79)+SUM($AX$6:AX79)-SUM($BA$6:BA79)</f>
        <v>0</v>
      </c>
      <c r="BD79" s="107">
        <f t="shared" ca="1" si="46"/>
        <v>0</v>
      </c>
      <c r="BE79" s="51">
        <f ca="1">'PiT PD Structure'!J119</f>
        <v>4.5422506134817908E-5</v>
      </c>
      <c r="BF79" s="139">
        <f t="shared" ca="1" si="59"/>
        <v>0.45</v>
      </c>
      <c r="BG79" s="51">
        <f t="shared" ca="1" si="47"/>
        <v>1</v>
      </c>
      <c r="BH79" s="50">
        <f t="shared" ca="1" si="42"/>
        <v>0</v>
      </c>
      <c r="BI79" s="50">
        <f t="shared" ca="1" si="63"/>
        <v>3.4816594052244909E-13</v>
      </c>
      <c r="BJ79" s="140">
        <v>0</v>
      </c>
      <c r="BK79" s="140">
        <v>0</v>
      </c>
      <c r="BM79" s="78"/>
      <c r="BR79" s="75">
        <f t="shared" ca="1" si="33"/>
        <v>45688</v>
      </c>
      <c r="BS79" s="74">
        <f t="shared" ca="1" si="48"/>
        <v>1</v>
      </c>
      <c r="BT79" s="74">
        <f t="shared" ca="1" si="49"/>
        <v>0</v>
      </c>
      <c r="BU79" s="73" t="str">
        <f t="shared" ca="1" si="50"/>
        <v xml:space="preserve"> </v>
      </c>
      <c r="BW79" s="75">
        <f t="shared" ca="1" si="60"/>
        <v>45688</v>
      </c>
      <c r="BX79" s="74">
        <f t="shared" ca="1" si="61"/>
        <v>1</v>
      </c>
      <c r="BY79" s="74">
        <f t="shared" ca="1" si="51"/>
        <v>0</v>
      </c>
      <c r="BZ79" s="73" t="str">
        <f t="shared" ca="1" si="52"/>
        <v xml:space="preserve"> </v>
      </c>
      <c r="CB79" s="75">
        <f t="shared" ca="1" si="62"/>
        <v>45688</v>
      </c>
      <c r="CC79" s="74">
        <f t="shared" ca="1" si="53"/>
        <v>1</v>
      </c>
      <c r="CD79" s="74">
        <f t="shared" ca="1" si="54"/>
        <v>0</v>
      </c>
      <c r="CE79" s="73" t="str">
        <f t="shared" ca="1" si="55"/>
        <v xml:space="preserve"> </v>
      </c>
    </row>
    <row r="80" spans="1:83" x14ac:dyDescent="0.2">
      <c r="A80" s="38">
        <f t="shared" si="64"/>
        <v>77</v>
      </c>
      <c r="B80" s="108" t="s">
        <v>429</v>
      </c>
      <c r="C80" s="38" t="s">
        <v>806</v>
      </c>
      <c r="D80" s="137">
        <v>43465</v>
      </c>
      <c r="E80" s="137">
        <v>42338</v>
      </c>
      <c r="F80" s="137">
        <v>41424</v>
      </c>
      <c r="G80" s="122">
        <v>12</v>
      </c>
      <c r="H80" s="137">
        <v>46537</v>
      </c>
      <c r="I80" s="50">
        <v>77133000</v>
      </c>
      <c r="J80" s="50">
        <v>77132999.939999998</v>
      </c>
      <c r="K80" s="50">
        <v>6.0000002384185791E-2</v>
      </c>
      <c r="L80" s="38">
        <v>4</v>
      </c>
      <c r="M80" s="38">
        <v>2</v>
      </c>
      <c r="N80" s="38">
        <v>2</v>
      </c>
      <c r="O80" s="50">
        <v>54635874.939999998</v>
      </c>
      <c r="P80" s="218">
        <v>0.04</v>
      </c>
      <c r="Q80" s="50">
        <v>581037.99</v>
      </c>
      <c r="R80" s="50">
        <v>9765967.8378105965</v>
      </c>
      <c r="S80" s="38" t="s">
        <v>62</v>
      </c>
      <c r="T80" s="51">
        <v>3.3333333333333333E-2</v>
      </c>
      <c r="U80" s="65">
        <v>0.45</v>
      </c>
      <c r="V80" s="105" t="s">
        <v>496</v>
      </c>
      <c r="W80" s="66">
        <v>5413409.6262817057</v>
      </c>
      <c r="X80" s="66">
        <v>732212.36149772198</v>
      </c>
      <c r="Y80" s="38" t="s">
        <v>239</v>
      </c>
      <c r="Z80" s="66">
        <f t="shared" si="34"/>
        <v>732212.36149772198</v>
      </c>
      <c r="AA80" s="67"/>
      <c r="AC80" s="41">
        <f>VLOOKUP(A80,'Input Sheet'!$A$2:$B$232,2,0)</f>
        <v>1077</v>
      </c>
      <c r="AD80" s="259">
        <f t="shared" si="35"/>
        <v>732212.36149772198</v>
      </c>
      <c r="AI80" s="68"/>
      <c r="AL80" s="107">
        <f t="shared" ca="1" si="56"/>
        <v>0</v>
      </c>
      <c r="AM80" s="49">
        <f t="shared" ca="1" si="57"/>
        <v>45716</v>
      </c>
      <c r="AN80" s="137" t="str">
        <f t="shared" ca="1" si="43"/>
        <v xml:space="preserve"> </v>
      </c>
      <c r="AO80" s="107">
        <f t="shared" ca="1" si="44"/>
        <v>0</v>
      </c>
      <c r="AP80" s="143">
        <f t="shared" ca="1" si="36"/>
        <v>0</v>
      </c>
      <c r="AQ80" s="143">
        <f t="shared" ca="1" si="45"/>
        <v>0</v>
      </c>
      <c r="AR80" s="49" t="str">
        <f t="shared" ca="1" si="37"/>
        <v xml:space="preserve"> </v>
      </c>
      <c r="AS80" s="107">
        <f t="shared" ca="1" si="38"/>
        <v>0</v>
      </c>
      <c r="AT80" s="107">
        <f t="shared" ca="1" si="39"/>
        <v>0</v>
      </c>
      <c r="AU80" s="107"/>
      <c r="AV80" s="107">
        <f ca="1">MAX(SUM($AQ$6:AQ80)-SUM($AT$6:AT80),0)</f>
        <v>0</v>
      </c>
      <c r="AW80" s="107">
        <f t="shared" ca="1" si="58"/>
        <v>0</v>
      </c>
      <c r="AX80" s="107">
        <v>0</v>
      </c>
      <c r="AY80" s="138" t="str">
        <f t="shared" ca="1" si="40"/>
        <v xml:space="preserve"> </v>
      </c>
      <c r="AZ80" s="107">
        <f t="shared" ca="1" si="41"/>
        <v>0</v>
      </c>
      <c r="BA80" s="107">
        <f ca="1">IF(AZ80=1,(SUM($AW$6:AW80,$AX$6:AX80)-SUM($BA$6:BA79)),0)</f>
        <v>0</v>
      </c>
      <c r="BB80" s="107"/>
      <c r="BC80" s="107">
        <f ca="1">AV80+SUM($AW$6:AW80)+SUM($AX$6:AX80)-SUM($BA$6:BA80)</f>
        <v>0</v>
      </c>
      <c r="BD80" s="107">
        <f t="shared" ca="1" si="46"/>
        <v>0</v>
      </c>
      <c r="BE80" s="51">
        <f ca="1">'PiT PD Structure'!J120</f>
        <v>4.5420431603271361E-5</v>
      </c>
      <c r="BF80" s="139">
        <f t="shared" ca="1" si="59"/>
        <v>0.45</v>
      </c>
      <c r="BG80" s="51">
        <f t="shared" ca="1" si="47"/>
        <v>1</v>
      </c>
      <c r="BH80" s="50">
        <f t="shared" ca="1" si="42"/>
        <v>0</v>
      </c>
      <c r="BI80" s="50">
        <f t="shared" ca="1" si="63"/>
        <v>3.4816594052244909E-13</v>
      </c>
      <c r="BJ80" s="140">
        <v>0</v>
      </c>
      <c r="BK80" s="140">
        <v>0</v>
      </c>
      <c r="BM80" s="78"/>
      <c r="BR80" s="75">
        <f t="shared" ca="1" si="33"/>
        <v>45716</v>
      </c>
      <c r="BS80" s="74">
        <f t="shared" ca="1" si="48"/>
        <v>2</v>
      </c>
      <c r="BT80" s="74">
        <f t="shared" ca="1" si="49"/>
        <v>0</v>
      </c>
      <c r="BU80" s="73" t="str">
        <f t="shared" ca="1" si="50"/>
        <v xml:space="preserve"> </v>
      </c>
      <c r="BW80" s="75">
        <f t="shared" ca="1" si="60"/>
        <v>45716</v>
      </c>
      <c r="BX80" s="74">
        <f t="shared" ca="1" si="61"/>
        <v>2</v>
      </c>
      <c r="BY80" s="74">
        <f t="shared" ca="1" si="51"/>
        <v>0</v>
      </c>
      <c r="BZ80" s="73" t="str">
        <f t="shared" ca="1" si="52"/>
        <v xml:space="preserve"> </v>
      </c>
      <c r="CB80" s="75">
        <f t="shared" ca="1" si="62"/>
        <v>45716</v>
      </c>
      <c r="CC80" s="74">
        <f t="shared" ca="1" si="53"/>
        <v>2</v>
      </c>
      <c r="CD80" s="74">
        <f t="shared" ca="1" si="54"/>
        <v>0</v>
      </c>
      <c r="CE80" s="73" t="str">
        <f t="shared" ca="1" si="55"/>
        <v xml:space="preserve"> </v>
      </c>
    </row>
    <row r="81" spans="1:83" x14ac:dyDescent="0.2">
      <c r="A81" s="38">
        <f t="shared" si="64"/>
        <v>78</v>
      </c>
      <c r="B81" s="108" t="s">
        <v>430</v>
      </c>
      <c r="C81" s="38" t="s">
        <v>806</v>
      </c>
      <c r="D81" s="137">
        <v>43465</v>
      </c>
      <c r="E81" s="137">
        <v>43084</v>
      </c>
      <c r="F81" s="137">
        <v>41623</v>
      </c>
      <c r="G81" s="122">
        <v>15</v>
      </c>
      <c r="H81" s="137">
        <v>48380</v>
      </c>
      <c r="I81" s="50">
        <v>20000000</v>
      </c>
      <c r="J81" s="50">
        <v>16969709.120000001</v>
      </c>
      <c r="K81" s="50">
        <v>3030290.879999999</v>
      </c>
      <c r="L81" s="38">
        <v>1</v>
      </c>
      <c r="M81" s="38">
        <v>2</v>
      </c>
      <c r="N81" s="38">
        <v>2</v>
      </c>
      <c r="O81" s="50">
        <v>14968709.119999999</v>
      </c>
      <c r="P81" s="218">
        <v>0.02</v>
      </c>
      <c r="Q81" s="50">
        <v>281440.52</v>
      </c>
      <c r="R81" s="50">
        <v>2445887.1600633152</v>
      </c>
      <c r="S81" s="38" t="s">
        <v>62</v>
      </c>
      <c r="T81" s="51">
        <v>1.4999999999999999E-2</v>
      </c>
      <c r="U81" s="65">
        <v>0.45</v>
      </c>
      <c r="V81" s="105" t="s">
        <v>528</v>
      </c>
      <c r="W81" s="66">
        <v>2255728.3297476219</v>
      </c>
      <c r="X81" s="66">
        <v>203812.3537422127</v>
      </c>
      <c r="Y81" s="38" t="s">
        <v>239</v>
      </c>
      <c r="Z81" s="66">
        <f t="shared" si="34"/>
        <v>203812.3537422127</v>
      </c>
      <c r="AA81" s="67"/>
      <c r="AC81" s="41">
        <f>VLOOKUP(A81,'Input Sheet'!$A$2:$B$232,2,0)</f>
        <v>1078</v>
      </c>
      <c r="AD81" s="259">
        <f t="shared" si="35"/>
        <v>203812.3537422127</v>
      </c>
      <c r="AI81" s="68"/>
      <c r="AL81" s="107">
        <f t="shared" ca="1" si="56"/>
        <v>0</v>
      </c>
      <c r="AM81" s="49">
        <f t="shared" ca="1" si="57"/>
        <v>45747</v>
      </c>
      <c r="AN81" s="137" t="str">
        <f t="shared" ca="1" si="43"/>
        <v xml:space="preserve"> </v>
      </c>
      <c r="AO81" s="107">
        <f t="shared" ca="1" si="44"/>
        <v>0</v>
      </c>
      <c r="AP81" s="143">
        <f t="shared" ca="1" si="36"/>
        <v>0</v>
      </c>
      <c r="AQ81" s="143">
        <f t="shared" ca="1" si="45"/>
        <v>0</v>
      </c>
      <c r="AR81" s="49" t="str">
        <f t="shared" ca="1" si="37"/>
        <v xml:space="preserve"> </v>
      </c>
      <c r="AS81" s="107">
        <f t="shared" ca="1" si="38"/>
        <v>0</v>
      </c>
      <c r="AT81" s="107">
        <f t="shared" ca="1" si="39"/>
        <v>0</v>
      </c>
      <c r="AU81" s="107"/>
      <c r="AV81" s="107">
        <f ca="1">MAX(SUM($AQ$6:AQ81)-SUM($AT$6:AT81),0)</f>
        <v>0</v>
      </c>
      <c r="AW81" s="107">
        <f t="shared" ca="1" si="58"/>
        <v>0</v>
      </c>
      <c r="AX81" s="107">
        <v>0</v>
      </c>
      <c r="AY81" s="138" t="str">
        <f t="shared" ca="1" si="40"/>
        <v xml:space="preserve"> </v>
      </c>
      <c r="AZ81" s="107">
        <f t="shared" ca="1" si="41"/>
        <v>0</v>
      </c>
      <c r="BA81" s="107">
        <f ca="1">IF(AZ81=1,(SUM($AW$6:AW81,$AX$6:AX81)-SUM($BA$6:BA80)),0)</f>
        <v>0</v>
      </c>
      <c r="BB81" s="107"/>
      <c r="BC81" s="107">
        <f ca="1">AV81+SUM($AW$6:AW81)+SUM($AX$6:AX81)-SUM($BA$6:BA81)</f>
        <v>0</v>
      </c>
      <c r="BD81" s="107">
        <f t="shared" ca="1" si="46"/>
        <v>0</v>
      </c>
      <c r="BE81" s="51">
        <f ca="1">'PiT PD Structure'!J121</f>
        <v>4.5418357166648882E-5</v>
      </c>
      <c r="BF81" s="139">
        <f t="shared" ca="1" si="59"/>
        <v>0.45</v>
      </c>
      <c r="BG81" s="51">
        <f t="shared" ca="1" si="47"/>
        <v>1</v>
      </c>
      <c r="BH81" s="50">
        <f t="shared" ca="1" si="42"/>
        <v>0</v>
      </c>
      <c r="BI81" s="50">
        <f t="shared" ca="1" si="63"/>
        <v>3.4816594052244909E-13</v>
      </c>
      <c r="BJ81" s="140">
        <v>0</v>
      </c>
      <c r="BK81" s="140">
        <v>0</v>
      </c>
      <c r="BM81" s="78"/>
      <c r="BR81" s="75">
        <f t="shared" ca="1" si="33"/>
        <v>45747</v>
      </c>
      <c r="BS81" s="74">
        <f t="shared" ca="1" si="48"/>
        <v>3</v>
      </c>
      <c r="BT81" s="74">
        <f t="shared" ca="1" si="49"/>
        <v>0</v>
      </c>
      <c r="BU81" s="73" t="str">
        <f t="shared" ca="1" si="50"/>
        <v xml:space="preserve"> </v>
      </c>
      <c r="BW81" s="75">
        <f t="shared" ca="1" si="60"/>
        <v>45747</v>
      </c>
      <c r="BX81" s="74">
        <f t="shared" ca="1" si="61"/>
        <v>3</v>
      </c>
      <c r="BY81" s="74">
        <f t="shared" ca="1" si="51"/>
        <v>0</v>
      </c>
      <c r="BZ81" s="73" t="str">
        <f t="shared" ca="1" si="52"/>
        <v xml:space="preserve"> </v>
      </c>
      <c r="CB81" s="75">
        <f t="shared" ca="1" si="62"/>
        <v>45747</v>
      </c>
      <c r="CC81" s="74">
        <f t="shared" ca="1" si="53"/>
        <v>3</v>
      </c>
      <c r="CD81" s="74">
        <f t="shared" ca="1" si="54"/>
        <v>0</v>
      </c>
      <c r="CE81" s="73" t="str">
        <f t="shared" ca="1" si="55"/>
        <v xml:space="preserve"> </v>
      </c>
    </row>
    <row r="82" spans="1:83" x14ac:dyDescent="0.2">
      <c r="A82" s="38">
        <f t="shared" si="64"/>
        <v>79</v>
      </c>
      <c r="B82" s="108" t="s">
        <v>432</v>
      </c>
      <c r="C82" s="38" t="s">
        <v>806</v>
      </c>
      <c r="D82" s="137">
        <v>43465</v>
      </c>
      <c r="E82" s="137">
        <v>42490</v>
      </c>
      <c r="F82" s="137">
        <v>41577</v>
      </c>
      <c r="G82" s="122">
        <v>12</v>
      </c>
      <c r="H82" s="137">
        <v>46690</v>
      </c>
      <c r="I82" s="50">
        <v>240000000</v>
      </c>
      <c r="J82" s="50">
        <v>193092065.81</v>
      </c>
      <c r="K82" s="50">
        <v>46907934.189999998</v>
      </c>
      <c r="L82" s="38">
        <v>6</v>
      </c>
      <c r="M82" s="38">
        <v>2</v>
      </c>
      <c r="N82" s="38">
        <v>2</v>
      </c>
      <c r="O82" s="50">
        <v>133092065.81</v>
      </c>
      <c r="P82" s="218">
        <v>0.04</v>
      </c>
      <c r="Q82" s="50">
        <v>864410.58</v>
      </c>
      <c r="R82" s="50">
        <v>33397163.167417664</v>
      </c>
      <c r="S82" s="38" t="s">
        <v>10</v>
      </c>
      <c r="T82" s="51">
        <v>4.4999999999999998E-2</v>
      </c>
      <c r="U82" s="65">
        <v>0.45</v>
      </c>
      <c r="V82" s="105" t="s">
        <v>525</v>
      </c>
      <c r="W82" s="66">
        <v>15679426.489384944</v>
      </c>
      <c r="X82" s="66">
        <v>1992260.0376540862</v>
      </c>
      <c r="Y82" s="38" t="s">
        <v>239</v>
      </c>
      <c r="Z82" s="66">
        <f t="shared" si="34"/>
        <v>1992260.0376540862</v>
      </c>
      <c r="AA82" s="67"/>
      <c r="AC82" s="41">
        <f>VLOOKUP(A82,'Input Sheet'!$A$2:$B$232,2,0)</f>
        <v>1079</v>
      </c>
      <c r="AD82" s="259">
        <f t="shared" si="35"/>
        <v>1992260.0376540862</v>
      </c>
      <c r="AI82" s="68"/>
      <c r="AL82" s="107">
        <f t="shared" ca="1" si="56"/>
        <v>0</v>
      </c>
      <c r="AM82" s="49">
        <f t="shared" ca="1" si="57"/>
        <v>45777</v>
      </c>
      <c r="AN82" s="137" t="str">
        <f t="shared" ca="1" si="43"/>
        <v xml:space="preserve"> </v>
      </c>
      <c r="AO82" s="107">
        <f t="shared" ca="1" si="44"/>
        <v>0</v>
      </c>
      <c r="AP82" s="143">
        <f t="shared" ca="1" si="36"/>
        <v>0</v>
      </c>
      <c r="AQ82" s="143">
        <f t="shared" ca="1" si="45"/>
        <v>0</v>
      </c>
      <c r="AR82" s="49" t="str">
        <f t="shared" ca="1" si="37"/>
        <v xml:space="preserve"> </v>
      </c>
      <c r="AS82" s="107">
        <f t="shared" ca="1" si="38"/>
        <v>0</v>
      </c>
      <c r="AT82" s="107">
        <f t="shared" ca="1" si="39"/>
        <v>0</v>
      </c>
      <c r="AU82" s="107"/>
      <c r="AV82" s="107">
        <f ca="1">MAX(SUM($AQ$6:AQ82)-SUM($AT$6:AT82),0)</f>
        <v>0</v>
      </c>
      <c r="AW82" s="107">
        <f t="shared" ca="1" si="58"/>
        <v>0</v>
      </c>
      <c r="AX82" s="107">
        <v>0</v>
      </c>
      <c r="AY82" s="138" t="str">
        <f t="shared" ca="1" si="40"/>
        <v xml:space="preserve"> </v>
      </c>
      <c r="AZ82" s="107">
        <f t="shared" ca="1" si="41"/>
        <v>0</v>
      </c>
      <c r="BA82" s="107">
        <f ca="1">IF(AZ82=1,(SUM($AW$6:AW82,$AX$6:AX82)-SUM($BA$6:BA81)),0)</f>
        <v>0</v>
      </c>
      <c r="BB82" s="107"/>
      <c r="BC82" s="107">
        <f ca="1">AV82+SUM($AW$6:AW82)+SUM($AX$6:AX82)-SUM($BA$6:BA82)</f>
        <v>0</v>
      </c>
      <c r="BD82" s="107">
        <f t="shared" ca="1" si="46"/>
        <v>0</v>
      </c>
      <c r="BE82" s="51">
        <f ca="1">'PiT PD Structure'!J122</f>
        <v>4.5416282824728427E-5</v>
      </c>
      <c r="BF82" s="139">
        <f t="shared" ca="1" si="59"/>
        <v>0.45</v>
      </c>
      <c r="BG82" s="51">
        <f t="shared" ca="1" si="47"/>
        <v>1</v>
      </c>
      <c r="BH82" s="50">
        <f t="shared" ca="1" si="42"/>
        <v>0</v>
      </c>
      <c r="BI82" s="50">
        <f t="shared" ca="1" si="63"/>
        <v>3.4816594052244909E-13</v>
      </c>
      <c r="BJ82" s="140">
        <v>0</v>
      </c>
      <c r="BK82" s="140">
        <v>0</v>
      </c>
      <c r="BM82" s="78"/>
      <c r="BR82" s="75">
        <f t="shared" ca="1" si="33"/>
        <v>45777</v>
      </c>
      <c r="BS82" s="74">
        <f t="shared" ca="1" si="48"/>
        <v>4</v>
      </c>
      <c r="BT82" s="74">
        <f t="shared" ca="1" si="49"/>
        <v>0</v>
      </c>
      <c r="BU82" s="73" t="str">
        <f t="shared" ca="1" si="50"/>
        <v xml:space="preserve"> </v>
      </c>
      <c r="BW82" s="75">
        <f t="shared" ca="1" si="60"/>
        <v>45777</v>
      </c>
      <c r="BX82" s="74">
        <f t="shared" ca="1" si="61"/>
        <v>4</v>
      </c>
      <c r="BY82" s="74">
        <f t="shared" ca="1" si="51"/>
        <v>0</v>
      </c>
      <c r="BZ82" s="73" t="str">
        <f t="shared" ca="1" si="52"/>
        <v xml:space="preserve"> </v>
      </c>
      <c r="CB82" s="75">
        <f t="shared" ca="1" si="62"/>
        <v>45777</v>
      </c>
      <c r="CC82" s="74">
        <f t="shared" ca="1" si="53"/>
        <v>4</v>
      </c>
      <c r="CD82" s="74">
        <f t="shared" ca="1" si="54"/>
        <v>0</v>
      </c>
      <c r="CE82" s="73" t="str">
        <f t="shared" ca="1" si="55"/>
        <v xml:space="preserve"> </v>
      </c>
    </row>
    <row r="83" spans="1:83" x14ac:dyDescent="0.2">
      <c r="A83" s="38">
        <f t="shared" si="64"/>
        <v>80</v>
      </c>
      <c r="B83" s="108" t="s">
        <v>433</v>
      </c>
      <c r="C83" s="38" t="s">
        <v>806</v>
      </c>
      <c r="D83" s="137">
        <v>43465</v>
      </c>
      <c r="E83" s="137">
        <v>42809</v>
      </c>
      <c r="F83" s="137">
        <v>41532</v>
      </c>
      <c r="G83" s="122">
        <v>15</v>
      </c>
      <c r="H83" s="137">
        <v>48106</v>
      </c>
      <c r="I83" s="50">
        <v>110190000</v>
      </c>
      <c r="J83" s="50">
        <v>104690606.77</v>
      </c>
      <c r="K83" s="50">
        <v>5499393.2300000042</v>
      </c>
      <c r="L83" s="38">
        <v>6</v>
      </c>
      <c r="M83" s="38">
        <v>2</v>
      </c>
      <c r="N83" s="38">
        <v>2</v>
      </c>
      <c r="O83" s="50">
        <v>89998722.430000007</v>
      </c>
      <c r="P83" s="218">
        <v>0.02</v>
      </c>
      <c r="Q83" s="50">
        <v>515856.57</v>
      </c>
      <c r="R83" s="50">
        <v>12500340.944147632</v>
      </c>
      <c r="S83" s="38" t="s">
        <v>60</v>
      </c>
      <c r="T83" s="51">
        <v>3.3333333333333333E-2</v>
      </c>
      <c r="U83" s="65">
        <v>0.45</v>
      </c>
      <c r="V83" s="105" t="s">
        <v>482</v>
      </c>
      <c r="W83" s="66">
        <v>4793940.5809859149</v>
      </c>
      <c r="X83" s="66">
        <v>210882.94427715393</v>
      </c>
      <c r="Y83" s="38" t="s">
        <v>239</v>
      </c>
      <c r="Z83" s="66">
        <f t="shared" si="34"/>
        <v>210882.94427715393</v>
      </c>
      <c r="AA83" s="67"/>
      <c r="AC83" s="41">
        <f>VLOOKUP(A83,'Input Sheet'!$A$2:$B$232,2,0)</f>
        <v>1080</v>
      </c>
      <c r="AD83" s="259">
        <f t="shared" si="35"/>
        <v>210882.94427715393</v>
      </c>
      <c r="AI83" s="68"/>
      <c r="AL83" s="107">
        <f t="shared" ca="1" si="56"/>
        <v>0</v>
      </c>
      <c r="AM83" s="49">
        <f t="shared" ca="1" si="57"/>
        <v>45808</v>
      </c>
      <c r="AN83" s="137" t="str">
        <f t="shared" ca="1" si="43"/>
        <v xml:space="preserve"> </v>
      </c>
      <c r="AO83" s="107">
        <f t="shared" ca="1" si="44"/>
        <v>0</v>
      </c>
      <c r="AP83" s="143">
        <f t="shared" ca="1" si="36"/>
        <v>0</v>
      </c>
      <c r="AQ83" s="143">
        <f t="shared" ca="1" si="45"/>
        <v>0</v>
      </c>
      <c r="AR83" s="49" t="str">
        <f t="shared" ca="1" si="37"/>
        <v xml:space="preserve"> </v>
      </c>
      <c r="AS83" s="107">
        <f t="shared" ca="1" si="38"/>
        <v>0</v>
      </c>
      <c r="AT83" s="107">
        <f t="shared" ca="1" si="39"/>
        <v>0</v>
      </c>
      <c r="AU83" s="107"/>
      <c r="AV83" s="107">
        <f ca="1">MAX(SUM($AQ$6:AQ83)-SUM($AT$6:AT83),0)</f>
        <v>0</v>
      </c>
      <c r="AW83" s="107">
        <f t="shared" ca="1" si="58"/>
        <v>0</v>
      </c>
      <c r="AX83" s="107">
        <v>0</v>
      </c>
      <c r="AY83" s="138" t="str">
        <f t="shared" ca="1" si="40"/>
        <v xml:space="preserve"> </v>
      </c>
      <c r="AZ83" s="107">
        <f t="shared" ca="1" si="41"/>
        <v>0</v>
      </c>
      <c r="BA83" s="107">
        <f ca="1">IF(AZ83=1,(SUM($AW$6:AW83,$AX$6:AX83)-SUM($BA$6:BA82)),0)</f>
        <v>0</v>
      </c>
      <c r="BB83" s="107"/>
      <c r="BC83" s="107">
        <f ca="1">AV83+SUM($AW$6:AW83)+SUM($AX$6:AX83)-SUM($BA$6:BA83)</f>
        <v>0</v>
      </c>
      <c r="BD83" s="107">
        <f t="shared" ca="1" si="46"/>
        <v>0</v>
      </c>
      <c r="BE83" s="51">
        <f ca="1">'PiT PD Structure'!J123</f>
        <v>4.5414208577509996E-5</v>
      </c>
      <c r="BF83" s="139">
        <f t="shared" ca="1" si="59"/>
        <v>0.45</v>
      </c>
      <c r="BG83" s="51">
        <f t="shared" ca="1" si="47"/>
        <v>1</v>
      </c>
      <c r="BH83" s="50">
        <f t="shared" ca="1" si="42"/>
        <v>0</v>
      </c>
      <c r="BI83" s="50">
        <f t="shared" ca="1" si="63"/>
        <v>3.4816594052244909E-13</v>
      </c>
      <c r="BJ83" s="140">
        <v>0</v>
      </c>
      <c r="BK83" s="140">
        <v>0</v>
      </c>
      <c r="BM83" s="78"/>
      <c r="BR83" s="75">
        <f t="shared" ca="1" si="33"/>
        <v>45808</v>
      </c>
      <c r="BS83" s="74">
        <f t="shared" ca="1" si="48"/>
        <v>5</v>
      </c>
      <c r="BT83" s="74">
        <f t="shared" ca="1" si="49"/>
        <v>0</v>
      </c>
      <c r="BU83" s="73" t="str">
        <f t="shared" ca="1" si="50"/>
        <v xml:space="preserve"> </v>
      </c>
      <c r="BW83" s="75">
        <f t="shared" ca="1" si="60"/>
        <v>45808</v>
      </c>
      <c r="BX83" s="74">
        <f t="shared" ca="1" si="61"/>
        <v>5</v>
      </c>
      <c r="BY83" s="74">
        <f t="shared" ca="1" si="51"/>
        <v>0</v>
      </c>
      <c r="BZ83" s="73" t="str">
        <f t="shared" ca="1" si="52"/>
        <v xml:space="preserve"> </v>
      </c>
      <c r="CB83" s="75">
        <f t="shared" ca="1" si="62"/>
        <v>45808</v>
      </c>
      <c r="CC83" s="74">
        <f t="shared" ca="1" si="53"/>
        <v>5</v>
      </c>
      <c r="CD83" s="74">
        <f t="shared" ca="1" si="54"/>
        <v>0</v>
      </c>
      <c r="CE83" s="73" t="str">
        <f t="shared" ca="1" si="55"/>
        <v xml:space="preserve"> </v>
      </c>
    </row>
    <row r="84" spans="1:83" x14ac:dyDescent="0.2">
      <c r="A84" s="38">
        <f t="shared" si="64"/>
        <v>81</v>
      </c>
      <c r="B84" s="108" t="s">
        <v>434</v>
      </c>
      <c r="C84" s="38" t="s">
        <v>806</v>
      </c>
      <c r="D84" s="137">
        <v>43465</v>
      </c>
      <c r="E84" s="137">
        <v>43250</v>
      </c>
      <c r="F84" s="137">
        <v>41789</v>
      </c>
      <c r="G84" s="122">
        <v>15</v>
      </c>
      <c r="H84" s="137">
        <v>48548</v>
      </c>
      <c r="I84" s="50">
        <v>36730000</v>
      </c>
      <c r="J84" s="50">
        <v>5855534.6200000001</v>
      </c>
      <c r="K84" s="50">
        <v>30874465.379999999</v>
      </c>
      <c r="L84" s="38">
        <v>1</v>
      </c>
      <c r="M84" s="38">
        <v>2</v>
      </c>
      <c r="N84" s="38">
        <v>2</v>
      </c>
      <c r="O84" s="50">
        <v>5855534.6200000001</v>
      </c>
      <c r="P84" s="218">
        <v>2.5000000000000001E-2</v>
      </c>
      <c r="Q84" s="50">
        <v>158587.38</v>
      </c>
      <c r="R84" s="50">
        <v>6630732.0873202588</v>
      </c>
      <c r="S84" s="38" t="s">
        <v>12</v>
      </c>
      <c r="T84" s="51">
        <v>2.8333333333333335E-2</v>
      </c>
      <c r="U84" s="65">
        <v>0.45</v>
      </c>
      <c r="V84" s="105" t="s">
        <v>511</v>
      </c>
      <c r="W84" s="66">
        <v>4792251.6177502973</v>
      </c>
      <c r="X84" s="66">
        <v>421008.30594556127</v>
      </c>
      <c r="Y84" s="38" t="s">
        <v>237</v>
      </c>
      <c r="Z84" s="66">
        <f t="shared" si="34"/>
        <v>4792251.6177502973</v>
      </c>
      <c r="AA84" s="67"/>
      <c r="AC84" s="41">
        <f>VLOOKUP(A84,'Input Sheet'!$A$2:$B$232,2,0)</f>
        <v>1081</v>
      </c>
      <c r="AD84" s="259">
        <f t="shared" si="35"/>
        <v>4792251.6177502973</v>
      </c>
      <c r="AI84" s="68"/>
      <c r="AL84" s="107">
        <f t="shared" ca="1" si="56"/>
        <v>0</v>
      </c>
      <c r="AM84" s="49">
        <f t="shared" ca="1" si="57"/>
        <v>45838</v>
      </c>
      <c r="AN84" s="137" t="str">
        <f t="shared" ca="1" si="43"/>
        <v xml:space="preserve"> </v>
      </c>
      <c r="AO84" s="107">
        <f t="shared" ca="1" si="44"/>
        <v>0</v>
      </c>
      <c r="AP84" s="143">
        <f t="shared" ca="1" si="36"/>
        <v>0</v>
      </c>
      <c r="AQ84" s="143">
        <f t="shared" ca="1" si="45"/>
        <v>0</v>
      </c>
      <c r="AR84" s="49" t="str">
        <f t="shared" ca="1" si="37"/>
        <v xml:space="preserve"> </v>
      </c>
      <c r="AS84" s="107">
        <f t="shared" ca="1" si="38"/>
        <v>0</v>
      </c>
      <c r="AT84" s="107">
        <f t="shared" ca="1" si="39"/>
        <v>0</v>
      </c>
      <c r="AU84" s="107"/>
      <c r="AV84" s="107">
        <f ca="1">MAX(SUM($AQ$6:AQ84)-SUM($AT$6:AT84),0)</f>
        <v>0</v>
      </c>
      <c r="AW84" s="107">
        <f t="shared" ca="1" si="58"/>
        <v>0</v>
      </c>
      <c r="AX84" s="107">
        <v>0</v>
      </c>
      <c r="AY84" s="138" t="str">
        <f t="shared" ca="1" si="40"/>
        <v xml:space="preserve"> </v>
      </c>
      <c r="AZ84" s="107">
        <f t="shared" ca="1" si="41"/>
        <v>0</v>
      </c>
      <c r="BA84" s="107">
        <f ca="1">IF(AZ84=1,(SUM($AW$6:AW84,$AX$6:AX84)-SUM($BA$6:BA83)),0)</f>
        <v>0</v>
      </c>
      <c r="BB84" s="107"/>
      <c r="BC84" s="107">
        <f ca="1">AV84+SUM($AW$6:AW84)+SUM($AX$6:AX84)-SUM($BA$6:BA84)</f>
        <v>0</v>
      </c>
      <c r="BD84" s="107">
        <f t="shared" ca="1" si="46"/>
        <v>0</v>
      </c>
      <c r="BE84" s="51">
        <f ca="1">'PiT PD Structure'!J124</f>
        <v>4.5412134424993589E-5</v>
      </c>
      <c r="BF84" s="139">
        <f t="shared" ca="1" si="59"/>
        <v>0.45</v>
      </c>
      <c r="BG84" s="51">
        <f t="shared" ca="1" si="47"/>
        <v>1</v>
      </c>
      <c r="BH84" s="50">
        <f t="shared" ca="1" si="42"/>
        <v>0</v>
      </c>
      <c r="BI84" s="50">
        <f t="shared" ca="1" si="63"/>
        <v>3.4816594052244909E-13</v>
      </c>
      <c r="BJ84" s="140">
        <v>0</v>
      </c>
      <c r="BK84" s="140">
        <v>0</v>
      </c>
      <c r="BM84" s="78"/>
      <c r="BR84" s="75">
        <f t="shared" ca="1" si="33"/>
        <v>45838</v>
      </c>
      <c r="BS84" s="74">
        <f t="shared" ca="1" si="48"/>
        <v>6</v>
      </c>
      <c r="BT84" s="74">
        <f t="shared" ca="1" si="49"/>
        <v>0</v>
      </c>
      <c r="BU84" s="73" t="str">
        <f t="shared" ca="1" si="50"/>
        <v xml:space="preserve"> </v>
      </c>
      <c r="BW84" s="75">
        <f t="shared" ca="1" si="60"/>
        <v>45838</v>
      </c>
      <c r="BX84" s="74">
        <f t="shared" ca="1" si="61"/>
        <v>6</v>
      </c>
      <c r="BY84" s="74">
        <f t="shared" ca="1" si="51"/>
        <v>0</v>
      </c>
      <c r="BZ84" s="73" t="str">
        <f t="shared" ca="1" si="52"/>
        <v xml:space="preserve"> </v>
      </c>
      <c r="CB84" s="75">
        <f t="shared" ca="1" si="62"/>
        <v>45838</v>
      </c>
      <c r="CC84" s="74">
        <f t="shared" ca="1" si="53"/>
        <v>6</v>
      </c>
      <c r="CD84" s="74">
        <f t="shared" ca="1" si="54"/>
        <v>0</v>
      </c>
      <c r="CE84" s="73" t="str">
        <f t="shared" ca="1" si="55"/>
        <v xml:space="preserve"> </v>
      </c>
    </row>
    <row r="85" spans="1:83" x14ac:dyDescent="0.2">
      <c r="A85" s="38">
        <f t="shared" si="64"/>
        <v>82</v>
      </c>
      <c r="B85" s="108" t="s">
        <v>435</v>
      </c>
      <c r="C85" s="38" t="s">
        <v>806</v>
      </c>
      <c r="D85" s="137">
        <v>43465</v>
      </c>
      <c r="E85" s="137">
        <v>43008</v>
      </c>
      <c r="F85" s="137">
        <v>41728</v>
      </c>
      <c r="G85" s="122">
        <v>13</v>
      </c>
      <c r="H85" s="137">
        <v>47572</v>
      </c>
      <c r="I85" s="50">
        <v>350000000</v>
      </c>
      <c r="J85" s="50">
        <v>21223100.579999998</v>
      </c>
      <c r="K85" s="50">
        <v>328776899.42000002</v>
      </c>
      <c r="L85" s="38">
        <v>4</v>
      </c>
      <c r="M85" s="38">
        <v>2</v>
      </c>
      <c r="N85" s="38">
        <v>2</v>
      </c>
      <c r="O85" s="50">
        <v>11832089.17</v>
      </c>
      <c r="P85" s="218">
        <v>0.03</v>
      </c>
      <c r="Q85" s="50">
        <v>165887.4</v>
      </c>
      <c r="R85" s="50">
        <v>59292305.04326947</v>
      </c>
      <c r="S85" s="38" t="s">
        <v>42</v>
      </c>
      <c r="T85" s="51">
        <v>2.4375000000000001E-2</v>
      </c>
      <c r="U85" s="65">
        <v>0.45</v>
      </c>
      <c r="V85" s="105" t="s">
        <v>529</v>
      </c>
      <c r="W85" s="66">
        <v>853827.36120503407</v>
      </c>
      <c r="X85" s="66">
        <v>60286.613187401832</v>
      </c>
      <c r="Y85" s="38" t="s">
        <v>239</v>
      </c>
      <c r="Z85" s="66">
        <f t="shared" si="34"/>
        <v>60286.613187401832</v>
      </c>
      <c r="AA85" s="67"/>
      <c r="AC85" s="41">
        <f>VLOOKUP(A85,'Input Sheet'!$A$2:$B$232,2,0)</f>
        <v>1082</v>
      </c>
      <c r="AD85" s="259">
        <f t="shared" si="35"/>
        <v>60286.613187401832</v>
      </c>
      <c r="AI85" s="68"/>
      <c r="AL85" s="107">
        <f t="shared" ca="1" si="56"/>
        <v>0</v>
      </c>
      <c r="AM85" s="49">
        <f t="shared" ca="1" si="57"/>
        <v>45869</v>
      </c>
      <c r="AN85" s="137" t="str">
        <f t="shared" ca="1" si="43"/>
        <v xml:space="preserve"> </v>
      </c>
      <c r="AO85" s="107">
        <f t="shared" ca="1" si="44"/>
        <v>0</v>
      </c>
      <c r="AP85" s="143">
        <f t="shared" ca="1" si="36"/>
        <v>0</v>
      </c>
      <c r="AQ85" s="143">
        <f t="shared" ca="1" si="45"/>
        <v>0</v>
      </c>
      <c r="AR85" s="49" t="str">
        <f t="shared" ca="1" si="37"/>
        <v xml:space="preserve"> </v>
      </c>
      <c r="AS85" s="107">
        <f t="shared" ca="1" si="38"/>
        <v>0</v>
      </c>
      <c r="AT85" s="107">
        <f t="shared" ca="1" si="39"/>
        <v>0</v>
      </c>
      <c r="AU85" s="107"/>
      <c r="AV85" s="107">
        <f ca="1">MAX(SUM($AQ$6:AQ85)-SUM($AT$6:AT85),0)</f>
        <v>0</v>
      </c>
      <c r="AW85" s="107">
        <f t="shared" ca="1" si="58"/>
        <v>0</v>
      </c>
      <c r="AX85" s="107">
        <v>0</v>
      </c>
      <c r="AY85" s="138" t="str">
        <f t="shared" ca="1" si="40"/>
        <v xml:space="preserve"> </v>
      </c>
      <c r="AZ85" s="107">
        <f t="shared" ca="1" si="41"/>
        <v>0</v>
      </c>
      <c r="BA85" s="107">
        <f ca="1">IF(AZ85=1,(SUM($AW$6:AW85,$AX$6:AX85)-SUM($BA$6:BA84)),0)</f>
        <v>0</v>
      </c>
      <c r="BB85" s="107"/>
      <c r="BC85" s="107">
        <f ca="1">AV85+SUM($AW$6:AW85)+SUM($AX$6:AX85)-SUM($BA$6:BA85)</f>
        <v>0</v>
      </c>
      <c r="BD85" s="107">
        <f t="shared" ca="1" si="46"/>
        <v>0</v>
      </c>
      <c r="BE85" s="51">
        <f ca="1">'PiT PD Structure'!J125</f>
        <v>4.5410060367290228E-5</v>
      </c>
      <c r="BF85" s="139">
        <f t="shared" ca="1" si="59"/>
        <v>0.45</v>
      </c>
      <c r="BG85" s="51">
        <f t="shared" ca="1" si="47"/>
        <v>1</v>
      </c>
      <c r="BH85" s="50">
        <f t="shared" ca="1" si="42"/>
        <v>0</v>
      </c>
      <c r="BI85" s="50">
        <f t="shared" ca="1" si="63"/>
        <v>3.4816594052244909E-13</v>
      </c>
      <c r="BJ85" s="140">
        <v>0</v>
      </c>
      <c r="BK85" s="140">
        <v>0</v>
      </c>
      <c r="BM85" s="78"/>
      <c r="BR85" s="75">
        <f t="shared" ca="1" si="33"/>
        <v>45869</v>
      </c>
      <c r="BS85" s="74">
        <f t="shared" ca="1" si="48"/>
        <v>7</v>
      </c>
      <c r="BT85" s="74">
        <f t="shared" ca="1" si="49"/>
        <v>0</v>
      </c>
      <c r="BU85" s="73" t="str">
        <f t="shared" ca="1" si="50"/>
        <v xml:space="preserve"> </v>
      </c>
      <c r="BW85" s="75">
        <f t="shared" ca="1" si="60"/>
        <v>45869</v>
      </c>
      <c r="BX85" s="74">
        <f t="shared" ca="1" si="61"/>
        <v>7</v>
      </c>
      <c r="BY85" s="74">
        <f t="shared" ca="1" si="51"/>
        <v>0</v>
      </c>
      <c r="BZ85" s="73" t="str">
        <f t="shared" ca="1" si="52"/>
        <v xml:space="preserve"> </v>
      </c>
      <c r="CB85" s="75">
        <f t="shared" ca="1" si="62"/>
        <v>45869</v>
      </c>
      <c r="CC85" s="74">
        <f t="shared" ca="1" si="53"/>
        <v>7</v>
      </c>
      <c r="CD85" s="74">
        <f t="shared" ca="1" si="54"/>
        <v>0</v>
      </c>
      <c r="CE85" s="73" t="str">
        <f t="shared" ca="1" si="55"/>
        <v xml:space="preserve"> </v>
      </c>
    </row>
    <row r="86" spans="1:83" x14ac:dyDescent="0.2">
      <c r="A86" s="38">
        <f t="shared" si="64"/>
        <v>83</v>
      </c>
      <c r="B86" s="108" t="s">
        <v>436</v>
      </c>
      <c r="C86" s="38" t="s">
        <v>806</v>
      </c>
      <c r="D86" s="137">
        <v>43465</v>
      </c>
      <c r="E86" s="137">
        <v>43434</v>
      </c>
      <c r="F86" s="137">
        <v>41789</v>
      </c>
      <c r="G86" s="122">
        <v>15</v>
      </c>
      <c r="H86" s="137">
        <v>48729</v>
      </c>
      <c r="I86" s="50">
        <v>110190000</v>
      </c>
      <c r="J86" s="50">
        <v>58598647.359999999</v>
      </c>
      <c r="K86" s="50">
        <v>51591352.640000001</v>
      </c>
      <c r="L86" s="38">
        <v>4</v>
      </c>
      <c r="M86" s="38">
        <v>2</v>
      </c>
      <c r="N86" s="38">
        <v>2</v>
      </c>
      <c r="O86" s="50">
        <v>54925647.359999999</v>
      </c>
      <c r="P86" s="218">
        <v>0.02</v>
      </c>
      <c r="Q86" s="50">
        <v>343068.03</v>
      </c>
      <c r="R86" s="50">
        <v>15915291.93688795</v>
      </c>
      <c r="S86" s="38" t="s">
        <v>62</v>
      </c>
      <c r="T86" s="51">
        <v>2.2499999999999999E-2</v>
      </c>
      <c r="U86" s="65">
        <v>0.45</v>
      </c>
      <c r="V86" s="105" t="s">
        <v>493</v>
      </c>
      <c r="W86" s="66">
        <v>13168654.478207251</v>
      </c>
      <c r="X86" s="66">
        <v>1121061.9150820815</v>
      </c>
      <c r="Y86" s="38" t="s">
        <v>239</v>
      </c>
      <c r="Z86" s="66">
        <f t="shared" si="34"/>
        <v>1121061.9150820815</v>
      </c>
      <c r="AA86" s="67"/>
      <c r="AC86" s="41">
        <f>VLOOKUP(A86,'Input Sheet'!$A$2:$B$232,2,0)</f>
        <v>1083</v>
      </c>
      <c r="AD86" s="259">
        <f t="shared" si="35"/>
        <v>1121061.9150820815</v>
      </c>
      <c r="AI86" s="68"/>
      <c r="AL86" s="107">
        <f t="shared" ca="1" si="56"/>
        <v>0</v>
      </c>
      <c r="AM86" s="49">
        <f t="shared" ca="1" si="57"/>
        <v>45900</v>
      </c>
      <c r="AN86" s="137" t="str">
        <f t="shared" ca="1" si="43"/>
        <v xml:space="preserve"> </v>
      </c>
      <c r="AO86" s="107">
        <f t="shared" ca="1" si="44"/>
        <v>0</v>
      </c>
      <c r="AP86" s="143">
        <f t="shared" ca="1" si="36"/>
        <v>0</v>
      </c>
      <c r="AQ86" s="143">
        <f t="shared" ca="1" si="45"/>
        <v>0</v>
      </c>
      <c r="AR86" s="49" t="str">
        <f t="shared" ca="1" si="37"/>
        <v xml:space="preserve"> </v>
      </c>
      <c r="AS86" s="107">
        <f t="shared" ca="1" si="38"/>
        <v>0</v>
      </c>
      <c r="AT86" s="107">
        <f t="shared" ca="1" si="39"/>
        <v>0</v>
      </c>
      <c r="AU86" s="107"/>
      <c r="AV86" s="107">
        <f ca="1">MAX(SUM($AQ$6:AQ86)-SUM($AT$6:AT86),0)</f>
        <v>0</v>
      </c>
      <c r="AW86" s="107">
        <f t="shared" ca="1" si="58"/>
        <v>0</v>
      </c>
      <c r="AX86" s="107">
        <v>0</v>
      </c>
      <c r="AY86" s="138" t="str">
        <f t="shared" ca="1" si="40"/>
        <v xml:space="preserve"> </v>
      </c>
      <c r="AZ86" s="107">
        <f t="shared" ca="1" si="41"/>
        <v>0</v>
      </c>
      <c r="BA86" s="107">
        <f ca="1">IF(AZ86=1,(SUM($AW$6:AW86,$AX$6:AX86)-SUM($BA$6:BA85)),0)</f>
        <v>0</v>
      </c>
      <c r="BB86" s="107"/>
      <c r="BC86" s="107">
        <f ca="1">AV86+SUM($AW$6:AW86)+SUM($AX$6:AX86)-SUM($BA$6:BA86)</f>
        <v>0</v>
      </c>
      <c r="BD86" s="107">
        <f t="shared" ca="1" si="46"/>
        <v>0</v>
      </c>
      <c r="BE86" s="51">
        <f ca="1">'PiT PD Structure'!J126</f>
        <v>4.5407986404288891E-5</v>
      </c>
      <c r="BF86" s="139">
        <f t="shared" ca="1" si="59"/>
        <v>0.45</v>
      </c>
      <c r="BG86" s="51">
        <f t="shared" ca="1" si="47"/>
        <v>1</v>
      </c>
      <c r="BH86" s="50">
        <f t="shared" ca="1" si="42"/>
        <v>0</v>
      </c>
      <c r="BI86" s="50">
        <f t="shared" ca="1" si="63"/>
        <v>3.4816594052244909E-13</v>
      </c>
      <c r="BJ86" s="140">
        <v>0</v>
      </c>
      <c r="BK86" s="140">
        <v>0</v>
      </c>
      <c r="BM86" s="78"/>
      <c r="BR86" s="75">
        <f t="shared" ca="1" si="33"/>
        <v>45900</v>
      </c>
      <c r="BS86" s="74">
        <f t="shared" ca="1" si="48"/>
        <v>8</v>
      </c>
      <c r="BT86" s="74">
        <f t="shared" ca="1" si="49"/>
        <v>0</v>
      </c>
      <c r="BU86" s="73" t="str">
        <f t="shared" ca="1" si="50"/>
        <v xml:space="preserve"> </v>
      </c>
      <c r="BW86" s="75">
        <f t="shared" ca="1" si="60"/>
        <v>45900</v>
      </c>
      <c r="BX86" s="74">
        <f t="shared" ca="1" si="61"/>
        <v>8</v>
      </c>
      <c r="BY86" s="74">
        <f t="shared" ca="1" si="51"/>
        <v>0</v>
      </c>
      <c r="BZ86" s="73" t="str">
        <f t="shared" ca="1" si="52"/>
        <v xml:space="preserve"> </v>
      </c>
      <c r="CB86" s="75">
        <f t="shared" ca="1" si="62"/>
        <v>45900</v>
      </c>
      <c r="CC86" s="74">
        <f t="shared" ca="1" si="53"/>
        <v>8</v>
      </c>
      <c r="CD86" s="74">
        <f t="shared" ca="1" si="54"/>
        <v>0</v>
      </c>
      <c r="CE86" s="73" t="str">
        <f t="shared" ca="1" si="55"/>
        <v xml:space="preserve"> </v>
      </c>
    </row>
    <row r="87" spans="1:83" x14ac:dyDescent="0.2">
      <c r="A87" s="38">
        <f t="shared" si="64"/>
        <v>84</v>
      </c>
      <c r="B87" s="108" t="s">
        <v>437</v>
      </c>
      <c r="C87" s="38" t="s">
        <v>806</v>
      </c>
      <c r="D87" s="137">
        <v>43465</v>
      </c>
      <c r="E87" s="137">
        <v>43495</v>
      </c>
      <c r="F87" s="137">
        <v>42034</v>
      </c>
      <c r="G87" s="122">
        <v>15</v>
      </c>
      <c r="H87" s="137">
        <v>48790</v>
      </c>
      <c r="I87" s="50">
        <v>53258500</v>
      </c>
      <c r="J87" s="50">
        <v>14825408.35</v>
      </c>
      <c r="K87" s="50">
        <v>38433091.649999999</v>
      </c>
      <c r="L87" s="38">
        <v>2</v>
      </c>
      <c r="M87" s="38">
        <v>2</v>
      </c>
      <c r="N87" s="38">
        <v>2</v>
      </c>
      <c r="O87" s="50">
        <v>14825408.35</v>
      </c>
      <c r="P87" s="218">
        <v>0.02</v>
      </c>
      <c r="Q87" s="50">
        <v>157645.16</v>
      </c>
      <c r="R87" s="50">
        <v>7868749.3944937941</v>
      </c>
      <c r="S87" s="38" t="s">
        <v>60</v>
      </c>
      <c r="T87" s="51">
        <v>2.75E-2</v>
      </c>
      <c r="U87" s="65">
        <v>0.45</v>
      </c>
      <c r="V87" s="105" t="s">
        <v>495</v>
      </c>
      <c r="W87" s="66">
        <v>2947512.1496573319</v>
      </c>
      <c r="X87" s="66">
        <v>108820.0459379113</v>
      </c>
      <c r="Y87" s="38" t="s">
        <v>239</v>
      </c>
      <c r="Z87" s="66">
        <f t="shared" si="34"/>
        <v>108820.0459379113</v>
      </c>
      <c r="AA87" s="67"/>
      <c r="AC87" s="41">
        <f>VLOOKUP(A87,'Input Sheet'!$A$2:$B$232,2,0)</f>
        <v>1084</v>
      </c>
      <c r="AD87" s="259">
        <f t="shared" si="35"/>
        <v>108820.0459379113</v>
      </c>
      <c r="AI87" s="68"/>
      <c r="AL87" s="107">
        <f t="shared" ca="1" si="56"/>
        <v>0</v>
      </c>
      <c r="AM87" s="49">
        <f t="shared" ca="1" si="57"/>
        <v>45930</v>
      </c>
      <c r="AN87" s="137" t="str">
        <f t="shared" ca="1" si="43"/>
        <v xml:space="preserve"> </v>
      </c>
      <c r="AO87" s="107">
        <f t="shared" ca="1" si="44"/>
        <v>0</v>
      </c>
      <c r="AP87" s="143">
        <f t="shared" ca="1" si="36"/>
        <v>0</v>
      </c>
      <c r="AQ87" s="143">
        <f t="shared" ca="1" si="45"/>
        <v>0</v>
      </c>
      <c r="AR87" s="49" t="str">
        <f t="shared" ca="1" si="37"/>
        <v xml:space="preserve"> </v>
      </c>
      <c r="AS87" s="107">
        <f t="shared" ca="1" si="38"/>
        <v>0</v>
      </c>
      <c r="AT87" s="107">
        <f t="shared" ca="1" si="39"/>
        <v>0</v>
      </c>
      <c r="AU87" s="107"/>
      <c r="AV87" s="107">
        <f ca="1">MAX(SUM($AQ$6:AQ87)-SUM($AT$6:AT87),0)</f>
        <v>0</v>
      </c>
      <c r="AW87" s="107">
        <f t="shared" ca="1" si="58"/>
        <v>0</v>
      </c>
      <c r="AX87" s="107">
        <v>0</v>
      </c>
      <c r="AY87" s="138" t="str">
        <f t="shared" ca="1" si="40"/>
        <v xml:space="preserve"> </v>
      </c>
      <c r="AZ87" s="107">
        <f t="shared" ca="1" si="41"/>
        <v>0</v>
      </c>
      <c r="BA87" s="107">
        <f ca="1">IF(AZ87=1,(SUM($AW$6:AW87,$AX$6:AX87)-SUM($BA$6:BA86)),0)</f>
        <v>0</v>
      </c>
      <c r="BB87" s="107"/>
      <c r="BC87" s="107">
        <f ca="1">AV87+SUM($AW$6:AW87)+SUM($AX$6:AX87)-SUM($BA$6:BA87)</f>
        <v>0</v>
      </c>
      <c r="BD87" s="107">
        <f t="shared" ca="1" si="46"/>
        <v>0</v>
      </c>
      <c r="BE87" s="51">
        <f ca="1">'PiT PD Structure'!J127</f>
        <v>4.5405912536100601E-5</v>
      </c>
      <c r="BF87" s="139">
        <f t="shared" ca="1" si="59"/>
        <v>0.45</v>
      </c>
      <c r="BG87" s="51">
        <f t="shared" ca="1" si="47"/>
        <v>1</v>
      </c>
      <c r="BH87" s="50">
        <f t="shared" ca="1" si="42"/>
        <v>0</v>
      </c>
      <c r="BI87" s="50">
        <f t="shared" ca="1" si="63"/>
        <v>3.4816594052244909E-13</v>
      </c>
      <c r="BJ87" s="140">
        <v>0</v>
      </c>
      <c r="BK87" s="140">
        <v>0</v>
      </c>
      <c r="BM87" s="78"/>
      <c r="BR87" s="75">
        <f t="shared" ca="1" si="33"/>
        <v>45930</v>
      </c>
      <c r="BS87" s="74">
        <f t="shared" ca="1" si="48"/>
        <v>9</v>
      </c>
      <c r="BT87" s="74">
        <f t="shared" ca="1" si="49"/>
        <v>0</v>
      </c>
      <c r="BU87" s="73" t="str">
        <f t="shared" ca="1" si="50"/>
        <v xml:space="preserve"> </v>
      </c>
      <c r="BW87" s="75">
        <f t="shared" ca="1" si="60"/>
        <v>45930</v>
      </c>
      <c r="BX87" s="74">
        <f t="shared" ca="1" si="61"/>
        <v>9</v>
      </c>
      <c r="BY87" s="74">
        <f t="shared" ca="1" si="51"/>
        <v>0</v>
      </c>
      <c r="BZ87" s="73" t="str">
        <f t="shared" ca="1" si="52"/>
        <v xml:space="preserve"> </v>
      </c>
      <c r="CB87" s="75">
        <f t="shared" ca="1" si="62"/>
        <v>45930</v>
      </c>
      <c r="CC87" s="74">
        <f t="shared" ca="1" si="53"/>
        <v>9</v>
      </c>
      <c r="CD87" s="74">
        <f t="shared" ca="1" si="54"/>
        <v>0</v>
      </c>
      <c r="CE87" s="73" t="str">
        <f t="shared" ca="1" si="55"/>
        <v xml:space="preserve"> </v>
      </c>
    </row>
    <row r="88" spans="1:83" x14ac:dyDescent="0.2">
      <c r="A88" s="38">
        <f t="shared" si="64"/>
        <v>85</v>
      </c>
      <c r="B88" s="108" t="s">
        <v>438</v>
      </c>
      <c r="C88" s="38" t="s">
        <v>806</v>
      </c>
      <c r="D88" s="137">
        <v>43465</v>
      </c>
      <c r="E88" s="137">
        <v>43525</v>
      </c>
      <c r="F88" s="137">
        <v>41973</v>
      </c>
      <c r="G88" s="122">
        <v>15</v>
      </c>
      <c r="H88" s="137">
        <v>48823</v>
      </c>
      <c r="I88" s="50">
        <v>356281000</v>
      </c>
      <c r="J88" s="50">
        <v>46454971.920000002</v>
      </c>
      <c r="K88" s="50">
        <v>309826028.07999998</v>
      </c>
      <c r="L88" s="38">
        <v>4</v>
      </c>
      <c r="M88" s="38">
        <v>2</v>
      </c>
      <c r="N88" s="38">
        <v>2</v>
      </c>
      <c r="O88" s="50">
        <v>46454971.920000002</v>
      </c>
      <c r="P88" s="218">
        <v>0.03</v>
      </c>
      <c r="Q88" s="50">
        <v>467910.04</v>
      </c>
      <c r="R88" s="50">
        <v>80210330.123477638</v>
      </c>
      <c r="S88" s="38" t="s">
        <v>60</v>
      </c>
      <c r="T88" s="51">
        <v>2.6249999999999999E-2</v>
      </c>
      <c r="U88" s="65">
        <v>0.45</v>
      </c>
      <c r="V88" s="105" t="s">
        <v>530</v>
      </c>
      <c r="W88" s="66">
        <v>21625026.195211716</v>
      </c>
      <c r="X88" s="66">
        <v>803539.25468127837</v>
      </c>
      <c r="Y88" s="38" t="s">
        <v>239</v>
      </c>
      <c r="Z88" s="66">
        <f t="shared" si="34"/>
        <v>803539.25468127837</v>
      </c>
      <c r="AA88" s="67"/>
      <c r="AC88" s="41">
        <f>VLOOKUP(A88,'Input Sheet'!$A$2:$B$232,2,0)</f>
        <v>1085</v>
      </c>
      <c r="AD88" s="259">
        <f t="shared" si="35"/>
        <v>803539.25468127837</v>
      </c>
      <c r="AI88" s="68"/>
      <c r="AL88" s="107">
        <f t="shared" ca="1" si="56"/>
        <v>0</v>
      </c>
      <c r="AM88" s="49">
        <f t="shared" ca="1" si="57"/>
        <v>45961</v>
      </c>
      <c r="AN88" s="137" t="str">
        <f t="shared" ca="1" si="43"/>
        <v xml:space="preserve"> </v>
      </c>
      <c r="AO88" s="107">
        <f t="shared" ca="1" si="44"/>
        <v>0</v>
      </c>
      <c r="AP88" s="143">
        <f t="shared" ca="1" si="36"/>
        <v>0</v>
      </c>
      <c r="AQ88" s="143">
        <f t="shared" ca="1" si="45"/>
        <v>0</v>
      </c>
      <c r="AR88" s="49" t="str">
        <f t="shared" ca="1" si="37"/>
        <v xml:space="preserve"> </v>
      </c>
      <c r="AS88" s="107">
        <f t="shared" ca="1" si="38"/>
        <v>0</v>
      </c>
      <c r="AT88" s="107">
        <f t="shared" ca="1" si="39"/>
        <v>0</v>
      </c>
      <c r="AU88" s="107"/>
      <c r="AV88" s="107">
        <f ca="1">MAX(SUM($AQ$6:AQ88)-SUM($AT$6:AT88),0)</f>
        <v>0</v>
      </c>
      <c r="AW88" s="107">
        <f t="shared" ca="1" si="58"/>
        <v>0</v>
      </c>
      <c r="AX88" s="107">
        <v>0</v>
      </c>
      <c r="AY88" s="138" t="str">
        <f t="shared" ca="1" si="40"/>
        <v xml:space="preserve"> </v>
      </c>
      <c r="AZ88" s="107">
        <f t="shared" ca="1" si="41"/>
        <v>0</v>
      </c>
      <c r="BA88" s="107">
        <f ca="1">IF(AZ88=1,(SUM($AW$6:AW88,$AX$6:AX88)-SUM($BA$6:BA87)),0)</f>
        <v>0</v>
      </c>
      <c r="BB88" s="107"/>
      <c r="BC88" s="107">
        <f ca="1">AV88+SUM($AW$6:AW88)+SUM($AX$6:AX88)-SUM($BA$6:BA88)</f>
        <v>0</v>
      </c>
      <c r="BD88" s="107">
        <f t="shared" ca="1" si="46"/>
        <v>0</v>
      </c>
      <c r="BE88" s="51">
        <f ca="1">'PiT PD Structure'!J128</f>
        <v>4.5403838762281268E-5</v>
      </c>
      <c r="BF88" s="139">
        <f t="shared" ca="1" si="59"/>
        <v>0.45</v>
      </c>
      <c r="BG88" s="51">
        <f t="shared" ca="1" si="47"/>
        <v>1</v>
      </c>
      <c r="BH88" s="50">
        <f t="shared" ca="1" si="42"/>
        <v>0</v>
      </c>
      <c r="BI88" s="50">
        <f t="shared" ca="1" si="63"/>
        <v>3.4816594052244909E-13</v>
      </c>
      <c r="BJ88" s="140">
        <v>0</v>
      </c>
      <c r="BK88" s="140">
        <v>0</v>
      </c>
      <c r="BM88" s="78"/>
      <c r="BR88" s="75">
        <f t="shared" ca="1" si="33"/>
        <v>45961</v>
      </c>
      <c r="BS88" s="74">
        <f t="shared" ca="1" si="48"/>
        <v>10</v>
      </c>
      <c r="BT88" s="74">
        <f t="shared" ca="1" si="49"/>
        <v>0</v>
      </c>
      <c r="BU88" s="73" t="str">
        <f t="shared" ca="1" si="50"/>
        <v xml:space="preserve"> </v>
      </c>
      <c r="BW88" s="75">
        <f t="shared" ca="1" si="60"/>
        <v>45961</v>
      </c>
      <c r="BX88" s="74">
        <f t="shared" ca="1" si="61"/>
        <v>10</v>
      </c>
      <c r="BY88" s="74">
        <f t="shared" ca="1" si="51"/>
        <v>0</v>
      </c>
      <c r="BZ88" s="73" t="str">
        <f t="shared" ca="1" si="52"/>
        <v xml:space="preserve"> </v>
      </c>
      <c r="CB88" s="75">
        <f t="shared" ca="1" si="62"/>
        <v>45961</v>
      </c>
      <c r="CC88" s="74">
        <f t="shared" ca="1" si="53"/>
        <v>10</v>
      </c>
      <c r="CD88" s="74">
        <f t="shared" ca="1" si="54"/>
        <v>0</v>
      </c>
      <c r="CE88" s="73" t="str">
        <f t="shared" ca="1" si="55"/>
        <v xml:space="preserve"> </v>
      </c>
    </row>
    <row r="89" spans="1:83" x14ac:dyDescent="0.2">
      <c r="A89" s="38">
        <f t="shared" si="64"/>
        <v>86</v>
      </c>
      <c r="B89" s="108" t="s">
        <v>439</v>
      </c>
      <c r="C89" s="38" t="s">
        <v>806</v>
      </c>
      <c r="D89" s="137">
        <v>43465</v>
      </c>
      <c r="E89" s="137">
        <v>43585</v>
      </c>
      <c r="F89" s="137">
        <v>41942</v>
      </c>
      <c r="G89" s="122">
        <v>15</v>
      </c>
      <c r="H89" s="137">
        <v>48882</v>
      </c>
      <c r="I89" s="50">
        <v>18365000</v>
      </c>
      <c r="J89" s="50">
        <v>691321.16</v>
      </c>
      <c r="K89" s="50">
        <v>17673678.84</v>
      </c>
      <c r="L89" s="38">
        <v>4</v>
      </c>
      <c r="M89" s="38">
        <v>2</v>
      </c>
      <c r="N89" s="38">
        <v>2</v>
      </c>
      <c r="O89" s="50">
        <v>691321.16</v>
      </c>
      <c r="P89" s="218">
        <v>0.01</v>
      </c>
      <c r="Q89" s="50">
        <v>1152.18</v>
      </c>
      <c r="R89" s="50">
        <v>1403139.4030868637</v>
      </c>
      <c r="S89" s="38" t="s">
        <v>62</v>
      </c>
      <c r="T89" s="51">
        <v>2.2499999999999999E-2</v>
      </c>
      <c r="U89" s="65">
        <v>0.45</v>
      </c>
      <c r="V89" s="105" t="s">
        <v>493</v>
      </c>
      <c r="W89" s="66">
        <v>2313436.9463191838</v>
      </c>
      <c r="X89" s="66">
        <v>191707.46777561281</v>
      </c>
      <c r="Y89" s="38" t="s">
        <v>239</v>
      </c>
      <c r="Z89" s="66">
        <f t="shared" si="34"/>
        <v>191707.46777561281</v>
      </c>
      <c r="AA89" s="67"/>
      <c r="AC89" s="41">
        <f>VLOOKUP(A89,'Input Sheet'!$A$2:$B$232,2,0)</f>
        <v>1086</v>
      </c>
      <c r="AD89" s="259">
        <f t="shared" si="35"/>
        <v>191707.46777561281</v>
      </c>
      <c r="AI89" s="68"/>
      <c r="AL89" s="107">
        <f t="shared" ca="1" si="56"/>
        <v>0</v>
      </c>
      <c r="AM89" s="49">
        <f t="shared" ca="1" si="57"/>
        <v>45991</v>
      </c>
      <c r="AN89" s="137" t="str">
        <f t="shared" ca="1" si="43"/>
        <v xml:space="preserve"> </v>
      </c>
      <c r="AO89" s="107">
        <f t="shared" ca="1" si="44"/>
        <v>0</v>
      </c>
      <c r="AP89" s="143">
        <f t="shared" ca="1" si="36"/>
        <v>0</v>
      </c>
      <c r="AQ89" s="143">
        <f t="shared" ca="1" si="45"/>
        <v>0</v>
      </c>
      <c r="AR89" s="49" t="str">
        <f t="shared" ca="1" si="37"/>
        <v xml:space="preserve"> </v>
      </c>
      <c r="AS89" s="107">
        <f t="shared" ca="1" si="38"/>
        <v>0</v>
      </c>
      <c r="AT89" s="107">
        <f t="shared" ca="1" si="39"/>
        <v>0</v>
      </c>
      <c r="AU89" s="107"/>
      <c r="AV89" s="107">
        <f ca="1">MAX(SUM($AQ$6:AQ89)-SUM($AT$6:AT89),0)</f>
        <v>0</v>
      </c>
      <c r="AW89" s="107">
        <f t="shared" ca="1" si="58"/>
        <v>0</v>
      </c>
      <c r="AX89" s="107">
        <v>0</v>
      </c>
      <c r="AY89" s="138" t="str">
        <f t="shared" ca="1" si="40"/>
        <v xml:space="preserve"> </v>
      </c>
      <c r="AZ89" s="107">
        <f t="shared" ca="1" si="41"/>
        <v>0</v>
      </c>
      <c r="BA89" s="107">
        <f ca="1">IF(AZ89=1,(SUM($AW$6:AW89,$AX$6:AX89)-SUM($BA$6:BA88)),0)</f>
        <v>0</v>
      </c>
      <c r="BB89" s="107"/>
      <c r="BC89" s="107">
        <f ca="1">AV89+SUM($AW$6:AW89)+SUM($AX$6:AX89)-SUM($BA$6:BA89)</f>
        <v>0</v>
      </c>
      <c r="BD89" s="107">
        <f t="shared" ca="1" si="46"/>
        <v>0</v>
      </c>
      <c r="BE89" s="51">
        <f ca="1">'PiT PD Structure'!J129</f>
        <v>4.5401765083497025E-5</v>
      </c>
      <c r="BF89" s="139">
        <f t="shared" ca="1" si="59"/>
        <v>0.45</v>
      </c>
      <c r="BG89" s="51">
        <f t="shared" ca="1" si="47"/>
        <v>1</v>
      </c>
      <c r="BH89" s="50">
        <f t="shared" ca="1" si="42"/>
        <v>0</v>
      </c>
      <c r="BI89" s="50">
        <f t="shared" ca="1" si="63"/>
        <v>3.4816594052244909E-13</v>
      </c>
      <c r="BJ89" s="140">
        <v>0</v>
      </c>
      <c r="BK89" s="140">
        <v>0</v>
      </c>
      <c r="BM89" s="78"/>
      <c r="BR89" s="75">
        <f t="shared" ca="1" si="33"/>
        <v>45991</v>
      </c>
      <c r="BS89" s="74">
        <f t="shared" ca="1" si="48"/>
        <v>11</v>
      </c>
      <c r="BT89" s="74">
        <f t="shared" ca="1" si="49"/>
        <v>0</v>
      </c>
      <c r="BU89" s="73" t="str">
        <f t="shared" ca="1" si="50"/>
        <v xml:space="preserve"> </v>
      </c>
      <c r="BW89" s="75">
        <f t="shared" ca="1" si="60"/>
        <v>45991</v>
      </c>
      <c r="BX89" s="74">
        <f t="shared" ca="1" si="61"/>
        <v>11</v>
      </c>
      <c r="BY89" s="74">
        <f t="shared" ca="1" si="51"/>
        <v>0</v>
      </c>
      <c r="BZ89" s="73" t="str">
        <f t="shared" ca="1" si="52"/>
        <v xml:space="preserve"> </v>
      </c>
      <c r="CB89" s="75">
        <f t="shared" ca="1" si="62"/>
        <v>45991</v>
      </c>
      <c r="CC89" s="74">
        <f t="shared" ca="1" si="53"/>
        <v>11</v>
      </c>
      <c r="CD89" s="74">
        <f t="shared" ca="1" si="54"/>
        <v>0</v>
      </c>
      <c r="CE89" s="73" t="str">
        <f t="shared" ca="1" si="55"/>
        <v xml:space="preserve"> </v>
      </c>
    </row>
    <row r="90" spans="1:83" x14ac:dyDescent="0.2">
      <c r="A90" s="38">
        <f t="shared" si="64"/>
        <v>87</v>
      </c>
      <c r="B90" s="108" t="s">
        <v>440</v>
      </c>
      <c r="C90" s="38" t="s">
        <v>806</v>
      </c>
      <c r="D90" s="137">
        <v>43465</v>
      </c>
      <c r="E90" s="137">
        <v>43647</v>
      </c>
      <c r="F90" s="137">
        <v>42005</v>
      </c>
      <c r="G90" s="122">
        <v>15</v>
      </c>
      <c r="H90" s="137">
        <v>48945</v>
      </c>
      <c r="I90" s="50">
        <v>33057000</v>
      </c>
      <c r="J90" s="50">
        <v>8356097.04</v>
      </c>
      <c r="K90" s="50">
        <v>24700902.960000001</v>
      </c>
      <c r="L90" s="38">
        <v>1</v>
      </c>
      <c r="M90" s="38">
        <v>2</v>
      </c>
      <c r="N90" s="38">
        <v>2</v>
      </c>
      <c r="O90" s="50">
        <v>8356097.04</v>
      </c>
      <c r="P90" s="218">
        <v>0.01</v>
      </c>
      <c r="Q90" s="50">
        <v>59495.56</v>
      </c>
      <c r="R90" s="50">
        <v>2591253.0566694625</v>
      </c>
      <c r="S90" s="38" t="s">
        <v>62</v>
      </c>
      <c r="T90" s="51">
        <v>1.4999999999999999E-2</v>
      </c>
      <c r="U90" s="65">
        <v>0.45</v>
      </c>
      <c r="V90" s="105" t="s">
        <v>528</v>
      </c>
      <c r="W90" s="66">
        <v>4802028.9167074282</v>
      </c>
      <c r="X90" s="66">
        <v>389123.45300412952</v>
      </c>
      <c r="Y90" s="38" t="s">
        <v>239</v>
      </c>
      <c r="Z90" s="66">
        <f t="shared" si="34"/>
        <v>389123.45300412952</v>
      </c>
      <c r="AA90" s="67"/>
      <c r="AC90" s="41">
        <f>VLOOKUP(A90,'Input Sheet'!$A$2:$B$232,2,0)</f>
        <v>1087</v>
      </c>
      <c r="AD90" s="259">
        <f t="shared" si="35"/>
        <v>389123.45300412952</v>
      </c>
      <c r="AI90" s="68"/>
      <c r="AL90" s="107">
        <f t="shared" ca="1" si="56"/>
        <v>0</v>
      </c>
      <c r="AM90" s="49">
        <f t="shared" ca="1" si="57"/>
        <v>46022</v>
      </c>
      <c r="AN90" s="137" t="str">
        <f t="shared" ca="1" si="43"/>
        <v xml:space="preserve"> </v>
      </c>
      <c r="AO90" s="107">
        <f t="shared" ca="1" si="44"/>
        <v>0</v>
      </c>
      <c r="AP90" s="143">
        <f t="shared" ca="1" si="36"/>
        <v>0</v>
      </c>
      <c r="AQ90" s="143">
        <f t="shared" ca="1" si="45"/>
        <v>0</v>
      </c>
      <c r="AR90" s="49" t="str">
        <f t="shared" ca="1" si="37"/>
        <v xml:space="preserve"> </v>
      </c>
      <c r="AS90" s="107">
        <f t="shared" ca="1" si="38"/>
        <v>0</v>
      </c>
      <c r="AT90" s="107">
        <f t="shared" ca="1" si="39"/>
        <v>0</v>
      </c>
      <c r="AU90" s="107"/>
      <c r="AV90" s="107">
        <f ca="1">MAX(SUM($AQ$6:AQ90)-SUM($AT$6:AT90),0)</f>
        <v>0</v>
      </c>
      <c r="AW90" s="107">
        <f t="shared" ca="1" si="58"/>
        <v>0</v>
      </c>
      <c r="AX90" s="107">
        <v>0</v>
      </c>
      <c r="AY90" s="138" t="str">
        <f t="shared" ca="1" si="40"/>
        <v xml:space="preserve"> </v>
      </c>
      <c r="AZ90" s="107">
        <f t="shared" ca="1" si="41"/>
        <v>0</v>
      </c>
      <c r="BA90" s="107">
        <f ca="1">IF(AZ90=1,(SUM($AW$6:AW90,$AX$6:AX90)-SUM($BA$6:BA89)),0)</f>
        <v>0</v>
      </c>
      <c r="BB90" s="107"/>
      <c r="BC90" s="107">
        <f ca="1">AV90+SUM($AW$6:AW90)+SUM($AX$6:AX90)-SUM($BA$6:BA90)</f>
        <v>0</v>
      </c>
      <c r="BD90" s="107">
        <f t="shared" ca="1" si="46"/>
        <v>0</v>
      </c>
      <c r="BE90" s="51">
        <f ca="1">'PiT PD Structure'!J130</f>
        <v>8.653822745247064E-4</v>
      </c>
      <c r="BF90" s="139">
        <f t="shared" ca="1" si="59"/>
        <v>0.45</v>
      </c>
      <c r="BG90" s="51">
        <f t="shared" ca="1" si="47"/>
        <v>1</v>
      </c>
      <c r="BH90" s="50">
        <f t="shared" ca="1" si="42"/>
        <v>0</v>
      </c>
      <c r="BI90" s="50">
        <f t="shared" ca="1" si="63"/>
        <v>3.4816594052244909E-13</v>
      </c>
      <c r="BJ90" s="140">
        <v>0</v>
      </c>
      <c r="BK90" s="140">
        <v>0</v>
      </c>
      <c r="BM90" s="78"/>
      <c r="BR90" s="75">
        <f t="shared" ca="1" si="33"/>
        <v>46022</v>
      </c>
      <c r="BS90" s="74">
        <f t="shared" ca="1" si="48"/>
        <v>12</v>
      </c>
      <c r="BT90" s="74">
        <f t="shared" ca="1" si="49"/>
        <v>0</v>
      </c>
      <c r="BU90" s="73" t="str">
        <f t="shared" ca="1" si="50"/>
        <v xml:space="preserve"> </v>
      </c>
      <c r="BW90" s="75">
        <f t="shared" ca="1" si="60"/>
        <v>46022</v>
      </c>
      <c r="BX90" s="74">
        <f t="shared" ca="1" si="61"/>
        <v>12</v>
      </c>
      <c r="BY90" s="74">
        <f t="shared" ca="1" si="51"/>
        <v>0</v>
      </c>
      <c r="BZ90" s="73" t="str">
        <f t="shared" ca="1" si="52"/>
        <v xml:space="preserve"> </v>
      </c>
      <c r="CB90" s="75">
        <f t="shared" ca="1" si="62"/>
        <v>46022</v>
      </c>
      <c r="CC90" s="74">
        <f t="shared" ca="1" si="53"/>
        <v>12</v>
      </c>
      <c r="CD90" s="74">
        <f t="shared" ca="1" si="54"/>
        <v>0</v>
      </c>
      <c r="CE90" s="73" t="str">
        <f t="shared" ca="1" si="55"/>
        <v xml:space="preserve"> </v>
      </c>
    </row>
    <row r="91" spans="1:83" x14ac:dyDescent="0.2">
      <c r="A91" s="38">
        <f t="shared" si="64"/>
        <v>88</v>
      </c>
      <c r="B91" s="108" t="s">
        <v>441</v>
      </c>
      <c r="C91" s="38" t="s">
        <v>806</v>
      </c>
      <c r="D91" s="137">
        <v>43465</v>
      </c>
      <c r="E91" s="137">
        <v>43647</v>
      </c>
      <c r="F91" s="137">
        <v>42005</v>
      </c>
      <c r="G91" s="122">
        <v>15</v>
      </c>
      <c r="H91" s="137">
        <v>48945</v>
      </c>
      <c r="I91" s="50">
        <v>36730000</v>
      </c>
      <c r="J91" s="50">
        <v>17951803.960000001</v>
      </c>
      <c r="K91" s="50">
        <v>18778196.039999999</v>
      </c>
      <c r="L91" s="38">
        <v>4</v>
      </c>
      <c r="M91" s="38">
        <v>2</v>
      </c>
      <c r="N91" s="38">
        <v>2</v>
      </c>
      <c r="O91" s="50">
        <v>17951803.960000001</v>
      </c>
      <c r="P91" s="218">
        <v>0.02</v>
      </c>
      <c r="Q91" s="50">
        <v>205384.77</v>
      </c>
      <c r="R91" s="50">
        <v>5758340.1259321431</v>
      </c>
      <c r="S91" s="38" t="s">
        <v>62</v>
      </c>
      <c r="T91" s="51">
        <v>2.5000000000000001E-2</v>
      </c>
      <c r="U91" s="65">
        <v>0.45</v>
      </c>
      <c r="V91" s="105" t="s">
        <v>490</v>
      </c>
      <c r="W91" s="66">
        <v>5591319.2404316338</v>
      </c>
      <c r="X91" s="66">
        <v>453981.69006014755</v>
      </c>
      <c r="Y91" s="38" t="s">
        <v>239</v>
      </c>
      <c r="Z91" s="66">
        <f t="shared" si="34"/>
        <v>453981.69006014755</v>
      </c>
      <c r="AA91" s="67"/>
      <c r="AC91" s="41">
        <f>VLOOKUP(A91,'Input Sheet'!$A$2:$B$232,2,0)</f>
        <v>1088</v>
      </c>
      <c r="AD91" s="259">
        <f t="shared" si="35"/>
        <v>453981.69006014755</v>
      </c>
      <c r="AI91" s="68"/>
      <c r="AL91" s="107">
        <f t="shared" ca="1" si="56"/>
        <v>0</v>
      </c>
      <c r="AM91" s="49">
        <f t="shared" ca="1" si="57"/>
        <v>46053</v>
      </c>
      <c r="AN91" s="137" t="str">
        <f t="shared" ca="1" si="43"/>
        <v xml:space="preserve"> </v>
      </c>
      <c r="AO91" s="107">
        <f t="shared" ca="1" si="44"/>
        <v>0</v>
      </c>
      <c r="AP91" s="143">
        <f t="shared" ca="1" si="36"/>
        <v>0</v>
      </c>
      <c r="AQ91" s="143">
        <f t="shared" ca="1" si="45"/>
        <v>0</v>
      </c>
      <c r="AR91" s="49" t="str">
        <f t="shared" ca="1" si="37"/>
        <v xml:space="preserve"> </v>
      </c>
      <c r="AS91" s="107">
        <f t="shared" ca="1" si="38"/>
        <v>0</v>
      </c>
      <c r="AT91" s="107">
        <f t="shared" ca="1" si="39"/>
        <v>0</v>
      </c>
      <c r="AU91" s="107"/>
      <c r="AV91" s="107">
        <f ca="1">MAX(SUM($AQ$6:AQ91)-SUM($AT$6:AT91),0)</f>
        <v>0</v>
      </c>
      <c r="AW91" s="107">
        <f t="shared" ca="1" si="58"/>
        <v>0</v>
      </c>
      <c r="AX91" s="107">
        <v>0</v>
      </c>
      <c r="AY91" s="138" t="str">
        <f t="shared" ca="1" si="40"/>
        <v xml:space="preserve"> </v>
      </c>
      <c r="AZ91" s="107">
        <f t="shared" ca="1" si="41"/>
        <v>0</v>
      </c>
      <c r="BA91" s="107">
        <f ca="1">IF(AZ91=1,(SUM($AW$6:AW91,$AX$6:AX91)-SUM($BA$6:BA90)),0)</f>
        <v>0</v>
      </c>
      <c r="BB91" s="107"/>
      <c r="BC91" s="107">
        <f ca="1">AV91+SUM($AW$6:AW91)+SUM($AX$6:AX91)-SUM($BA$6:BA91)</f>
        <v>0</v>
      </c>
      <c r="BD91" s="107">
        <f t="shared" ca="1" si="46"/>
        <v>0</v>
      </c>
      <c r="BE91" s="51">
        <f ca="1">'PiT PD Structure'!J131</f>
        <v>4.9131355967624302E-5</v>
      </c>
      <c r="BF91" s="139">
        <f t="shared" ca="1" si="59"/>
        <v>0.45</v>
      </c>
      <c r="BG91" s="51">
        <f t="shared" ca="1" si="47"/>
        <v>1</v>
      </c>
      <c r="BH91" s="50">
        <f t="shared" ca="1" si="42"/>
        <v>0</v>
      </c>
      <c r="BI91" s="50">
        <f t="shared" ca="1" si="63"/>
        <v>3.4816594052244909E-13</v>
      </c>
      <c r="BJ91" s="140">
        <v>0</v>
      </c>
      <c r="BK91" s="140">
        <v>0</v>
      </c>
      <c r="BM91" s="78"/>
      <c r="BR91" s="75">
        <f t="shared" ca="1" si="33"/>
        <v>46053</v>
      </c>
      <c r="BS91" s="74">
        <f t="shared" ca="1" si="48"/>
        <v>1</v>
      </c>
      <c r="BT91" s="74">
        <f t="shared" ca="1" si="49"/>
        <v>0</v>
      </c>
      <c r="BU91" s="73" t="str">
        <f t="shared" ca="1" si="50"/>
        <v xml:space="preserve"> </v>
      </c>
      <c r="BW91" s="75">
        <f t="shared" ca="1" si="60"/>
        <v>46053</v>
      </c>
      <c r="BX91" s="74">
        <f t="shared" ca="1" si="61"/>
        <v>1</v>
      </c>
      <c r="BY91" s="74">
        <f t="shared" ca="1" si="51"/>
        <v>0</v>
      </c>
      <c r="BZ91" s="73" t="str">
        <f t="shared" ca="1" si="52"/>
        <v xml:space="preserve"> </v>
      </c>
      <c r="CB91" s="75">
        <f t="shared" ca="1" si="62"/>
        <v>46053</v>
      </c>
      <c r="CC91" s="74">
        <f t="shared" ca="1" si="53"/>
        <v>1</v>
      </c>
      <c r="CD91" s="74">
        <f t="shared" ca="1" si="54"/>
        <v>0</v>
      </c>
      <c r="CE91" s="73" t="str">
        <f t="shared" ca="1" si="55"/>
        <v xml:space="preserve"> </v>
      </c>
    </row>
    <row r="92" spans="1:83" x14ac:dyDescent="0.2">
      <c r="A92" s="38">
        <f t="shared" si="64"/>
        <v>89</v>
      </c>
      <c r="B92" s="108" t="s">
        <v>442</v>
      </c>
      <c r="C92" s="38" t="s">
        <v>806</v>
      </c>
      <c r="D92" s="137">
        <v>43465</v>
      </c>
      <c r="E92" s="137">
        <v>43753</v>
      </c>
      <c r="F92" s="137">
        <v>42109</v>
      </c>
      <c r="G92" s="122">
        <v>15</v>
      </c>
      <c r="H92" s="137">
        <v>49049</v>
      </c>
      <c r="I92" s="50">
        <v>367300000</v>
      </c>
      <c r="J92" s="50">
        <v>343608567.06</v>
      </c>
      <c r="K92" s="50">
        <v>23691432.939999998</v>
      </c>
      <c r="L92" s="38">
        <v>12</v>
      </c>
      <c r="M92" s="38">
        <v>2</v>
      </c>
      <c r="N92" s="38">
        <v>2</v>
      </c>
      <c r="O92" s="50">
        <v>343608567.06</v>
      </c>
      <c r="P92" s="218">
        <v>0.01</v>
      </c>
      <c r="Q92" s="50">
        <v>715851.14</v>
      </c>
      <c r="R92" s="50">
        <v>29858371.034453675</v>
      </c>
      <c r="S92" s="38" t="s">
        <v>12</v>
      </c>
      <c r="T92" s="51">
        <v>2.8999999999999998E-2</v>
      </c>
      <c r="U92" s="65">
        <v>0.45</v>
      </c>
      <c r="V92" s="105" t="s">
        <v>231</v>
      </c>
      <c r="W92" s="66">
        <v>61886268.315340362</v>
      </c>
      <c r="X92" s="66">
        <v>5036324.1763731232</v>
      </c>
      <c r="Y92" s="38" t="s">
        <v>239</v>
      </c>
      <c r="Z92" s="66">
        <f t="shared" si="34"/>
        <v>5036324.1763731232</v>
      </c>
      <c r="AA92" s="67"/>
      <c r="AC92" s="41">
        <f>VLOOKUP(A92,'Input Sheet'!$A$2:$B$232,2,0)</f>
        <v>1089</v>
      </c>
      <c r="AD92" s="259">
        <f t="shared" si="35"/>
        <v>5036324.1763731232</v>
      </c>
      <c r="AI92" s="68"/>
      <c r="AL92" s="107">
        <f t="shared" ca="1" si="56"/>
        <v>0</v>
      </c>
      <c r="AM92" s="49">
        <f t="shared" ca="1" si="57"/>
        <v>46081</v>
      </c>
      <c r="AN92" s="137" t="str">
        <f t="shared" ca="1" si="43"/>
        <v xml:space="preserve"> </v>
      </c>
      <c r="AO92" s="107">
        <f t="shared" ca="1" si="44"/>
        <v>0</v>
      </c>
      <c r="AP92" s="143">
        <f t="shared" ca="1" si="36"/>
        <v>0</v>
      </c>
      <c r="AQ92" s="143">
        <f t="shared" ca="1" si="45"/>
        <v>0</v>
      </c>
      <c r="AR92" s="49" t="str">
        <f t="shared" ca="1" si="37"/>
        <v xml:space="preserve"> </v>
      </c>
      <c r="AS92" s="107">
        <f t="shared" ca="1" si="38"/>
        <v>0</v>
      </c>
      <c r="AT92" s="107">
        <f t="shared" ca="1" si="39"/>
        <v>0</v>
      </c>
      <c r="AU92" s="107"/>
      <c r="AV92" s="107">
        <f ca="1">MAX(SUM($AQ$6:AQ92)-SUM($AT$6:AT92),0)</f>
        <v>0</v>
      </c>
      <c r="AW92" s="107">
        <f t="shared" ca="1" si="58"/>
        <v>0</v>
      </c>
      <c r="AX92" s="107">
        <v>0</v>
      </c>
      <c r="AY92" s="138" t="str">
        <f t="shared" ca="1" si="40"/>
        <v xml:space="preserve"> </v>
      </c>
      <c r="AZ92" s="107">
        <f t="shared" ca="1" si="41"/>
        <v>0</v>
      </c>
      <c r="BA92" s="107">
        <f ca="1">IF(AZ92=1,(SUM($AW$6:AW92,$AX$6:AX92)-SUM($BA$6:BA91)),0)</f>
        <v>0</v>
      </c>
      <c r="BB92" s="107"/>
      <c r="BC92" s="107">
        <f ca="1">AV92+SUM($AW$6:AW92)+SUM($AX$6:AX92)-SUM($BA$6:BA92)</f>
        <v>0</v>
      </c>
      <c r="BD92" s="107">
        <f t="shared" ca="1" si="46"/>
        <v>0</v>
      </c>
      <c r="BE92" s="51">
        <f ca="1">'PiT PD Structure'!J132</f>
        <v>4.9128925488917119E-5</v>
      </c>
      <c r="BF92" s="139">
        <f t="shared" ca="1" si="59"/>
        <v>0.45</v>
      </c>
      <c r="BG92" s="51">
        <f t="shared" ca="1" si="47"/>
        <v>1</v>
      </c>
      <c r="BH92" s="50">
        <f t="shared" ca="1" si="42"/>
        <v>0</v>
      </c>
      <c r="BI92" s="50">
        <f t="shared" ca="1" si="63"/>
        <v>3.4816594052244909E-13</v>
      </c>
      <c r="BJ92" s="140">
        <v>0</v>
      </c>
      <c r="BK92" s="140">
        <v>0</v>
      </c>
      <c r="BM92" s="78"/>
      <c r="BR92" s="75">
        <f t="shared" ca="1" si="33"/>
        <v>46081</v>
      </c>
      <c r="BS92" s="74">
        <f t="shared" ca="1" si="48"/>
        <v>2</v>
      </c>
      <c r="BT92" s="74">
        <f t="shared" ca="1" si="49"/>
        <v>0</v>
      </c>
      <c r="BU92" s="73" t="str">
        <f t="shared" ca="1" si="50"/>
        <v xml:space="preserve"> </v>
      </c>
      <c r="BW92" s="75">
        <f t="shared" ca="1" si="60"/>
        <v>46081</v>
      </c>
      <c r="BX92" s="74">
        <f t="shared" ca="1" si="61"/>
        <v>2</v>
      </c>
      <c r="BY92" s="74">
        <f t="shared" ca="1" si="51"/>
        <v>0</v>
      </c>
      <c r="BZ92" s="73" t="str">
        <f t="shared" ca="1" si="52"/>
        <v xml:space="preserve"> </v>
      </c>
      <c r="CB92" s="75">
        <f t="shared" ca="1" si="62"/>
        <v>46081</v>
      </c>
      <c r="CC92" s="74">
        <f t="shared" ca="1" si="53"/>
        <v>2</v>
      </c>
      <c r="CD92" s="74">
        <f t="shared" ca="1" si="54"/>
        <v>0</v>
      </c>
      <c r="CE92" s="73" t="str">
        <f t="shared" ca="1" si="55"/>
        <v xml:space="preserve"> </v>
      </c>
    </row>
    <row r="93" spans="1:83" x14ac:dyDescent="0.2">
      <c r="A93" s="38">
        <f t="shared" si="64"/>
        <v>90</v>
      </c>
      <c r="B93" s="108" t="s">
        <v>444</v>
      </c>
      <c r="C93" s="38" t="s">
        <v>806</v>
      </c>
      <c r="D93" s="137">
        <v>43465</v>
      </c>
      <c r="E93" s="137">
        <v>43495</v>
      </c>
      <c r="F93" s="137">
        <v>42215</v>
      </c>
      <c r="G93" s="122">
        <v>13</v>
      </c>
      <c r="H93" s="137">
        <v>48059</v>
      </c>
      <c r="I93" s="50">
        <v>36730000</v>
      </c>
      <c r="J93" s="50">
        <v>33230242.850000001</v>
      </c>
      <c r="K93" s="50">
        <v>3499757.1499999985</v>
      </c>
      <c r="L93" s="38">
        <v>4</v>
      </c>
      <c r="M93" s="38">
        <v>2</v>
      </c>
      <c r="N93" s="38">
        <v>2</v>
      </c>
      <c r="O93" s="50">
        <v>33230242.850000001</v>
      </c>
      <c r="P93" s="218">
        <v>0.03</v>
      </c>
      <c r="Q93" s="50">
        <v>425303.79</v>
      </c>
      <c r="R93" s="50">
        <v>7036192.9241756191</v>
      </c>
      <c r="S93" s="38" t="s">
        <v>62</v>
      </c>
      <c r="T93" s="51">
        <v>0.03</v>
      </c>
      <c r="U93" s="65">
        <v>0.45</v>
      </c>
      <c r="V93" s="105" t="s">
        <v>532</v>
      </c>
      <c r="W93" s="66">
        <v>4714492.9179206556</v>
      </c>
      <c r="X93" s="66">
        <v>437628.63286724302</v>
      </c>
      <c r="Y93" s="38" t="s">
        <v>239</v>
      </c>
      <c r="Z93" s="66">
        <f t="shared" si="34"/>
        <v>437628.63286724302</v>
      </c>
      <c r="AA93" s="67"/>
      <c r="AC93" s="41">
        <f>VLOOKUP(A93,'Input Sheet'!$A$2:$B$232,2,0)</f>
        <v>1090</v>
      </c>
      <c r="AD93" s="259">
        <f t="shared" si="35"/>
        <v>437628.63286724302</v>
      </c>
      <c r="AI93" s="68"/>
      <c r="AL93" s="107">
        <f t="shared" ca="1" si="56"/>
        <v>0</v>
      </c>
      <c r="AM93" s="49">
        <f t="shared" ca="1" si="57"/>
        <v>46112</v>
      </c>
      <c r="AN93" s="137" t="str">
        <f t="shared" ca="1" si="43"/>
        <v xml:space="preserve"> </v>
      </c>
      <c r="AO93" s="107">
        <f t="shared" ca="1" si="44"/>
        <v>0</v>
      </c>
      <c r="AP93" s="143">
        <f t="shared" ca="1" si="36"/>
        <v>0</v>
      </c>
      <c r="AQ93" s="143">
        <f t="shared" ca="1" si="45"/>
        <v>0</v>
      </c>
      <c r="AR93" s="49" t="str">
        <f t="shared" ca="1" si="37"/>
        <v xml:space="preserve"> </v>
      </c>
      <c r="AS93" s="107">
        <f t="shared" ca="1" si="38"/>
        <v>0</v>
      </c>
      <c r="AT93" s="107">
        <f t="shared" ca="1" si="39"/>
        <v>0</v>
      </c>
      <c r="AU93" s="107"/>
      <c r="AV93" s="107">
        <f ca="1">MAX(SUM($AQ$6:AQ93)-SUM($AT$6:AT93),0)</f>
        <v>0</v>
      </c>
      <c r="AW93" s="107">
        <f t="shared" ca="1" si="58"/>
        <v>0</v>
      </c>
      <c r="AX93" s="107">
        <v>0</v>
      </c>
      <c r="AY93" s="138" t="str">
        <f t="shared" ca="1" si="40"/>
        <v xml:space="preserve"> </v>
      </c>
      <c r="AZ93" s="107">
        <f t="shared" ca="1" si="41"/>
        <v>0</v>
      </c>
      <c r="BA93" s="107">
        <f ca="1">IF(AZ93=1,(SUM($AW$6:AW93,$AX$6:AX93)-SUM($BA$6:BA92)),0)</f>
        <v>0</v>
      </c>
      <c r="BB93" s="107"/>
      <c r="BC93" s="107">
        <f ca="1">AV93+SUM($AW$6:AW93)+SUM($AX$6:AX93)-SUM($BA$6:BA93)</f>
        <v>0</v>
      </c>
      <c r="BD93" s="107">
        <f t="shared" ca="1" si="46"/>
        <v>0</v>
      </c>
      <c r="BE93" s="51">
        <f ca="1">'PiT PD Structure'!J133</f>
        <v>4.9126495130891179E-5</v>
      </c>
      <c r="BF93" s="139">
        <f t="shared" ca="1" si="59"/>
        <v>0.45</v>
      </c>
      <c r="BG93" s="51">
        <f t="shared" ca="1" si="47"/>
        <v>1</v>
      </c>
      <c r="BH93" s="50">
        <f t="shared" ca="1" si="42"/>
        <v>0</v>
      </c>
      <c r="BI93" s="50">
        <f t="shared" ca="1" si="63"/>
        <v>3.4816594052244909E-13</v>
      </c>
      <c r="BJ93" s="140">
        <v>0</v>
      </c>
      <c r="BK93" s="140">
        <v>0</v>
      </c>
      <c r="BM93" s="78"/>
      <c r="BR93" s="75">
        <f t="shared" ca="1" si="33"/>
        <v>46112</v>
      </c>
      <c r="BS93" s="74">
        <f t="shared" ca="1" si="48"/>
        <v>3</v>
      </c>
      <c r="BT93" s="74">
        <f t="shared" ca="1" si="49"/>
        <v>0</v>
      </c>
      <c r="BU93" s="73" t="str">
        <f t="shared" ca="1" si="50"/>
        <v xml:space="preserve"> </v>
      </c>
      <c r="BW93" s="75">
        <f t="shared" ca="1" si="60"/>
        <v>46112</v>
      </c>
      <c r="BX93" s="74">
        <f t="shared" ca="1" si="61"/>
        <v>3</v>
      </c>
      <c r="BY93" s="74">
        <f t="shared" ca="1" si="51"/>
        <v>0</v>
      </c>
      <c r="BZ93" s="73" t="str">
        <f t="shared" ca="1" si="52"/>
        <v xml:space="preserve"> </v>
      </c>
      <c r="CB93" s="75">
        <f t="shared" ca="1" si="62"/>
        <v>46112</v>
      </c>
      <c r="CC93" s="74">
        <f t="shared" ca="1" si="53"/>
        <v>3</v>
      </c>
      <c r="CD93" s="74">
        <f t="shared" ca="1" si="54"/>
        <v>0</v>
      </c>
      <c r="CE93" s="73" t="str">
        <f t="shared" ca="1" si="55"/>
        <v xml:space="preserve"> </v>
      </c>
    </row>
    <row r="94" spans="1:83" x14ac:dyDescent="0.2">
      <c r="A94" s="38">
        <f t="shared" si="64"/>
        <v>91</v>
      </c>
      <c r="B94" s="108" t="s">
        <v>445</v>
      </c>
      <c r="C94" s="38" t="s">
        <v>806</v>
      </c>
      <c r="D94" s="137">
        <v>43465</v>
      </c>
      <c r="E94" s="137">
        <v>44927</v>
      </c>
      <c r="F94" s="137">
        <v>42095</v>
      </c>
      <c r="G94" s="122">
        <v>11</v>
      </c>
      <c r="H94" s="137">
        <v>47574</v>
      </c>
      <c r="I94" s="50">
        <v>300000000</v>
      </c>
      <c r="J94" s="50">
        <v>300000000</v>
      </c>
      <c r="K94" s="50">
        <v>0</v>
      </c>
      <c r="L94" s="38">
        <v>1</v>
      </c>
      <c r="M94" s="38">
        <v>2</v>
      </c>
      <c r="N94" s="38">
        <v>2</v>
      </c>
      <c r="O94" s="50">
        <v>300000000</v>
      </c>
      <c r="P94" s="218">
        <v>0.02</v>
      </c>
      <c r="Q94" s="50">
        <v>5750000</v>
      </c>
      <c r="R94" s="50">
        <v>45542062.550410271</v>
      </c>
      <c r="S94" s="38" t="s">
        <v>42</v>
      </c>
      <c r="T94" s="51">
        <v>2.4375000000000001E-2</v>
      </c>
      <c r="U94" s="65">
        <v>0.45</v>
      </c>
      <c r="V94" s="105" t="s">
        <v>529</v>
      </c>
      <c r="W94" s="66">
        <v>1051793.7438642024</v>
      </c>
      <c r="X94" s="66">
        <v>55784.269724641308</v>
      </c>
      <c r="Y94" s="38" t="s">
        <v>239</v>
      </c>
      <c r="Z94" s="66">
        <f t="shared" si="34"/>
        <v>55784.269724641308</v>
      </c>
      <c r="AA94" s="67"/>
      <c r="AC94" s="41">
        <f>VLOOKUP(A94,'Input Sheet'!$A$2:$B$232,2,0)</f>
        <v>1091</v>
      </c>
      <c r="AD94" s="259">
        <f t="shared" si="35"/>
        <v>55784.269724641308</v>
      </c>
      <c r="AI94" s="68"/>
      <c r="AL94" s="107">
        <f t="shared" ca="1" si="56"/>
        <v>0</v>
      </c>
      <c r="AM94" s="49">
        <f t="shared" ca="1" si="57"/>
        <v>46142</v>
      </c>
      <c r="AN94" s="137" t="str">
        <f t="shared" ca="1" si="43"/>
        <v xml:space="preserve"> </v>
      </c>
      <c r="AO94" s="107">
        <f t="shared" ca="1" si="44"/>
        <v>0</v>
      </c>
      <c r="AP94" s="143">
        <f t="shared" ca="1" si="36"/>
        <v>0</v>
      </c>
      <c r="AQ94" s="143">
        <f t="shared" ca="1" si="45"/>
        <v>0</v>
      </c>
      <c r="AR94" s="49" t="str">
        <f t="shared" ca="1" si="37"/>
        <v xml:space="preserve"> </v>
      </c>
      <c r="AS94" s="107">
        <f t="shared" ca="1" si="38"/>
        <v>0</v>
      </c>
      <c r="AT94" s="107">
        <f t="shared" ca="1" si="39"/>
        <v>0</v>
      </c>
      <c r="AU94" s="107"/>
      <c r="AV94" s="107">
        <f ca="1">MAX(SUM($AQ$6:AQ94)-SUM($AT$6:AT94),0)</f>
        <v>0</v>
      </c>
      <c r="AW94" s="107">
        <f t="shared" ca="1" si="58"/>
        <v>0</v>
      </c>
      <c r="AX94" s="107">
        <v>0</v>
      </c>
      <c r="AY94" s="138" t="str">
        <f t="shared" ca="1" si="40"/>
        <v xml:space="preserve"> </v>
      </c>
      <c r="AZ94" s="107">
        <f t="shared" ca="1" si="41"/>
        <v>0</v>
      </c>
      <c r="BA94" s="107">
        <f ca="1">IF(AZ94=1,(SUM($AW$6:AW94,$AX$6:AX94)-SUM($BA$6:BA93)),0)</f>
        <v>0</v>
      </c>
      <c r="BB94" s="107"/>
      <c r="BC94" s="107">
        <f ca="1">AV94+SUM($AW$6:AW94)+SUM($AX$6:AX94)-SUM($BA$6:BA94)</f>
        <v>0</v>
      </c>
      <c r="BD94" s="107">
        <f t="shared" ca="1" si="46"/>
        <v>0</v>
      </c>
      <c r="BE94" s="51">
        <f ca="1">'PiT PD Structure'!J134</f>
        <v>4.9124064892880348E-5</v>
      </c>
      <c r="BF94" s="139">
        <f t="shared" ca="1" si="59"/>
        <v>0.45</v>
      </c>
      <c r="BG94" s="51">
        <f t="shared" ca="1" si="47"/>
        <v>1</v>
      </c>
      <c r="BH94" s="50">
        <f t="shared" ca="1" si="42"/>
        <v>0</v>
      </c>
      <c r="BI94" s="50">
        <f t="shared" ca="1" si="63"/>
        <v>3.4816594052244909E-13</v>
      </c>
      <c r="BJ94" s="140">
        <v>0</v>
      </c>
      <c r="BK94" s="140">
        <v>0</v>
      </c>
      <c r="BM94" s="78"/>
      <c r="BR94" s="75">
        <f t="shared" ca="1" si="33"/>
        <v>46142</v>
      </c>
      <c r="BS94" s="74">
        <f t="shared" ca="1" si="48"/>
        <v>4</v>
      </c>
      <c r="BT94" s="74">
        <f t="shared" ca="1" si="49"/>
        <v>0</v>
      </c>
      <c r="BU94" s="73" t="str">
        <f t="shared" ca="1" si="50"/>
        <v xml:space="preserve"> </v>
      </c>
      <c r="BW94" s="75">
        <f t="shared" ca="1" si="60"/>
        <v>46142</v>
      </c>
      <c r="BX94" s="74">
        <f t="shared" ca="1" si="61"/>
        <v>4</v>
      </c>
      <c r="BY94" s="74">
        <f t="shared" ca="1" si="51"/>
        <v>0</v>
      </c>
      <c r="BZ94" s="73" t="str">
        <f t="shared" ca="1" si="52"/>
        <v xml:space="preserve"> </v>
      </c>
      <c r="CB94" s="75">
        <f t="shared" ca="1" si="62"/>
        <v>46142</v>
      </c>
      <c r="CC94" s="74">
        <f t="shared" ca="1" si="53"/>
        <v>4</v>
      </c>
      <c r="CD94" s="74">
        <f t="shared" ca="1" si="54"/>
        <v>0</v>
      </c>
      <c r="CE94" s="73" t="str">
        <f t="shared" ca="1" si="55"/>
        <v xml:space="preserve"> </v>
      </c>
    </row>
    <row r="95" spans="1:83" x14ac:dyDescent="0.2">
      <c r="A95" s="38">
        <f t="shared" si="64"/>
        <v>92</v>
      </c>
      <c r="B95" s="108" t="s">
        <v>446</v>
      </c>
      <c r="C95" s="38" t="s">
        <v>806</v>
      </c>
      <c r="D95" s="137">
        <v>43465</v>
      </c>
      <c r="E95" s="137">
        <v>43891</v>
      </c>
      <c r="F95" s="137">
        <v>42248</v>
      </c>
      <c r="G95" s="122">
        <v>15</v>
      </c>
      <c r="H95" s="137">
        <v>49188</v>
      </c>
      <c r="I95" s="50">
        <v>330570000</v>
      </c>
      <c r="J95" s="50">
        <v>219377635.94</v>
      </c>
      <c r="K95" s="50">
        <v>111192364.06</v>
      </c>
      <c r="L95" s="38">
        <v>1</v>
      </c>
      <c r="M95" s="38">
        <v>2</v>
      </c>
      <c r="N95" s="38">
        <v>2</v>
      </c>
      <c r="O95" s="50">
        <v>219377635.94</v>
      </c>
      <c r="P95" s="218">
        <v>0.02</v>
      </c>
      <c r="Q95" s="50">
        <v>15863435.91</v>
      </c>
      <c r="R95" s="50">
        <v>56227364.066437222</v>
      </c>
      <c r="S95" s="38" t="s">
        <v>156</v>
      </c>
      <c r="T95" s="51">
        <v>2.9249999999999998E-2</v>
      </c>
      <c r="U95" s="65">
        <v>0.45</v>
      </c>
      <c r="V95" s="105" t="s">
        <v>484</v>
      </c>
      <c r="W95" s="66">
        <v>125690213.2793652</v>
      </c>
      <c r="X95" s="66">
        <v>29103604.118443642</v>
      </c>
      <c r="Y95" s="38" t="s">
        <v>238</v>
      </c>
      <c r="Z95" s="66">
        <f t="shared" si="34"/>
        <v>219377635.94</v>
      </c>
      <c r="AA95" s="67"/>
      <c r="AC95" s="41">
        <f>VLOOKUP(A95,'Input Sheet'!$A$2:$B$232,2,0)</f>
        <v>1092</v>
      </c>
      <c r="AD95" s="259">
        <f t="shared" si="35"/>
        <v>219377635.94</v>
      </c>
      <c r="AI95" s="68"/>
      <c r="AL95" s="107">
        <f t="shared" ca="1" si="56"/>
        <v>0</v>
      </c>
      <c r="AM95" s="49">
        <f t="shared" ca="1" si="57"/>
        <v>46173</v>
      </c>
      <c r="AN95" s="137" t="str">
        <f t="shared" ca="1" si="43"/>
        <v xml:space="preserve"> </v>
      </c>
      <c r="AO95" s="107">
        <f t="shared" ca="1" si="44"/>
        <v>0</v>
      </c>
      <c r="AP95" s="143">
        <f t="shared" ca="1" si="36"/>
        <v>0</v>
      </c>
      <c r="AQ95" s="143">
        <f t="shared" ca="1" si="45"/>
        <v>0</v>
      </c>
      <c r="AR95" s="49" t="str">
        <f t="shared" ca="1" si="37"/>
        <v xml:space="preserve"> </v>
      </c>
      <c r="AS95" s="107">
        <f t="shared" ca="1" si="38"/>
        <v>0</v>
      </c>
      <c r="AT95" s="107">
        <f t="shared" ca="1" si="39"/>
        <v>0</v>
      </c>
      <c r="AU95" s="107"/>
      <c r="AV95" s="107">
        <f ca="1">MAX(SUM($AQ$6:AQ95)-SUM($AT$6:AT95),0)</f>
        <v>0</v>
      </c>
      <c r="AW95" s="107">
        <f t="shared" ca="1" si="58"/>
        <v>0</v>
      </c>
      <c r="AX95" s="107">
        <v>0</v>
      </c>
      <c r="AY95" s="138" t="str">
        <f t="shared" ca="1" si="40"/>
        <v xml:space="preserve"> </v>
      </c>
      <c r="AZ95" s="107">
        <f t="shared" ca="1" si="41"/>
        <v>0</v>
      </c>
      <c r="BA95" s="107">
        <f ca="1">IF(AZ95=1,(SUM($AW$6:AW95,$AX$6:AX95)-SUM($BA$6:BA94)),0)</f>
        <v>0</v>
      </c>
      <c r="BB95" s="107"/>
      <c r="BC95" s="107">
        <f ca="1">AV95+SUM($AW$6:AW95)+SUM($AX$6:AX95)-SUM($BA$6:BA95)</f>
        <v>0</v>
      </c>
      <c r="BD95" s="107">
        <f t="shared" ca="1" si="46"/>
        <v>0</v>
      </c>
      <c r="BE95" s="51">
        <f ca="1">'PiT PD Structure'!J135</f>
        <v>4.9121634774884626E-5</v>
      </c>
      <c r="BF95" s="139">
        <f t="shared" ca="1" si="59"/>
        <v>0.45</v>
      </c>
      <c r="BG95" s="51">
        <f t="shared" ca="1" si="47"/>
        <v>1</v>
      </c>
      <c r="BH95" s="50">
        <f t="shared" ca="1" si="42"/>
        <v>0</v>
      </c>
      <c r="BI95" s="50">
        <f t="shared" ca="1" si="63"/>
        <v>3.4816594052244909E-13</v>
      </c>
      <c r="BJ95" s="140">
        <v>0</v>
      </c>
      <c r="BK95" s="140">
        <v>0</v>
      </c>
      <c r="BM95" s="78"/>
      <c r="BR95" s="75">
        <f t="shared" ca="1" si="33"/>
        <v>46173</v>
      </c>
      <c r="BS95" s="74">
        <f t="shared" ca="1" si="48"/>
        <v>5</v>
      </c>
      <c r="BT95" s="74">
        <f t="shared" ca="1" si="49"/>
        <v>0</v>
      </c>
      <c r="BU95" s="73" t="str">
        <f t="shared" ca="1" si="50"/>
        <v xml:space="preserve"> </v>
      </c>
      <c r="BW95" s="75">
        <f t="shared" ca="1" si="60"/>
        <v>46173</v>
      </c>
      <c r="BX95" s="74">
        <f t="shared" ca="1" si="61"/>
        <v>5</v>
      </c>
      <c r="BY95" s="74">
        <f t="shared" ca="1" si="51"/>
        <v>0</v>
      </c>
      <c r="BZ95" s="73" t="str">
        <f t="shared" ca="1" si="52"/>
        <v xml:space="preserve"> </v>
      </c>
      <c r="CB95" s="75">
        <f t="shared" ca="1" si="62"/>
        <v>46173</v>
      </c>
      <c r="CC95" s="74">
        <f t="shared" ca="1" si="53"/>
        <v>5</v>
      </c>
      <c r="CD95" s="74">
        <f t="shared" ca="1" si="54"/>
        <v>0</v>
      </c>
      <c r="CE95" s="73" t="str">
        <f t="shared" ca="1" si="55"/>
        <v xml:space="preserve"> </v>
      </c>
    </row>
    <row r="96" spans="1:83" x14ac:dyDescent="0.2">
      <c r="A96" s="38">
        <f t="shared" si="64"/>
        <v>93</v>
      </c>
      <c r="B96" s="108" t="s">
        <v>448</v>
      </c>
      <c r="C96" s="38" t="s">
        <v>806</v>
      </c>
      <c r="D96" s="137">
        <v>43465</v>
      </c>
      <c r="E96" s="137">
        <v>43556</v>
      </c>
      <c r="F96" s="137">
        <v>42278</v>
      </c>
      <c r="G96" s="122">
        <v>6</v>
      </c>
      <c r="H96" s="137">
        <v>45566</v>
      </c>
      <c r="I96" s="50">
        <v>293840000</v>
      </c>
      <c r="J96" s="50">
        <v>293840000</v>
      </c>
      <c r="K96" s="50">
        <v>0</v>
      </c>
      <c r="L96" s="38">
        <v>4</v>
      </c>
      <c r="M96" s="38">
        <v>2</v>
      </c>
      <c r="N96" s="38">
        <v>2</v>
      </c>
      <c r="O96" s="50">
        <v>293840000</v>
      </c>
      <c r="P96" s="218">
        <v>1.4999999999999999E-2</v>
      </c>
      <c r="Q96" s="50">
        <v>1089656.6399999999</v>
      </c>
      <c r="R96" s="50">
        <v>13559053.60686815</v>
      </c>
      <c r="S96" s="38" t="s">
        <v>42</v>
      </c>
      <c r="T96" s="51">
        <v>2.4375000000000001E-2</v>
      </c>
      <c r="U96" s="65">
        <v>0.45</v>
      </c>
      <c r="V96" s="105" t="s">
        <v>529</v>
      </c>
      <c r="W96" s="66">
        <v>280505.08388442005</v>
      </c>
      <c r="X96" s="66">
        <v>50552.661457874361</v>
      </c>
      <c r="Y96" s="38" t="s">
        <v>239</v>
      </c>
      <c r="Z96" s="66">
        <f t="shared" si="34"/>
        <v>50552.661457874361</v>
      </c>
      <c r="AA96" s="67"/>
      <c r="AC96" s="41">
        <f>VLOOKUP(A96,'Input Sheet'!$A$2:$B$232,2,0)</f>
        <v>1093</v>
      </c>
      <c r="AD96" s="259">
        <f t="shared" si="35"/>
        <v>50552.661457874361</v>
      </c>
      <c r="AI96" s="68"/>
      <c r="AL96" s="107">
        <f t="shared" ca="1" si="56"/>
        <v>0</v>
      </c>
      <c r="AM96" s="49">
        <f t="shared" ca="1" si="57"/>
        <v>46203</v>
      </c>
      <c r="AN96" s="137" t="str">
        <f t="shared" ca="1" si="43"/>
        <v xml:space="preserve"> </v>
      </c>
      <c r="AO96" s="107">
        <f t="shared" ca="1" si="44"/>
        <v>0</v>
      </c>
      <c r="AP96" s="143">
        <f t="shared" ca="1" si="36"/>
        <v>0</v>
      </c>
      <c r="AQ96" s="143">
        <f t="shared" ca="1" si="45"/>
        <v>0</v>
      </c>
      <c r="AR96" s="49" t="str">
        <f t="shared" ca="1" si="37"/>
        <v xml:space="preserve"> </v>
      </c>
      <c r="AS96" s="107">
        <f t="shared" ca="1" si="38"/>
        <v>0</v>
      </c>
      <c r="AT96" s="107">
        <f t="shared" ca="1" si="39"/>
        <v>0</v>
      </c>
      <c r="AU96" s="107"/>
      <c r="AV96" s="107">
        <f ca="1">MAX(SUM($AQ$6:AQ96)-SUM($AT$6:AT96),0)</f>
        <v>0</v>
      </c>
      <c r="AW96" s="107">
        <f t="shared" ca="1" si="58"/>
        <v>0</v>
      </c>
      <c r="AX96" s="107">
        <v>0</v>
      </c>
      <c r="AY96" s="138" t="str">
        <f t="shared" ca="1" si="40"/>
        <v xml:space="preserve"> </v>
      </c>
      <c r="AZ96" s="107">
        <f t="shared" ca="1" si="41"/>
        <v>0</v>
      </c>
      <c r="BA96" s="107">
        <f ca="1">IF(AZ96=1,(SUM($AW$6:AW96,$AX$6:AX96)-SUM($BA$6:BA95)),0)</f>
        <v>0</v>
      </c>
      <c r="BB96" s="107"/>
      <c r="BC96" s="107">
        <f ca="1">AV96+SUM($AW$6:AW96)+SUM($AX$6:AX96)-SUM($BA$6:BA96)</f>
        <v>0</v>
      </c>
      <c r="BD96" s="107">
        <f t="shared" ca="1" si="46"/>
        <v>0</v>
      </c>
      <c r="BE96" s="51">
        <f ca="1">'PiT PD Structure'!J136</f>
        <v>4.9119204777570147E-5</v>
      </c>
      <c r="BF96" s="139">
        <f t="shared" ca="1" si="59"/>
        <v>0.45</v>
      </c>
      <c r="BG96" s="51">
        <f t="shared" ca="1" si="47"/>
        <v>1</v>
      </c>
      <c r="BH96" s="50">
        <f t="shared" ca="1" si="42"/>
        <v>0</v>
      </c>
      <c r="BI96" s="50">
        <f t="shared" ca="1" si="63"/>
        <v>3.4816594052244909E-13</v>
      </c>
      <c r="BJ96" s="140">
        <v>0</v>
      </c>
      <c r="BK96" s="140">
        <v>0</v>
      </c>
      <c r="BM96" s="78"/>
      <c r="BR96" s="75">
        <f t="shared" ca="1" si="33"/>
        <v>46203</v>
      </c>
      <c r="BS96" s="74">
        <f t="shared" ca="1" si="48"/>
        <v>6</v>
      </c>
      <c r="BT96" s="74">
        <f t="shared" ca="1" si="49"/>
        <v>0</v>
      </c>
      <c r="BU96" s="73" t="str">
        <f t="shared" ca="1" si="50"/>
        <v xml:space="preserve"> </v>
      </c>
      <c r="BW96" s="75">
        <f t="shared" ca="1" si="60"/>
        <v>46203</v>
      </c>
      <c r="BX96" s="74">
        <f t="shared" ca="1" si="61"/>
        <v>6</v>
      </c>
      <c r="BY96" s="74">
        <f t="shared" ca="1" si="51"/>
        <v>0</v>
      </c>
      <c r="BZ96" s="73" t="str">
        <f t="shared" ca="1" si="52"/>
        <v xml:space="preserve"> </v>
      </c>
      <c r="CB96" s="75">
        <f t="shared" ca="1" si="62"/>
        <v>46203</v>
      </c>
      <c r="CC96" s="74">
        <f t="shared" ca="1" si="53"/>
        <v>6</v>
      </c>
      <c r="CD96" s="74">
        <f t="shared" ca="1" si="54"/>
        <v>0</v>
      </c>
      <c r="CE96" s="73" t="str">
        <f t="shared" ca="1" si="55"/>
        <v xml:space="preserve"> </v>
      </c>
    </row>
    <row r="97" spans="1:83" x14ac:dyDescent="0.2">
      <c r="A97" s="38">
        <f t="shared" si="64"/>
        <v>94</v>
      </c>
      <c r="B97" s="108" t="s">
        <v>449</v>
      </c>
      <c r="C97" s="38" t="s">
        <v>806</v>
      </c>
      <c r="D97" s="137">
        <v>43465</v>
      </c>
      <c r="E97" s="137">
        <v>43631</v>
      </c>
      <c r="F97" s="137">
        <v>42353</v>
      </c>
      <c r="G97" s="122">
        <v>13</v>
      </c>
      <c r="H97" s="137">
        <v>48197</v>
      </c>
      <c r="I97" s="50">
        <v>183650000</v>
      </c>
      <c r="J97" s="50">
        <v>108720800</v>
      </c>
      <c r="K97" s="50">
        <v>74929200</v>
      </c>
      <c r="L97" s="38">
        <v>1</v>
      </c>
      <c r="M97" s="38">
        <v>2</v>
      </c>
      <c r="N97" s="38">
        <v>2</v>
      </c>
      <c r="O97" s="50">
        <v>108720800</v>
      </c>
      <c r="P97" s="218">
        <v>0.03</v>
      </c>
      <c r="Q97" s="50">
        <v>1766713</v>
      </c>
      <c r="R97" s="50">
        <v>37435661.983423509</v>
      </c>
      <c r="S97" s="38" t="s">
        <v>10</v>
      </c>
      <c r="T97" s="51">
        <v>0.04</v>
      </c>
      <c r="U97" s="65">
        <v>0.45</v>
      </c>
      <c r="V97" s="105" t="s">
        <v>522</v>
      </c>
      <c r="W97" s="66">
        <v>24223059.382764108</v>
      </c>
      <c r="X97" s="66">
        <v>2262426.0731221032</v>
      </c>
      <c r="Y97" s="38" t="s">
        <v>237</v>
      </c>
      <c r="Z97" s="66">
        <f t="shared" si="34"/>
        <v>24223059.382764108</v>
      </c>
      <c r="AA97" s="67"/>
      <c r="AC97" s="41">
        <f>VLOOKUP(A97,'Input Sheet'!$A$2:$B$232,2,0)</f>
        <v>1094</v>
      </c>
      <c r="AD97" s="259">
        <f t="shared" si="35"/>
        <v>24223059.382764108</v>
      </c>
      <c r="AI97" s="68"/>
      <c r="AL97" s="107">
        <f t="shared" ca="1" si="56"/>
        <v>0</v>
      </c>
      <c r="AM97" s="49">
        <f t="shared" ca="1" si="57"/>
        <v>46234</v>
      </c>
      <c r="AN97" s="137" t="str">
        <f t="shared" ca="1" si="43"/>
        <v xml:space="preserve"> </v>
      </c>
      <c r="AO97" s="107">
        <f t="shared" ca="1" si="44"/>
        <v>0</v>
      </c>
      <c r="AP97" s="143">
        <f t="shared" ca="1" si="36"/>
        <v>0</v>
      </c>
      <c r="AQ97" s="143">
        <f t="shared" ca="1" si="45"/>
        <v>0</v>
      </c>
      <c r="AR97" s="49" t="str">
        <f t="shared" ca="1" si="37"/>
        <v xml:space="preserve"> </v>
      </c>
      <c r="AS97" s="107">
        <f t="shared" ca="1" si="38"/>
        <v>0</v>
      </c>
      <c r="AT97" s="107">
        <f t="shared" ca="1" si="39"/>
        <v>0</v>
      </c>
      <c r="AU97" s="107"/>
      <c r="AV97" s="107">
        <f ca="1">MAX(SUM($AQ$6:AQ97)-SUM($AT$6:AT97),0)</f>
        <v>0</v>
      </c>
      <c r="AW97" s="107">
        <f t="shared" ca="1" si="58"/>
        <v>0</v>
      </c>
      <c r="AX97" s="107">
        <v>0</v>
      </c>
      <c r="AY97" s="138" t="str">
        <f t="shared" ca="1" si="40"/>
        <v xml:space="preserve"> </v>
      </c>
      <c r="AZ97" s="107">
        <f t="shared" ca="1" si="41"/>
        <v>0</v>
      </c>
      <c r="BA97" s="107">
        <f ca="1">IF(AZ97=1,(SUM($AW$6:AW97,$AX$6:AX97)-SUM($BA$6:BA96)),0)</f>
        <v>0</v>
      </c>
      <c r="BB97" s="107"/>
      <c r="BC97" s="107">
        <f ca="1">AV97+SUM($AW$6:AW97)+SUM($AX$6:AX97)-SUM($BA$6:BA97)</f>
        <v>0</v>
      </c>
      <c r="BD97" s="107">
        <f t="shared" ca="1" si="46"/>
        <v>0</v>
      </c>
      <c r="BE97" s="51">
        <f ca="1">'PiT PD Structure'!J137</f>
        <v>4.9116774900159754E-5</v>
      </c>
      <c r="BF97" s="139">
        <f t="shared" ca="1" si="59"/>
        <v>0.45</v>
      </c>
      <c r="BG97" s="51">
        <f t="shared" ca="1" si="47"/>
        <v>1</v>
      </c>
      <c r="BH97" s="50">
        <f t="shared" ca="1" si="42"/>
        <v>0</v>
      </c>
      <c r="BI97" s="50">
        <f t="shared" ca="1" si="63"/>
        <v>3.4816594052244909E-13</v>
      </c>
      <c r="BJ97" s="140">
        <v>0</v>
      </c>
      <c r="BK97" s="140">
        <v>0</v>
      </c>
      <c r="BM97" s="78"/>
      <c r="BR97" s="75">
        <f t="shared" ca="1" si="33"/>
        <v>46234</v>
      </c>
      <c r="BS97" s="74">
        <f t="shared" ca="1" si="48"/>
        <v>7</v>
      </c>
      <c r="BT97" s="74">
        <f t="shared" ca="1" si="49"/>
        <v>0</v>
      </c>
      <c r="BU97" s="73" t="str">
        <f t="shared" ca="1" si="50"/>
        <v xml:space="preserve"> </v>
      </c>
      <c r="BW97" s="75">
        <f t="shared" ca="1" si="60"/>
        <v>46234</v>
      </c>
      <c r="BX97" s="74">
        <f t="shared" ca="1" si="61"/>
        <v>7</v>
      </c>
      <c r="BY97" s="74">
        <f t="shared" ca="1" si="51"/>
        <v>0</v>
      </c>
      <c r="BZ97" s="73" t="str">
        <f t="shared" ca="1" si="52"/>
        <v xml:space="preserve"> </v>
      </c>
      <c r="CB97" s="75">
        <f t="shared" ca="1" si="62"/>
        <v>46234</v>
      </c>
      <c r="CC97" s="74">
        <f t="shared" ca="1" si="53"/>
        <v>7</v>
      </c>
      <c r="CD97" s="74">
        <f t="shared" ca="1" si="54"/>
        <v>0</v>
      </c>
      <c r="CE97" s="73" t="str">
        <f t="shared" ca="1" si="55"/>
        <v xml:space="preserve"> </v>
      </c>
    </row>
    <row r="98" spans="1:83" x14ac:dyDescent="0.2">
      <c r="A98" s="38">
        <f t="shared" si="64"/>
        <v>95</v>
      </c>
      <c r="B98" s="108" t="s">
        <v>451</v>
      </c>
      <c r="C98" s="38" t="s">
        <v>806</v>
      </c>
      <c r="D98" s="137">
        <v>43465</v>
      </c>
      <c r="E98" s="137">
        <v>44012</v>
      </c>
      <c r="F98" s="137">
        <v>42368</v>
      </c>
      <c r="G98" s="122">
        <v>15</v>
      </c>
      <c r="H98" s="137">
        <v>49308</v>
      </c>
      <c r="I98" s="50">
        <v>22038000</v>
      </c>
      <c r="J98" s="50">
        <v>3838468.65</v>
      </c>
      <c r="K98" s="50">
        <v>18199531.350000001</v>
      </c>
      <c r="L98" s="38">
        <v>1</v>
      </c>
      <c r="M98" s="38">
        <v>2</v>
      </c>
      <c r="N98" s="38">
        <v>2</v>
      </c>
      <c r="O98" s="50">
        <v>3838468.65</v>
      </c>
      <c r="P98" s="218">
        <v>0.02</v>
      </c>
      <c r="Q98" s="50">
        <v>-36044.17</v>
      </c>
      <c r="R98" s="50">
        <v>3883181.3483210597</v>
      </c>
      <c r="S98" s="38" t="s">
        <v>12</v>
      </c>
      <c r="T98" s="51">
        <v>3.6249999999999998E-2</v>
      </c>
      <c r="U98" s="65">
        <v>0.45</v>
      </c>
      <c r="V98" s="105" t="s">
        <v>499</v>
      </c>
      <c r="W98" s="66">
        <v>3505618.3549169744</v>
      </c>
      <c r="X98" s="66">
        <v>267645.39835606376</v>
      </c>
      <c r="Y98" s="38" t="s">
        <v>239</v>
      </c>
      <c r="Z98" s="66">
        <f t="shared" si="34"/>
        <v>267645.39835606376</v>
      </c>
      <c r="AA98" s="67"/>
      <c r="AC98" s="41">
        <f>VLOOKUP(A98,'Input Sheet'!$A$2:$B$232,2,0)</f>
        <v>1095</v>
      </c>
      <c r="AD98" s="259">
        <f t="shared" si="35"/>
        <v>267645.39835606376</v>
      </c>
      <c r="AI98" s="68"/>
      <c r="AL98" s="107">
        <f t="shared" ca="1" si="56"/>
        <v>0</v>
      </c>
      <c r="AM98" s="49">
        <f t="shared" ca="1" si="57"/>
        <v>46265</v>
      </c>
      <c r="AN98" s="137" t="str">
        <f t="shared" ca="1" si="43"/>
        <v xml:space="preserve"> </v>
      </c>
      <c r="AO98" s="107">
        <f t="shared" ca="1" si="44"/>
        <v>0</v>
      </c>
      <c r="AP98" s="143">
        <f t="shared" ca="1" si="36"/>
        <v>0</v>
      </c>
      <c r="AQ98" s="143">
        <f t="shared" ca="1" si="45"/>
        <v>0</v>
      </c>
      <c r="AR98" s="49" t="str">
        <f t="shared" ca="1" si="37"/>
        <v xml:space="preserve"> </v>
      </c>
      <c r="AS98" s="107">
        <f t="shared" ca="1" si="38"/>
        <v>0</v>
      </c>
      <c r="AT98" s="107">
        <f t="shared" ca="1" si="39"/>
        <v>0</v>
      </c>
      <c r="AU98" s="107"/>
      <c r="AV98" s="107">
        <f ca="1">MAX(SUM($AQ$6:AQ98)-SUM($AT$6:AT98),0)</f>
        <v>0</v>
      </c>
      <c r="AW98" s="107">
        <f t="shared" ca="1" si="58"/>
        <v>0</v>
      </c>
      <c r="AX98" s="107">
        <v>0</v>
      </c>
      <c r="AY98" s="138" t="str">
        <f t="shared" ca="1" si="40"/>
        <v xml:space="preserve"> </v>
      </c>
      <c r="AZ98" s="107">
        <f t="shared" ca="1" si="41"/>
        <v>0</v>
      </c>
      <c r="BA98" s="107">
        <f ca="1">IF(AZ98=1,(SUM($AW$6:AW98,$AX$6:AX98)-SUM($BA$6:BA97)),0)</f>
        <v>0</v>
      </c>
      <c r="BB98" s="107"/>
      <c r="BC98" s="107">
        <f ca="1">AV98+SUM($AW$6:AW98)+SUM($AX$6:AX98)-SUM($BA$6:BA98)</f>
        <v>0</v>
      </c>
      <c r="BD98" s="107">
        <f t="shared" ca="1" si="46"/>
        <v>0</v>
      </c>
      <c r="BE98" s="51">
        <f ca="1">'PiT PD Structure'!J138</f>
        <v>4.9114345142986515E-5</v>
      </c>
      <c r="BF98" s="139">
        <f t="shared" ca="1" si="59"/>
        <v>0.45</v>
      </c>
      <c r="BG98" s="51">
        <f t="shared" ca="1" si="47"/>
        <v>1</v>
      </c>
      <c r="BH98" s="50">
        <f t="shared" ca="1" si="42"/>
        <v>0</v>
      </c>
      <c r="BI98" s="50">
        <f t="shared" ca="1" si="63"/>
        <v>3.4816594052244909E-13</v>
      </c>
      <c r="BJ98" s="140">
        <v>0</v>
      </c>
      <c r="BK98" s="140">
        <v>0</v>
      </c>
      <c r="BM98" s="78"/>
      <c r="BR98" s="75">
        <f t="shared" ca="1" si="33"/>
        <v>46265</v>
      </c>
      <c r="BS98" s="74">
        <f t="shared" ca="1" si="48"/>
        <v>8</v>
      </c>
      <c r="BT98" s="74">
        <f t="shared" ca="1" si="49"/>
        <v>0</v>
      </c>
      <c r="BU98" s="73" t="str">
        <f t="shared" ca="1" si="50"/>
        <v xml:space="preserve"> </v>
      </c>
      <c r="BW98" s="75">
        <f t="shared" ca="1" si="60"/>
        <v>46265</v>
      </c>
      <c r="BX98" s="74">
        <f t="shared" ca="1" si="61"/>
        <v>8</v>
      </c>
      <c r="BY98" s="74">
        <f t="shared" ca="1" si="51"/>
        <v>0</v>
      </c>
      <c r="BZ98" s="73" t="str">
        <f t="shared" ca="1" si="52"/>
        <v xml:space="preserve"> </v>
      </c>
      <c r="CB98" s="75">
        <f t="shared" ca="1" si="62"/>
        <v>46265</v>
      </c>
      <c r="CC98" s="74">
        <f t="shared" ca="1" si="53"/>
        <v>8</v>
      </c>
      <c r="CD98" s="74">
        <f t="shared" ca="1" si="54"/>
        <v>0</v>
      </c>
      <c r="CE98" s="73" t="str">
        <f t="shared" ca="1" si="55"/>
        <v xml:space="preserve"> </v>
      </c>
    </row>
    <row r="99" spans="1:83" x14ac:dyDescent="0.2">
      <c r="A99" s="38">
        <f t="shared" si="64"/>
        <v>96</v>
      </c>
      <c r="B99" s="108" t="s">
        <v>452</v>
      </c>
      <c r="C99" s="38" t="s">
        <v>806</v>
      </c>
      <c r="D99" s="137">
        <v>43465</v>
      </c>
      <c r="E99" s="137">
        <v>44119</v>
      </c>
      <c r="F99" s="137">
        <v>42475</v>
      </c>
      <c r="G99" s="122">
        <v>15</v>
      </c>
      <c r="H99" s="137">
        <v>49414</v>
      </c>
      <c r="I99" s="50">
        <v>55095000</v>
      </c>
      <c r="J99" s="50">
        <v>17268536.539999999</v>
      </c>
      <c r="K99" s="50">
        <v>37826463.460000001</v>
      </c>
      <c r="L99" s="38">
        <v>1</v>
      </c>
      <c r="M99" s="38">
        <v>2</v>
      </c>
      <c r="N99" s="38">
        <v>2</v>
      </c>
      <c r="O99" s="50">
        <v>17268536.539999999</v>
      </c>
      <c r="P99" s="218">
        <v>0.02</v>
      </c>
      <c r="Q99" s="50">
        <v>36333.660000000003</v>
      </c>
      <c r="R99" s="50">
        <v>10062119.32946842</v>
      </c>
      <c r="S99" s="38" t="s">
        <v>67</v>
      </c>
      <c r="T99" s="51">
        <v>0.02</v>
      </c>
      <c r="U99" s="65">
        <v>0.45</v>
      </c>
      <c r="V99" s="105" t="s">
        <v>534</v>
      </c>
      <c r="W99" s="66">
        <v>15342715.831739416</v>
      </c>
      <c r="X99" s="66">
        <v>3100695.8299335218</v>
      </c>
      <c r="Y99" s="38" t="s">
        <v>237</v>
      </c>
      <c r="Z99" s="66">
        <f t="shared" si="34"/>
        <v>15342715.831739416</v>
      </c>
      <c r="AA99" s="67"/>
      <c r="AC99" s="41">
        <f>VLOOKUP(A99,'Input Sheet'!$A$2:$B$232,2,0)</f>
        <v>1096</v>
      </c>
      <c r="AD99" s="259">
        <f t="shared" si="35"/>
        <v>15342715.831739416</v>
      </c>
      <c r="AI99" s="68"/>
      <c r="AL99" s="107">
        <f t="shared" ca="1" si="56"/>
        <v>0</v>
      </c>
      <c r="AM99" s="49">
        <f t="shared" ca="1" si="57"/>
        <v>46295</v>
      </c>
      <c r="AN99" s="137" t="str">
        <f t="shared" ca="1" si="43"/>
        <v xml:space="preserve"> </v>
      </c>
      <c r="AO99" s="107">
        <f t="shared" ca="1" si="44"/>
        <v>0</v>
      </c>
      <c r="AP99" s="143">
        <f t="shared" ca="1" si="36"/>
        <v>0</v>
      </c>
      <c r="AQ99" s="143">
        <f t="shared" ca="1" si="45"/>
        <v>0</v>
      </c>
      <c r="AR99" s="49" t="str">
        <f t="shared" ca="1" si="37"/>
        <v xml:space="preserve"> </v>
      </c>
      <c r="AS99" s="107">
        <f t="shared" ca="1" si="38"/>
        <v>0</v>
      </c>
      <c r="AT99" s="107">
        <f t="shared" ca="1" si="39"/>
        <v>0</v>
      </c>
      <c r="AU99" s="107"/>
      <c r="AV99" s="107">
        <f ca="1">MAX(SUM($AQ$6:AQ99)-SUM($AT$6:AT99),0)</f>
        <v>0</v>
      </c>
      <c r="AW99" s="107">
        <f t="shared" ca="1" si="58"/>
        <v>0</v>
      </c>
      <c r="AX99" s="107">
        <v>0</v>
      </c>
      <c r="AY99" s="138" t="str">
        <f t="shared" ca="1" si="40"/>
        <v xml:space="preserve"> </v>
      </c>
      <c r="AZ99" s="107">
        <f t="shared" ca="1" si="41"/>
        <v>0</v>
      </c>
      <c r="BA99" s="107">
        <f ca="1">IF(AZ99=1,(SUM($AW$6:AW99,$AX$6:AX99)-SUM($BA$6:BA98)),0)</f>
        <v>0</v>
      </c>
      <c r="BB99" s="107"/>
      <c r="BC99" s="107">
        <f ca="1">AV99+SUM($AW$6:AW99)+SUM($AX$6:AX99)-SUM($BA$6:BA99)</f>
        <v>0</v>
      </c>
      <c r="BD99" s="107">
        <f t="shared" ca="1" si="46"/>
        <v>0</v>
      </c>
      <c r="BE99" s="51">
        <f ca="1">'PiT PD Structure'!J139</f>
        <v>4.9111915506161452E-5</v>
      </c>
      <c r="BF99" s="139">
        <f t="shared" ca="1" si="59"/>
        <v>0.45</v>
      </c>
      <c r="BG99" s="51">
        <f t="shared" ca="1" si="47"/>
        <v>1</v>
      </c>
      <c r="BH99" s="50">
        <f t="shared" ca="1" si="42"/>
        <v>0</v>
      </c>
      <c r="BI99" s="50">
        <f t="shared" ca="1" si="63"/>
        <v>3.4816594052244909E-13</v>
      </c>
      <c r="BJ99" s="140">
        <v>0</v>
      </c>
      <c r="BK99" s="140">
        <v>0</v>
      </c>
      <c r="BM99" s="78"/>
      <c r="BR99" s="75">
        <f t="shared" ca="1" si="33"/>
        <v>46295</v>
      </c>
      <c r="BS99" s="74">
        <f t="shared" ca="1" si="48"/>
        <v>9</v>
      </c>
      <c r="BT99" s="74">
        <f t="shared" ca="1" si="49"/>
        <v>0</v>
      </c>
      <c r="BU99" s="73" t="str">
        <f t="shared" ca="1" si="50"/>
        <v xml:space="preserve"> </v>
      </c>
      <c r="BW99" s="75">
        <f t="shared" ca="1" si="60"/>
        <v>46295</v>
      </c>
      <c r="BX99" s="74">
        <f t="shared" ca="1" si="61"/>
        <v>9</v>
      </c>
      <c r="BY99" s="74">
        <f t="shared" ca="1" si="51"/>
        <v>0</v>
      </c>
      <c r="BZ99" s="73" t="str">
        <f t="shared" ca="1" si="52"/>
        <v xml:space="preserve"> </v>
      </c>
      <c r="CB99" s="75">
        <f t="shared" ca="1" si="62"/>
        <v>46295</v>
      </c>
      <c r="CC99" s="74">
        <f t="shared" ca="1" si="53"/>
        <v>9</v>
      </c>
      <c r="CD99" s="74">
        <f t="shared" ca="1" si="54"/>
        <v>0</v>
      </c>
      <c r="CE99" s="73" t="str">
        <f t="shared" ca="1" si="55"/>
        <v xml:space="preserve"> </v>
      </c>
    </row>
    <row r="100" spans="1:83" x14ac:dyDescent="0.2">
      <c r="A100" s="38">
        <f t="shared" si="64"/>
        <v>97</v>
      </c>
      <c r="B100" s="108" t="s">
        <v>454</v>
      </c>
      <c r="C100" s="38" t="s">
        <v>806</v>
      </c>
      <c r="D100" s="137">
        <v>43465</v>
      </c>
      <c r="E100" s="137">
        <v>44242</v>
      </c>
      <c r="F100" s="137">
        <v>42597</v>
      </c>
      <c r="G100" s="122">
        <v>15</v>
      </c>
      <c r="H100" s="137">
        <v>49536</v>
      </c>
      <c r="I100" s="50">
        <v>55095000</v>
      </c>
      <c r="J100" s="50">
        <v>1410160.22</v>
      </c>
      <c r="K100" s="50">
        <v>53684839.780000001</v>
      </c>
      <c r="L100" s="38">
        <v>4</v>
      </c>
      <c r="M100" s="38">
        <v>2</v>
      </c>
      <c r="N100" s="38">
        <v>2</v>
      </c>
      <c r="O100" s="50">
        <v>1410160.22</v>
      </c>
      <c r="P100" s="218">
        <v>0.02</v>
      </c>
      <c r="Q100" s="50">
        <v>10655.19</v>
      </c>
      <c r="R100" s="50">
        <v>10431608.095484756</v>
      </c>
      <c r="S100" s="38" t="s">
        <v>12</v>
      </c>
      <c r="T100" s="51">
        <v>0.02</v>
      </c>
      <c r="U100" s="65">
        <v>0.45</v>
      </c>
      <c r="V100" s="105" t="s">
        <v>536</v>
      </c>
      <c r="W100" s="66">
        <v>8778014.0385595597</v>
      </c>
      <c r="X100" s="66">
        <v>613115.23421168816</v>
      </c>
      <c r="Y100" s="38" t="s">
        <v>239</v>
      </c>
      <c r="Z100" s="66">
        <f t="shared" si="34"/>
        <v>613115.23421168816</v>
      </c>
      <c r="AA100" s="67"/>
      <c r="AC100" s="41">
        <f>VLOOKUP(A100,'Input Sheet'!$A$2:$B$232,2,0)</f>
        <v>1097</v>
      </c>
      <c r="AD100" s="259">
        <f t="shared" si="35"/>
        <v>613115.23421168816</v>
      </c>
      <c r="AI100" s="68"/>
      <c r="AL100" s="107">
        <f t="shared" ca="1" si="56"/>
        <v>0</v>
      </c>
      <c r="AM100" s="49">
        <f t="shared" ca="1" si="57"/>
        <v>46326</v>
      </c>
      <c r="AN100" s="137" t="str">
        <f t="shared" ca="1" si="43"/>
        <v xml:space="preserve"> </v>
      </c>
      <c r="AO100" s="107">
        <f t="shared" ca="1" si="44"/>
        <v>0</v>
      </c>
      <c r="AP100" s="143">
        <f t="shared" ca="1" si="36"/>
        <v>0</v>
      </c>
      <c r="AQ100" s="143">
        <f t="shared" ca="1" si="45"/>
        <v>0</v>
      </c>
      <c r="AR100" s="49" t="str">
        <f t="shared" ca="1" si="37"/>
        <v xml:space="preserve"> </v>
      </c>
      <c r="AS100" s="107">
        <f t="shared" ca="1" si="38"/>
        <v>0</v>
      </c>
      <c r="AT100" s="107">
        <f t="shared" ca="1" si="39"/>
        <v>0</v>
      </c>
      <c r="AU100" s="107"/>
      <c r="AV100" s="107">
        <f ca="1">MAX(SUM($AQ$6:AQ100)-SUM($AT$6:AT100),0)</f>
        <v>0</v>
      </c>
      <c r="AW100" s="107">
        <f t="shared" ca="1" si="58"/>
        <v>0</v>
      </c>
      <c r="AX100" s="107">
        <v>0</v>
      </c>
      <c r="AY100" s="138" t="str">
        <f t="shared" ca="1" si="40"/>
        <v xml:space="preserve"> </v>
      </c>
      <c r="AZ100" s="107">
        <f t="shared" ca="1" si="41"/>
        <v>0</v>
      </c>
      <c r="BA100" s="107">
        <f ca="1">IF(AZ100=1,(SUM($AW$6:AW100,$AX$6:AX100)-SUM($BA$6:BA99)),0)</f>
        <v>0</v>
      </c>
      <c r="BB100" s="107"/>
      <c r="BC100" s="107">
        <f ca="1">AV100+SUM($AW$6:AW100)+SUM($AX$6:AX100)-SUM($BA$6:BA100)</f>
        <v>0</v>
      </c>
      <c r="BD100" s="107">
        <f t="shared" ca="1" si="46"/>
        <v>0</v>
      </c>
      <c r="BE100" s="51">
        <f ca="1">'PiT PD Structure'!J140</f>
        <v>4.9109485989240476E-5</v>
      </c>
      <c r="BF100" s="139">
        <f t="shared" ca="1" si="59"/>
        <v>0.45</v>
      </c>
      <c r="BG100" s="51">
        <f t="shared" ca="1" si="47"/>
        <v>1</v>
      </c>
      <c r="BH100" s="50">
        <f t="shared" ca="1" si="42"/>
        <v>0</v>
      </c>
      <c r="BI100" s="50">
        <f t="shared" ca="1" si="63"/>
        <v>3.4816594052244909E-13</v>
      </c>
      <c r="BJ100" s="140">
        <v>0</v>
      </c>
      <c r="BK100" s="140">
        <v>0</v>
      </c>
      <c r="BM100" s="78"/>
      <c r="BR100" s="75">
        <f t="shared" ca="1" si="33"/>
        <v>46326</v>
      </c>
      <c r="BS100" s="74">
        <f t="shared" ca="1" si="48"/>
        <v>10</v>
      </c>
      <c r="BT100" s="74">
        <f t="shared" ca="1" si="49"/>
        <v>0</v>
      </c>
      <c r="BU100" s="73" t="str">
        <f t="shared" ca="1" si="50"/>
        <v xml:space="preserve"> </v>
      </c>
      <c r="BW100" s="75">
        <f t="shared" ca="1" si="60"/>
        <v>46326</v>
      </c>
      <c r="BX100" s="74">
        <f t="shared" ca="1" si="61"/>
        <v>10</v>
      </c>
      <c r="BY100" s="74">
        <f t="shared" ca="1" si="51"/>
        <v>0</v>
      </c>
      <c r="BZ100" s="73" t="str">
        <f t="shared" ca="1" si="52"/>
        <v xml:space="preserve"> </v>
      </c>
      <c r="CB100" s="75">
        <f t="shared" ca="1" si="62"/>
        <v>46326</v>
      </c>
      <c r="CC100" s="74">
        <f t="shared" ca="1" si="53"/>
        <v>10</v>
      </c>
      <c r="CD100" s="74">
        <f t="shared" ca="1" si="54"/>
        <v>0</v>
      </c>
      <c r="CE100" s="73" t="str">
        <f t="shared" ca="1" si="55"/>
        <v xml:space="preserve"> </v>
      </c>
    </row>
    <row r="101" spans="1:83" x14ac:dyDescent="0.2">
      <c r="A101" s="38">
        <f t="shared" si="64"/>
        <v>98</v>
      </c>
      <c r="B101" s="108" t="s">
        <v>455</v>
      </c>
      <c r="C101" s="38" t="s">
        <v>806</v>
      </c>
      <c r="D101" s="137">
        <v>43465</v>
      </c>
      <c r="E101" s="137">
        <v>44474</v>
      </c>
      <c r="F101" s="137">
        <v>42855</v>
      </c>
      <c r="G101" s="122">
        <v>5</v>
      </c>
      <c r="H101" s="137">
        <v>46117</v>
      </c>
      <c r="I101" s="50">
        <v>3673000000</v>
      </c>
      <c r="J101" s="50">
        <v>2938400000</v>
      </c>
      <c r="K101" s="50">
        <v>734600000</v>
      </c>
      <c r="L101" s="38">
        <v>1</v>
      </c>
      <c r="M101" s="38">
        <v>2</v>
      </c>
      <c r="N101" s="38">
        <v>2</v>
      </c>
      <c r="O101" s="50">
        <v>2938400000</v>
      </c>
      <c r="P101" s="218">
        <v>2.2499999999999999E-2</v>
      </c>
      <c r="Q101" s="50">
        <v>14875765.66</v>
      </c>
      <c r="R101" s="50">
        <v>420737931.16978472</v>
      </c>
      <c r="S101" s="38" t="s">
        <v>60</v>
      </c>
      <c r="T101" s="51">
        <v>2.6249999999999999E-2</v>
      </c>
      <c r="U101" s="65">
        <v>0.45</v>
      </c>
      <c r="V101" s="105" t="s">
        <v>530</v>
      </c>
      <c r="W101" s="66">
        <v>125161827.52530023</v>
      </c>
      <c r="X101" s="66">
        <v>8560377.3529619612</v>
      </c>
      <c r="Y101" s="38" t="s">
        <v>239</v>
      </c>
      <c r="Z101" s="66">
        <f t="shared" si="34"/>
        <v>8560377.3529619612</v>
      </c>
      <c r="AA101" s="67"/>
      <c r="AC101" s="41">
        <f>VLOOKUP(A101,'Input Sheet'!$A$2:$B$232,2,0)</f>
        <v>1098</v>
      </c>
      <c r="AD101" s="259">
        <f t="shared" si="35"/>
        <v>8560377.3529619612</v>
      </c>
      <c r="AI101" s="68"/>
      <c r="AL101" s="107">
        <f t="shared" ca="1" si="56"/>
        <v>0</v>
      </c>
      <c r="AM101" s="49">
        <f t="shared" ca="1" si="57"/>
        <v>46356</v>
      </c>
      <c r="AN101" s="137" t="str">
        <f t="shared" ca="1" si="43"/>
        <v xml:space="preserve"> </v>
      </c>
      <c r="AO101" s="107">
        <f t="shared" ca="1" si="44"/>
        <v>0</v>
      </c>
      <c r="AP101" s="143">
        <f t="shared" ca="1" si="36"/>
        <v>0</v>
      </c>
      <c r="AQ101" s="143">
        <f t="shared" ca="1" si="45"/>
        <v>0</v>
      </c>
      <c r="AR101" s="49" t="str">
        <f t="shared" ca="1" si="37"/>
        <v xml:space="preserve"> </v>
      </c>
      <c r="AS101" s="107">
        <f t="shared" ca="1" si="38"/>
        <v>0</v>
      </c>
      <c r="AT101" s="107">
        <f t="shared" ca="1" si="39"/>
        <v>0</v>
      </c>
      <c r="AU101" s="107"/>
      <c r="AV101" s="107">
        <f ca="1">MAX(SUM($AQ$6:AQ101)-SUM($AT$6:AT101),0)</f>
        <v>0</v>
      </c>
      <c r="AW101" s="107">
        <f t="shared" ca="1" si="58"/>
        <v>0</v>
      </c>
      <c r="AX101" s="107">
        <v>0</v>
      </c>
      <c r="AY101" s="138" t="str">
        <f t="shared" ca="1" si="40"/>
        <v xml:space="preserve"> </v>
      </c>
      <c r="AZ101" s="107">
        <f t="shared" ca="1" si="41"/>
        <v>0</v>
      </c>
      <c r="BA101" s="107">
        <f ca="1">IF(AZ101=1,(SUM($AW$6:AW101,$AX$6:AX101)-SUM($BA$6:BA100)),0)</f>
        <v>0</v>
      </c>
      <c r="BB101" s="107"/>
      <c r="BC101" s="107">
        <f ca="1">AV101+SUM($AW$6:AW101)+SUM($AX$6:AX101)-SUM($BA$6:BA101)</f>
        <v>0</v>
      </c>
      <c r="BD101" s="107">
        <f t="shared" ca="1" si="46"/>
        <v>0</v>
      </c>
      <c r="BE101" s="51">
        <f ca="1">'PiT PD Structure'!J141</f>
        <v>4.910705659288972E-5</v>
      </c>
      <c r="BF101" s="139">
        <f t="shared" ca="1" si="59"/>
        <v>0.45</v>
      </c>
      <c r="BG101" s="51">
        <f t="shared" ca="1" si="47"/>
        <v>1</v>
      </c>
      <c r="BH101" s="50">
        <f t="shared" ca="1" si="42"/>
        <v>0</v>
      </c>
      <c r="BI101" s="50">
        <f t="shared" ca="1" si="63"/>
        <v>3.4816594052244909E-13</v>
      </c>
      <c r="BJ101" s="140">
        <v>0</v>
      </c>
      <c r="BK101" s="140">
        <v>0</v>
      </c>
      <c r="BM101" s="78"/>
      <c r="BR101" s="75">
        <f t="shared" ca="1" si="33"/>
        <v>46356</v>
      </c>
      <c r="BS101" s="74">
        <f t="shared" ca="1" si="48"/>
        <v>11</v>
      </c>
      <c r="BT101" s="74">
        <f t="shared" ca="1" si="49"/>
        <v>0</v>
      </c>
      <c r="BU101" s="73" t="str">
        <f t="shared" ca="1" si="50"/>
        <v xml:space="preserve"> </v>
      </c>
      <c r="BW101" s="75">
        <f t="shared" ca="1" si="60"/>
        <v>46356</v>
      </c>
      <c r="BX101" s="74">
        <f t="shared" ca="1" si="61"/>
        <v>11</v>
      </c>
      <c r="BY101" s="74">
        <f t="shared" ca="1" si="51"/>
        <v>0</v>
      </c>
      <c r="BZ101" s="73" t="str">
        <f t="shared" ca="1" si="52"/>
        <v xml:space="preserve"> </v>
      </c>
      <c r="CB101" s="75">
        <f t="shared" ca="1" si="62"/>
        <v>46356</v>
      </c>
      <c r="CC101" s="74">
        <f t="shared" ca="1" si="53"/>
        <v>11</v>
      </c>
      <c r="CD101" s="74">
        <f t="shared" ca="1" si="54"/>
        <v>0</v>
      </c>
      <c r="CE101" s="73" t="str">
        <f t="shared" ca="1" si="55"/>
        <v xml:space="preserve"> </v>
      </c>
    </row>
    <row r="102" spans="1:83" x14ac:dyDescent="0.2">
      <c r="A102" s="38">
        <f t="shared" si="64"/>
        <v>99</v>
      </c>
      <c r="B102" s="108" t="s">
        <v>418</v>
      </c>
      <c r="C102" s="38" t="s">
        <v>806</v>
      </c>
      <c r="D102" s="137">
        <v>43465</v>
      </c>
      <c r="E102" s="137">
        <v>44515</v>
      </c>
      <c r="F102" s="137">
        <v>42870</v>
      </c>
      <c r="G102" s="122">
        <v>15</v>
      </c>
      <c r="H102" s="137">
        <v>49810</v>
      </c>
      <c r="I102" s="50">
        <v>146920000</v>
      </c>
      <c r="J102" s="50">
        <v>146920000</v>
      </c>
      <c r="K102" s="50">
        <v>0</v>
      </c>
      <c r="L102" s="38">
        <v>4</v>
      </c>
      <c r="M102" s="38">
        <v>2</v>
      </c>
      <c r="N102" s="38">
        <v>2</v>
      </c>
      <c r="O102" s="50">
        <v>146920000</v>
      </c>
      <c r="P102" s="218">
        <v>2.5000000000000001E-2</v>
      </c>
      <c r="Q102" s="50">
        <v>459124.98</v>
      </c>
      <c r="R102" s="50">
        <v>37535649.969444014</v>
      </c>
      <c r="S102" s="38" t="s">
        <v>54</v>
      </c>
      <c r="T102" s="51">
        <v>3.1662499999999996E-2</v>
      </c>
      <c r="U102" s="65">
        <v>0.45</v>
      </c>
      <c r="V102" s="105" t="s">
        <v>480</v>
      </c>
      <c r="W102" s="66">
        <v>12723347.640034912</v>
      </c>
      <c r="X102" s="66">
        <v>350828.10295239923</v>
      </c>
      <c r="Y102" s="38" t="s">
        <v>239</v>
      </c>
      <c r="Z102" s="66">
        <f t="shared" si="34"/>
        <v>350828.10295239923</v>
      </c>
      <c r="AA102" s="67"/>
      <c r="AC102" s="41">
        <f>VLOOKUP(A102,'Input Sheet'!$A$2:$B$232,2,0)</f>
        <v>1099</v>
      </c>
      <c r="AD102" s="259">
        <f t="shared" si="35"/>
        <v>350828.10295239923</v>
      </c>
      <c r="AI102" s="68"/>
      <c r="AL102" s="107">
        <f t="shared" ca="1" si="56"/>
        <v>0</v>
      </c>
      <c r="AM102" s="49">
        <f t="shared" ca="1" si="57"/>
        <v>46387</v>
      </c>
      <c r="AN102" s="137" t="str">
        <f t="shared" ca="1" si="43"/>
        <v xml:space="preserve"> </v>
      </c>
      <c r="AO102" s="107">
        <f t="shared" ca="1" si="44"/>
        <v>0</v>
      </c>
      <c r="AP102" s="143">
        <f t="shared" ca="1" si="36"/>
        <v>0</v>
      </c>
      <c r="AQ102" s="143">
        <f t="shared" ca="1" si="45"/>
        <v>0</v>
      </c>
      <c r="AR102" s="49" t="str">
        <f t="shared" ca="1" si="37"/>
        <v xml:space="preserve"> </v>
      </c>
      <c r="AS102" s="107">
        <f t="shared" ca="1" si="38"/>
        <v>0</v>
      </c>
      <c r="AT102" s="107">
        <f t="shared" ca="1" si="39"/>
        <v>0</v>
      </c>
      <c r="AU102" s="107"/>
      <c r="AV102" s="107">
        <f ca="1">MAX(SUM($AQ$6:AQ102)-SUM($AT$6:AT102),0)</f>
        <v>0</v>
      </c>
      <c r="AW102" s="107">
        <f t="shared" ca="1" si="58"/>
        <v>0</v>
      </c>
      <c r="AX102" s="107">
        <v>0</v>
      </c>
      <c r="AY102" s="138" t="str">
        <f t="shared" ca="1" si="40"/>
        <v xml:space="preserve"> </v>
      </c>
      <c r="AZ102" s="107">
        <f t="shared" ca="1" si="41"/>
        <v>0</v>
      </c>
      <c r="BA102" s="107">
        <f ca="1">IF(AZ102=1,(SUM($AW$6:AW102,$AX$6:AX102)-SUM($BA$6:BA101)),0)</f>
        <v>0</v>
      </c>
      <c r="BB102" s="107"/>
      <c r="BC102" s="107">
        <f ca="1">AV102+SUM($AW$6:AW102)+SUM($AX$6:AX102)-SUM($BA$6:BA102)</f>
        <v>0</v>
      </c>
      <c r="BD102" s="107">
        <f t="shared" ca="1" si="46"/>
        <v>0</v>
      </c>
      <c r="BE102" s="51">
        <f ca="1">'PiT PD Structure'!J142</f>
        <v>9.9752485142945435E-4</v>
      </c>
      <c r="BF102" s="139">
        <f t="shared" ca="1" si="59"/>
        <v>0.45</v>
      </c>
      <c r="BG102" s="51">
        <f t="shared" ca="1" si="47"/>
        <v>1</v>
      </c>
      <c r="BH102" s="50">
        <f t="shared" ca="1" si="42"/>
        <v>0</v>
      </c>
      <c r="BI102" s="50">
        <f t="shared" ca="1" si="63"/>
        <v>3.4816594052244909E-13</v>
      </c>
      <c r="BJ102" s="140">
        <v>0</v>
      </c>
      <c r="BK102" s="140">
        <v>0</v>
      </c>
      <c r="BM102" s="78"/>
      <c r="BR102" s="75">
        <f t="shared" ca="1" si="33"/>
        <v>46387</v>
      </c>
      <c r="BS102" s="74">
        <f t="shared" ca="1" si="48"/>
        <v>12</v>
      </c>
      <c r="BT102" s="74">
        <f t="shared" ca="1" si="49"/>
        <v>0</v>
      </c>
      <c r="BU102" s="73" t="str">
        <f t="shared" ca="1" si="50"/>
        <v xml:space="preserve"> </v>
      </c>
      <c r="BW102" s="75">
        <f t="shared" ca="1" si="60"/>
        <v>46387</v>
      </c>
      <c r="BX102" s="74">
        <f t="shared" ca="1" si="61"/>
        <v>12</v>
      </c>
      <c r="BY102" s="74">
        <f t="shared" ca="1" si="51"/>
        <v>0</v>
      </c>
      <c r="BZ102" s="73" t="str">
        <f t="shared" ca="1" si="52"/>
        <v xml:space="preserve"> </v>
      </c>
      <c r="CB102" s="75">
        <f t="shared" ca="1" si="62"/>
        <v>46387</v>
      </c>
      <c r="CC102" s="74">
        <f t="shared" ca="1" si="53"/>
        <v>12</v>
      </c>
      <c r="CD102" s="74">
        <f t="shared" ca="1" si="54"/>
        <v>0</v>
      </c>
      <c r="CE102" s="73" t="str">
        <f t="shared" ca="1" si="55"/>
        <v xml:space="preserve"> </v>
      </c>
    </row>
    <row r="103" spans="1:83" x14ac:dyDescent="0.2">
      <c r="A103" s="38">
        <f t="shared" si="64"/>
        <v>100</v>
      </c>
      <c r="B103" s="108" t="s">
        <v>456</v>
      </c>
      <c r="C103" s="38" t="s">
        <v>806</v>
      </c>
      <c r="D103" s="137">
        <v>43465</v>
      </c>
      <c r="E103" s="137">
        <v>44576</v>
      </c>
      <c r="F103" s="137">
        <v>42931</v>
      </c>
      <c r="G103" s="122">
        <v>15</v>
      </c>
      <c r="H103" s="137">
        <v>49871</v>
      </c>
      <c r="I103" s="50">
        <v>55095000</v>
      </c>
      <c r="J103" s="50">
        <v>16611995.699999999</v>
      </c>
      <c r="K103" s="50">
        <v>38483004.299999997</v>
      </c>
      <c r="L103" s="38">
        <v>1</v>
      </c>
      <c r="M103" s="38">
        <v>2</v>
      </c>
      <c r="N103" s="38">
        <v>2</v>
      </c>
      <c r="O103" s="50">
        <v>16611995.699999999</v>
      </c>
      <c r="P103" s="218">
        <v>0.02</v>
      </c>
      <c r="Q103" s="50">
        <v>67210.789999999994</v>
      </c>
      <c r="R103" s="50">
        <v>11445333.194778871</v>
      </c>
      <c r="S103" s="38" t="s">
        <v>62</v>
      </c>
      <c r="T103" s="51">
        <v>0.02</v>
      </c>
      <c r="U103" s="65">
        <v>0.45</v>
      </c>
      <c r="V103" s="105" t="s">
        <v>537</v>
      </c>
      <c r="W103" s="66">
        <v>11313346.740692558</v>
      </c>
      <c r="X103" s="66">
        <v>738977.52773380838</v>
      </c>
      <c r="Y103" s="38" t="s">
        <v>239</v>
      </c>
      <c r="Z103" s="66">
        <f t="shared" si="34"/>
        <v>738977.52773380838</v>
      </c>
      <c r="AA103" s="67"/>
      <c r="AC103" s="41">
        <f>VLOOKUP(A103,'Input Sheet'!$A$2:$B$232,2,0)</f>
        <v>1100</v>
      </c>
      <c r="AD103" s="259">
        <f t="shared" si="35"/>
        <v>738977.52773380838</v>
      </c>
      <c r="AI103" s="68"/>
      <c r="AL103" s="107">
        <f t="shared" ca="1" si="56"/>
        <v>0</v>
      </c>
      <c r="AM103" s="49">
        <f t="shared" ca="1" si="57"/>
        <v>46418</v>
      </c>
      <c r="AN103" s="137" t="str">
        <f t="shared" ca="1" si="43"/>
        <v xml:space="preserve"> </v>
      </c>
      <c r="AO103" s="107">
        <f t="shared" ca="1" si="44"/>
        <v>0</v>
      </c>
      <c r="AP103" s="143">
        <f t="shared" ca="1" si="36"/>
        <v>0</v>
      </c>
      <c r="AQ103" s="143">
        <f t="shared" ca="1" si="45"/>
        <v>0</v>
      </c>
      <c r="AR103" s="49" t="str">
        <f t="shared" ca="1" si="37"/>
        <v xml:space="preserve"> </v>
      </c>
      <c r="AS103" s="107">
        <f t="shared" ca="1" si="38"/>
        <v>0</v>
      </c>
      <c r="AT103" s="107">
        <f t="shared" ca="1" si="39"/>
        <v>0</v>
      </c>
      <c r="AU103" s="107"/>
      <c r="AV103" s="107">
        <f ca="1">MAX(SUM($AQ$6:AQ103)-SUM($AT$6:AT103),0)</f>
        <v>0</v>
      </c>
      <c r="AW103" s="107">
        <f t="shared" ca="1" si="58"/>
        <v>0</v>
      </c>
      <c r="AX103" s="107">
        <v>0</v>
      </c>
      <c r="AY103" s="138" t="str">
        <f t="shared" ca="1" si="40"/>
        <v xml:space="preserve"> </v>
      </c>
      <c r="AZ103" s="107">
        <f t="shared" ca="1" si="41"/>
        <v>0</v>
      </c>
      <c r="BA103" s="107">
        <f ca="1">IF(AZ103=1,(SUM($AW$6:AW103,$AX$6:AX103)-SUM($BA$6:BA102)),0)</f>
        <v>0</v>
      </c>
      <c r="BB103" s="107"/>
      <c r="BC103" s="107">
        <f ca="1">AV103+SUM($AW$6:AW103)+SUM($AX$6:AX103)-SUM($BA$6:BA103)</f>
        <v>0</v>
      </c>
      <c r="BD103" s="107">
        <f t="shared" ca="1" si="46"/>
        <v>0</v>
      </c>
      <c r="BE103" s="51">
        <f ca="1">'PiT PD Structure'!J143</f>
        <v>5.3281992539289114E-5</v>
      </c>
      <c r="BF103" s="139">
        <f t="shared" ca="1" si="59"/>
        <v>0.45</v>
      </c>
      <c r="BG103" s="51">
        <f t="shared" ca="1" si="47"/>
        <v>1</v>
      </c>
      <c r="BH103" s="50">
        <f t="shared" ca="1" si="42"/>
        <v>0</v>
      </c>
      <c r="BI103" s="50">
        <f t="shared" ca="1" si="63"/>
        <v>3.4816594052244909E-13</v>
      </c>
      <c r="BJ103" s="140">
        <v>0</v>
      </c>
      <c r="BK103" s="140">
        <v>0</v>
      </c>
      <c r="BM103" s="78"/>
      <c r="BR103" s="75">
        <f t="shared" ca="1" si="33"/>
        <v>46418</v>
      </c>
      <c r="BS103" s="74">
        <f t="shared" ca="1" si="48"/>
        <v>1</v>
      </c>
      <c r="BT103" s="74">
        <f t="shared" ca="1" si="49"/>
        <v>0</v>
      </c>
      <c r="BU103" s="73" t="str">
        <f t="shared" ca="1" si="50"/>
        <v xml:space="preserve"> </v>
      </c>
      <c r="BW103" s="75">
        <f t="shared" ca="1" si="60"/>
        <v>46418</v>
      </c>
      <c r="BX103" s="74">
        <f t="shared" ca="1" si="61"/>
        <v>1</v>
      </c>
      <c r="BY103" s="74">
        <f t="shared" ca="1" si="51"/>
        <v>0</v>
      </c>
      <c r="BZ103" s="73" t="str">
        <f t="shared" ca="1" si="52"/>
        <v xml:space="preserve"> </v>
      </c>
      <c r="CB103" s="75">
        <f t="shared" ca="1" si="62"/>
        <v>46418</v>
      </c>
      <c r="CC103" s="74">
        <f t="shared" ca="1" si="53"/>
        <v>1</v>
      </c>
      <c r="CD103" s="74">
        <f t="shared" ca="1" si="54"/>
        <v>0</v>
      </c>
      <c r="CE103" s="73" t="str">
        <f t="shared" ca="1" si="55"/>
        <v xml:space="preserve"> </v>
      </c>
    </row>
    <row r="104" spans="1:83" x14ac:dyDescent="0.2">
      <c r="A104" s="38">
        <f t="shared" si="64"/>
        <v>101</v>
      </c>
      <c r="B104" s="108" t="s">
        <v>448</v>
      </c>
      <c r="C104" s="38" t="s">
        <v>806</v>
      </c>
      <c r="D104" s="137">
        <v>43465</v>
      </c>
      <c r="E104" s="137">
        <v>44232</v>
      </c>
      <c r="F104" s="137">
        <v>42952</v>
      </c>
      <c r="G104" s="122">
        <v>6</v>
      </c>
      <c r="H104" s="137">
        <v>46239</v>
      </c>
      <c r="I104" s="50">
        <v>165285000</v>
      </c>
      <c r="J104" s="50">
        <v>165285000</v>
      </c>
      <c r="K104" s="50">
        <v>0</v>
      </c>
      <c r="L104" s="38">
        <v>12</v>
      </c>
      <c r="M104" s="38">
        <v>2</v>
      </c>
      <c r="N104" s="38">
        <v>2</v>
      </c>
      <c r="O104" s="50">
        <v>165285000</v>
      </c>
      <c r="P104" s="218">
        <v>1.4999999999999999E-2</v>
      </c>
      <c r="Q104" s="50">
        <v>998596.85</v>
      </c>
      <c r="R104" s="50">
        <v>12213228.354836432</v>
      </c>
      <c r="S104" s="38" t="s">
        <v>42</v>
      </c>
      <c r="T104" s="51">
        <v>2.4375000000000001E-2</v>
      </c>
      <c r="U104" s="65">
        <v>0.45</v>
      </c>
      <c r="V104" s="105" t="s">
        <v>529</v>
      </c>
      <c r="W104" s="66">
        <v>300313.17600613571</v>
      </c>
      <c r="X104" s="66">
        <v>30547.266408297644</v>
      </c>
      <c r="Y104" s="38" t="s">
        <v>239</v>
      </c>
      <c r="Z104" s="66">
        <f t="shared" si="34"/>
        <v>30547.266408297644</v>
      </c>
      <c r="AA104" s="67"/>
      <c r="AC104" s="41">
        <f>VLOOKUP(A104,'Input Sheet'!$A$2:$B$232,2,0)</f>
        <v>1101</v>
      </c>
      <c r="AD104" s="259">
        <f t="shared" si="35"/>
        <v>30547.266408297644</v>
      </c>
      <c r="AI104" s="68"/>
      <c r="AL104" s="107">
        <f t="shared" ca="1" si="56"/>
        <v>0</v>
      </c>
      <c r="AM104" s="49">
        <f t="shared" ca="1" si="57"/>
        <v>46446</v>
      </c>
      <c r="AN104" s="137" t="str">
        <f t="shared" ca="1" si="43"/>
        <v xml:space="preserve"> </v>
      </c>
      <c r="AO104" s="107">
        <f t="shared" ca="1" si="44"/>
        <v>0</v>
      </c>
      <c r="AP104" s="143">
        <f t="shared" ca="1" si="36"/>
        <v>0</v>
      </c>
      <c r="AQ104" s="143">
        <f t="shared" ca="1" si="45"/>
        <v>0</v>
      </c>
      <c r="AR104" s="49" t="str">
        <f t="shared" ca="1" si="37"/>
        <v xml:space="preserve"> </v>
      </c>
      <c r="AS104" s="107">
        <f t="shared" ca="1" si="38"/>
        <v>0</v>
      </c>
      <c r="AT104" s="107">
        <f t="shared" ca="1" si="39"/>
        <v>0</v>
      </c>
      <c r="AU104" s="107"/>
      <c r="AV104" s="107">
        <f ca="1">MAX(SUM($AQ$6:AQ104)-SUM($AT$6:AT104),0)</f>
        <v>0</v>
      </c>
      <c r="AW104" s="107">
        <f t="shared" ca="1" si="58"/>
        <v>0</v>
      </c>
      <c r="AX104" s="107">
        <v>0</v>
      </c>
      <c r="AY104" s="138" t="str">
        <f t="shared" ca="1" si="40"/>
        <v xml:space="preserve"> </v>
      </c>
      <c r="AZ104" s="107">
        <f t="shared" ca="1" si="41"/>
        <v>0</v>
      </c>
      <c r="BA104" s="107">
        <f ca="1">IF(AZ104=1,(SUM($AW$6:AW104,$AX$6:AX104)-SUM($BA$6:BA103)),0)</f>
        <v>0</v>
      </c>
      <c r="BB104" s="107"/>
      <c r="BC104" s="107">
        <f ca="1">AV104+SUM($AW$6:AW104)+SUM($AX$6:AX104)-SUM($BA$6:BA104)</f>
        <v>0</v>
      </c>
      <c r="BD104" s="107">
        <f t="shared" ca="1" si="46"/>
        <v>0</v>
      </c>
      <c r="BE104" s="51">
        <f ca="1">'PiT PD Structure'!J144</f>
        <v>5.3279129626382371E-5</v>
      </c>
      <c r="BF104" s="139">
        <f t="shared" ca="1" si="59"/>
        <v>0.45</v>
      </c>
      <c r="BG104" s="51">
        <f t="shared" ca="1" si="47"/>
        <v>1</v>
      </c>
      <c r="BH104" s="50">
        <f t="shared" ca="1" si="42"/>
        <v>0</v>
      </c>
      <c r="BI104" s="50">
        <f t="shared" ca="1" si="63"/>
        <v>3.4816594052244909E-13</v>
      </c>
      <c r="BJ104" s="140">
        <v>0</v>
      </c>
      <c r="BK104" s="140">
        <v>0</v>
      </c>
      <c r="BM104" s="78"/>
      <c r="BR104" s="75">
        <f t="shared" ca="1" si="33"/>
        <v>46446</v>
      </c>
      <c r="BS104" s="74">
        <f t="shared" ca="1" si="48"/>
        <v>2</v>
      </c>
      <c r="BT104" s="74">
        <f t="shared" ca="1" si="49"/>
        <v>0</v>
      </c>
      <c r="BU104" s="73" t="str">
        <f t="shared" ca="1" si="50"/>
        <v xml:space="preserve"> </v>
      </c>
      <c r="BW104" s="75">
        <f t="shared" ca="1" si="60"/>
        <v>46446</v>
      </c>
      <c r="BX104" s="74">
        <f t="shared" ca="1" si="61"/>
        <v>2</v>
      </c>
      <c r="BY104" s="74">
        <f t="shared" ca="1" si="51"/>
        <v>0</v>
      </c>
      <c r="BZ104" s="73" t="str">
        <f t="shared" ca="1" si="52"/>
        <v xml:space="preserve"> </v>
      </c>
      <c r="CB104" s="75">
        <f t="shared" ca="1" si="62"/>
        <v>46446</v>
      </c>
      <c r="CC104" s="74">
        <f t="shared" ca="1" si="53"/>
        <v>2</v>
      </c>
      <c r="CD104" s="74">
        <f t="shared" ca="1" si="54"/>
        <v>0</v>
      </c>
      <c r="CE104" s="73" t="str">
        <f t="shared" ca="1" si="55"/>
        <v xml:space="preserve"> </v>
      </c>
    </row>
    <row r="105" spans="1:83" x14ac:dyDescent="0.2">
      <c r="A105" s="38">
        <f t="shared" si="64"/>
        <v>102</v>
      </c>
      <c r="B105" s="108" t="s">
        <v>457</v>
      </c>
      <c r="C105" s="38" t="s">
        <v>806</v>
      </c>
      <c r="D105" s="137">
        <v>43465</v>
      </c>
      <c r="E105" s="137">
        <v>44357</v>
      </c>
      <c r="F105" s="137">
        <v>43079</v>
      </c>
      <c r="G105" s="122">
        <v>6</v>
      </c>
      <c r="H105" s="137">
        <v>46366</v>
      </c>
      <c r="I105" s="50">
        <v>734600000</v>
      </c>
      <c r="J105" s="50">
        <v>734600000</v>
      </c>
      <c r="K105" s="50">
        <v>0</v>
      </c>
      <c r="L105" s="38">
        <v>1</v>
      </c>
      <c r="M105" s="38">
        <v>2</v>
      </c>
      <c r="N105" s="38">
        <v>2</v>
      </c>
      <c r="O105" s="50">
        <v>734600000</v>
      </c>
      <c r="P105" s="218">
        <v>1.4999999999999999E-2</v>
      </c>
      <c r="Q105" s="50">
        <v>17599791.670000002</v>
      </c>
      <c r="R105" s="50">
        <v>58208300.056301281</v>
      </c>
      <c r="S105" s="38" t="s">
        <v>42</v>
      </c>
      <c r="T105" s="51">
        <v>2.4375000000000001E-2</v>
      </c>
      <c r="U105" s="65">
        <v>0.45</v>
      </c>
      <c r="V105" s="105" t="s">
        <v>529</v>
      </c>
      <c r="W105" s="66">
        <v>1386580.2685070261</v>
      </c>
      <c r="X105" s="66">
        <v>135743.01422893428</v>
      </c>
      <c r="Y105" s="38" t="s">
        <v>239</v>
      </c>
      <c r="Z105" s="66">
        <f t="shared" si="34"/>
        <v>135743.01422893428</v>
      </c>
      <c r="AA105" s="67"/>
      <c r="AC105" s="41">
        <f>VLOOKUP(A105,'Input Sheet'!$A$2:$B$232,2,0)</f>
        <v>1102</v>
      </c>
      <c r="AD105" s="259">
        <f t="shared" si="35"/>
        <v>135743.01422893428</v>
      </c>
      <c r="AI105" s="68"/>
      <c r="AL105" s="107">
        <f t="shared" ca="1" si="56"/>
        <v>0</v>
      </c>
      <c r="AM105" s="49">
        <f t="shared" ca="1" si="57"/>
        <v>46477</v>
      </c>
      <c r="AN105" s="137" t="str">
        <f t="shared" ca="1" si="43"/>
        <v xml:space="preserve"> </v>
      </c>
      <c r="AO105" s="107">
        <f t="shared" ca="1" si="44"/>
        <v>0</v>
      </c>
      <c r="AP105" s="143">
        <f t="shared" ca="1" si="36"/>
        <v>0</v>
      </c>
      <c r="AQ105" s="143">
        <f t="shared" ca="1" si="45"/>
        <v>0</v>
      </c>
      <c r="AR105" s="49" t="str">
        <f t="shared" ca="1" si="37"/>
        <v xml:space="preserve"> </v>
      </c>
      <c r="AS105" s="107">
        <f t="shared" ca="1" si="38"/>
        <v>0</v>
      </c>
      <c r="AT105" s="107">
        <f t="shared" ca="1" si="39"/>
        <v>0</v>
      </c>
      <c r="AU105" s="107"/>
      <c r="AV105" s="107">
        <f ca="1">MAX(SUM($AQ$6:AQ105)-SUM($AT$6:AT105),0)</f>
        <v>0</v>
      </c>
      <c r="AW105" s="107">
        <f t="shared" ca="1" si="58"/>
        <v>0</v>
      </c>
      <c r="AX105" s="107">
        <v>0</v>
      </c>
      <c r="AY105" s="138" t="str">
        <f t="shared" ca="1" si="40"/>
        <v xml:space="preserve"> </v>
      </c>
      <c r="AZ105" s="107">
        <f t="shared" ca="1" si="41"/>
        <v>0</v>
      </c>
      <c r="BA105" s="107">
        <f ca="1">IF(AZ105=1,(SUM($AW$6:AW105,$AX$6:AX105)-SUM($BA$6:BA104)),0)</f>
        <v>0</v>
      </c>
      <c r="BB105" s="107"/>
      <c r="BC105" s="107">
        <f ca="1">AV105+SUM($AW$6:AW105)+SUM($AX$6:AX105)-SUM($BA$6:BA105)</f>
        <v>0</v>
      </c>
      <c r="BD105" s="107">
        <f t="shared" ca="1" si="46"/>
        <v>0</v>
      </c>
      <c r="BE105" s="51">
        <f ca="1">'PiT PD Structure'!J145</f>
        <v>5.327626686690845E-5</v>
      </c>
      <c r="BF105" s="139">
        <f t="shared" ca="1" si="59"/>
        <v>0.45</v>
      </c>
      <c r="BG105" s="51">
        <f t="shared" ca="1" si="47"/>
        <v>1</v>
      </c>
      <c r="BH105" s="50">
        <f t="shared" ca="1" si="42"/>
        <v>0</v>
      </c>
      <c r="BI105" s="50">
        <f t="shared" ca="1" si="63"/>
        <v>3.4816594052244909E-13</v>
      </c>
      <c r="BJ105" s="140">
        <v>0</v>
      </c>
      <c r="BK105" s="140">
        <v>0</v>
      </c>
      <c r="BM105" s="78"/>
      <c r="BR105" s="75">
        <f t="shared" ca="1" si="33"/>
        <v>46477</v>
      </c>
      <c r="BS105" s="74">
        <f t="shared" ca="1" si="48"/>
        <v>3</v>
      </c>
      <c r="BT105" s="74">
        <f t="shared" ca="1" si="49"/>
        <v>0</v>
      </c>
      <c r="BU105" s="73" t="str">
        <f t="shared" ca="1" si="50"/>
        <v xml:space="preserve"> </v>
      </c>
      <c r="BW105" s="75">
        <f t="shared" ca="1" si="60"/>
        <v>46477</v>
      </c>
      <c r="BX105" s="74">
        <f t="shared" ca="1" si="61"/>
        <v>3</v>
      </c>
      <c r="BY105" s="74">
        <f t="shared" ca="1" si="51"/>
        <v>0</v>
      </c>
      <c r="BZ105" s="73" t="str">
        <f t="shared" ca="1" si="52"/>
        <v xml:space="preserve"> </v>
      </c>
      <c r="CB105" s="75">
        <f t="shared" ca="1" si="62"/>
        <v>46477</v>
      </c>
      <c r="CC105" s="74">
        <f t="shared" ca="1" si="53"/>
        <v>3</v>
      </c>
      <c r="CD105" s="74">
        <f t="shared" ca="1" si="54"/>
        <v>0</v>
      </c>
      <c r="CE105" s="73" t="str">
        <f t="shared" ca="1" si="55"/>
        <v xml:space="preserve"> </v>
      </c>
    </row>
    <row r="106" spans="1:83" x14ac:dyDescent="0.2">
      <c r="A106" s="38">
        <f t="shared" si="64"/>
        <v>103</v>
      </c>
      <c r="B106" s="108" t="s">
        <v>458</v>
      </c>
      <c r="C106" s="38" t="s">
        <v>806</v>
      </c>
      <c r="D106" s="137">
        <v>43465</v>
      </c>
      <c r="E106" s="137">
        <v>44459</v>
      </c>
      <c r="F106" s="137">
        <v>43179</v>
      </c>
      <c r="G106" s="122">
        <v>6</v>
      </c>
      <c r="H106" s="137">
        <v>46466</v>
      </c>
      <c r="I106" s="50">
        <v>40403000</v>
      </c>
      <c r="J106" s="50">
        <v>38337205.630000003</v>
      </c>
      <c r="K106" s="50">
        <v>2065794.3699999973</v>
      </c>
      <c r="L106" s="38">
        <v>1</v>
      </c>
      <c r="M106" s="38">
        <v>2</v>
      </c>
      <c r="N106" s="38">
        <v>2</v>
      </c>
      <c r="O106" s="50">
        <v>38337205.630000003</v>
      </c>
      <c r="P106" s="218">
        <v>0.01</v>
      </c>
      <c r="Q106" s="50">
        <v>397891.41</v>
      </c>
      <c r="R106" s="50">
        <v>2250939.1552952388</v>
      </c>
      <c r="S106" s="38" t="s">
        <v>12</v>
      </c>
      <c r="T106" s="51">
        <v>2.8999999999999998E-2</v>
      </c>
      <c r="U106" s="65">
        <v>0.45</v>
      </c>
      <c r="V106" s="105" t="s">
        <v>231</v>
      </c>
      <c r="W106" s="66">
        <v>5168228.5385547075</v>
      </c>
      <c r="X106" s="66">
        <v>558028.99957265425</v>
      </c>
      <c r="Y106" s="38" t="s">
        <v>239</v>
      </c>
      <c r="Z106" s="66">
        <f t="shared" si="34"/>
        <v>558028.99957265425</v>
      </c>
      <c r="AA106" s="67"/>
      <c r="AC106" s="41">
        <f>VLOOKUP(A106,'Input Sheet'!$A$2:$B$232,2,0)</f>
        <v>1103</v>
      </c>
      <c r="AD106" s="259">
        <f t="shared" si="35"/>
        <v>558028.99957265425</v>
      </c>
      <c r="AI106" s="68"/>
      <c r="AL106" s="107">
        <f t="shared" ca="1" si="56"/>
        <v>0</v>
      </c>
      <c r="AM106" s="49">
        <f t="shared" ca="1" si="57"/>
        <v>46507</v>
      </c>
      <c r="AN106" s="137" t="str">
        <f t="shared" ca="1" si="43"/>
        <v xml:space="preserve"> </v>
      </c>
      <c r="AO106" s="107">
        <f t="shared" ca="1" si="44"/>
        <v>0</v>
      </c>
      <c r="AP106" s="143">
        <f t="shared" ca="1" si="36"/>
        <v>0</v>
      </c>
      <c r="AQ106" s="143">
        <f t="shared" ca="1" si="45"/>
        <v>0</v>
      </c>
      <c r="AR106" s="49" t="str">
        <f t="shared" ca="1" si="37"/>
        <v xml:space="preserve"> </v>
      </c>
      <c r="AS106" s="107">
        <f t="shared" ca="1" si="38"/>
        <v>0</v>
      </c>
      <c r="AT106" s="107">
        <f t="shared" ca="1" si="39"/>
        <v>0</v>
      </c>
      <c r="AU106" s="107"/>
      <c r="AV106" s="107">
        <f ca="1">MAX(SUM($AQ$6:AQ106)-SUM($AT$6:AT106),0)</f>
        <v>0</v>
      </c>
      <c r="AW106" s="107">
        <f t="shared" ca="1" si="58"/>
        <v>0</v>
      </c>
      <c r="AX106" s="107">
        <v>0</v>
      </c>
      <c r="AY106" s="138" t="str">
        <f t="shared" ca="1" si="40"/>
        <v xml:space="preserve"> </v>
      </c>
      <c r="AZ106" s="107">
        <f t="shared" ca="1" si="41"/>
        <v>0</v>
      </c>
      <c r="BA106" s="107">
        <f ca="1">IF(AZ106=1,(SUM($AW$6:AW106,$AX$6:AX106)-SUM($BA$6:BA105)),0)</f>
        <v>0</v>
      </c>
      <c r="BB106" s="107"/>
      <c r="BC106" s="107">
        <f ca="1">AV106+SUM($AW$6:AW106)+SUM($AX$6:AX106)-SUM($BA$6:BA106)</f>
        <v>0</v>
      </c>
      <c r="BD106" s="107">
        <f t="shared" ca="1" si="46"/>
        <v>0</v>
      </c>
      <c r="BE106" s="51">
        <f ca="1">'PiT PD Structure'!J146</f>
        <v>5.3273404261311441E-5</v>
      </c>
      <c r="BF106" s="139">
        <f t="shared" ca="1" si="59"/>
        <v>0.45</v>
      </c>
      <c r="BG106" s="51">
        <f t="shared" ca="1" si="47"/>
        <v>1</v>
      </c>
      <c r="BH106" s="50">
        <f t="shared" ca="1" si="42"/>
        <v>0</v>
      </c>
      <c r="BI106" s="50">
        <f t="shared" ca="1" si="63"/>
        <v>3.4816594052244909E-13</v>
      </c>
      <c r="BJ106" s="140">
        <v>0</v>
      </c>
      <c r="BK106" s="140">
        <v>0</v>
      </c>
      <c r="BM106" s="78"/>
      <c r="BR106" s="75">
        <f t="shared" ca="1" si="33"/>
        <v>46507</v>
      </c>
      <c r="BS106" s="74">
        <f t="shared" ca="1" si="48"/>
        <v>4</v>
      </c>
      <c r="BT106" s="74">
        <f t="shared" ca="1" si="49"/>
        <v>0</v>
      </c>
      <c r="BU106" s="73" t="str">
        <f t="shared" ca="1" si="50"/>
        <v xml:space="preserve"> </v>
      </c>
      <c r="BW106" s="75">
        <f t="shared" ca="1" si="60"/>
        <v>46507</v>
      </c>
      <c r="BX106" s="74">
        <f t="shared" ca="1" si="61"/>
        <v>4</v>
      </c>
      <c r="BY106" s="74">
        <f t="shared" ca="1" si="51"/>
        <v>0</v>
      </c>
      <c r="BZ106" s="73" t="str">
        <f t="shared" ca="1" si="52"/>
        <v xml:space="preserve"> </v>
      </c>
      <c r="CB106" s="75">
        <f t="shared" ca="1" si="62"/>
        <v>46507</v>
      </c>
      <c r="CC106" s="74">
        <f t="shared" ca="1" si="53"/>
        <v>4</v>
      </c>
      <c r="CD106" s="74">
        <f t="shared" ca="1" si="54"/>
        <v>0</v>
      </c>
      <c r="CE106" s="73" t="str">
        <f t="shared" ca="1" si="55"/>
        <v xml:space="preserve"> </v>
      </c>
    </row>
    <row r="107" spans="1:83" x14ac:dyDescent="0.2">
      <c r="A107" s="38">
        <f t="shared" si="64"/>
        <v>104</v>
      </c>
      <c r="B107" s="108" t="s">
        <v>459</v>
      </c>
      <c r="C107" s="38" t="s">
        <v>806</v>
      </c>
      <c r="D107" s="137">
        <v>43465</v>
      </c>
      <c r="E107" s="137">
        <v>44134</v>
      </c>
      <c r="F107" s="137">
        <v>43220</v>
      </c>
      <c r="G107" s="122">
        <v>12</v>
      </c>
      <c r="H107" s="137">
        <v>48334</v>
      </c>
      <c r="I107" s="50">
        <v>183650000</v>
      </c>
      <c r="J107" s="50">
        <v>3083089.5</v>
      </c>
      <c r="K107" s="50">
        <v>180566910.5</v>
      </c>
      <c r="L107" s="38">
        <v>1</v>
      </c>
      <c r="M107" s="38">
        <v>2</v>
      </c>
      <c r="N107" s="38">
        <v>2</v>
      </c>
      <c r="O107" s="50">
        <v>3083089.5</v>
      </c>
      <c r="P107" s="218">
        <v>0.04</v>
      </c>
      <c r="Q107" s="50">
        <v>86962.83</v>
      </c>
      <c r="R107" s="50">
        <v>56127215.178457536</v>
      </c>
      <c r="S107" s="38" t="s">
        <v>12</v>
      </c>
      <c r="T107" s="51">
        <v>3.6249999999999998E-2</v>
      </c>
      <c r="U107" s="65">
        <v>0.45</v>
      </c>
      <c r="V107" s="105" t="s">
        <v>499</v>
      </c>
      <c r="W107" s="66">
        <v>26800107.869148605</v>
      </c>
      <c r="X107" s="66">
        <v>2235073.8746346552</v>
      </c>
      <c r="Y107" s="38" t="s">
        <v>239</v>
      </c>
      <c r="Z107" s="66">
        <f t="shared" si="34"/>
        <v>2235073.8746346552</v>
      </c>
      <c r="AA107" s="67"/>
      <c r="AC107" s="41">
        <f>VLOOKUP(A107,'Input Sheet'!$A$2:$B$232,2,0)</f>
        <v>1104</v>
      </c>
      <c r="AD107" s="259">
        <f t="shared" si="35"/>
        <v>2235073.8746346552</v>
      </c>
      <c r="AI107" s="68"/>
      <c r="AL107" s="107">
        <f t="shared" ca="1" si="56"/>
        <v>0</v>
      </c>
      <c r="AM107" s="49">
        <f t="shared" ca="1" si="57"/>
        <v>46538</v>
      </c>
      <c r="AN107" s="137" t="str">
        <f t="shared" ca="1" si="43"/>
        <v xml:space="preserve"> </v>
      </c>
      <c r="AO107" s="107">
        <f t="shared" ca="1" si="44"/>
        <v>0</v>
      </c>
      <c r="AP107" s="143">
        <f t="shared" ca="1" si="36"/>
        <v>0</v>
      </c>
      <c r="AQ107" s="143">
        <f t="shared" ca="1" si="45"/>
        <v>0</v>
      </c>
      <c r="AR107" s="49" t="str">
        <f t="shared" ca="1" si="37"/>
        <v xml:space="preserve"> </v>
      </c>
      <c r="AS107" s="107">
        <f t="shared" ca="1" si="38"/>
        <v>0</v>
      </c>
      <c r="AT107" s="107">
        <f t="shared" ca="1" si="39"/>
        <v>0</v>
      </c>
      <c r="AU107" s="107"/>
      <c r="AV107" s="107">
        <f ca="1">MAX(SUM($AQ$6:AQ107)-SUM($AT$6:AT107),0)</f>
        <v>0</v>
      </c>
      <c r="AW107" s="107">
        <f t="shared" ca="1" si="58"/>
        <v>0</v>
      </c>
      <c r="AX107" s="107">
        <v>0</v>
      </c>
      <c r="AY107" s="138" t="str">
        <f t="shared" ca="1" si="40"/>
        <v xml:space="preserve"> </v>
      </c>
      <c r="AZ107" s="107">
        <f t="shared" ca="1" si="41"/>
        <v>0</v>
      </c>
      <c r="BA107" s="107">
        <f ca="1">IF(AZ107=1,(SUM($AW$6:AW107,$AX$6:AX107)-SUM($BA$6:BA106)),0)</f>
        <v>0</v>
      </c>
      <c r="BB107" s="107"/>
      <c r="BC107" s="107">
        <f ca="1">AV107+SUM($AW$6:AW107)+SUM($AX$6:AX107)-SUM($BA$6:BA107)</f>
        <v>0</v>
      </c>
      <c r="BD107" s="107">
        <f t="shared" ca="1" si="46"/>
        <v>0</v>
      </c>
      <c r="BE107" s="51">
        <f ca="1">'PiT PD Structure'!J147</f>
        <v>5.3270541809813388E-5</v>
      </c>
      <c r="BF107" s="139">
        <f t="shared" ca="1" si="59"/>
        <v>0.45</v>
      </c>
      <c r="BG107" s="51">
        <f t="shared" ca="1" si="47"/>
        <v>1</v>
      </c>
      <c r="BH107" s="50">
        <f t="shared" ca="1" si="42"/>
        <v>0</v>
      </c>
      <c r="BI107" s="50">
        <f t="shared" ca="1" si="63"/>
        <v>3.4816594052244909E-13</v>
      </c>
      <c r="BJ107" s="140">
        <v>0</v>
      </c>
      <c r="BK107" s="140">
        <v>0</v>
      </c>
      <c r="BM107" s="78"/>
      <c r="BR107" s="75">
        <f t="shared" ca="1" si="33"/>
        <v>46538</v>
      </c>
      <c r="BS107" s="74">
        <f t="shared" ca="1" si="48"/>
        <v>5</v>
      </c>
      <c r="BT107" s="74">
        <f t="shared" ca="1" si="49"/>
        <v>0</v>
      </c>
      <c r="BU107" s="73" t="str">
        <f t="shared" ca="1" si="50"/>
        <v xml:space="preserve"> </v>
      </c>
      <c r="BW107" s="75">
        <f t="shared" ca="1" si="60"/>
        <v>46538</v>
      </c>
      <c r="BX107" s="74">
        <f t="shared" ca="1" si="61"/>
        <v>5</v>
      </c>
      <c r="BY107" s="74">
        <f t="shared" ca="1" si="51"/>
        <v>0</v>
      </c>
      <c r="BZ107" s="73" t="str">
        <f t="shared" ca="1" si="52"/>
        <v xml:space="preserve"> </v>
      </c>
      <c r="CB107" s="75">
        <f t="shared" ca="1" si="62"/>
        <v>46538</v>
      </c>
      <c r="CC107" s="74">
        <f t="shared" ca="1" si="53"/>
        <v>5</v>
      </c>
      <c r="CD107" s="74">
        <f t="shared" ca="1" si="54"/>
        <v>0</v>
      </c>
      <c r="CE107" s="73" t="str">
        <f t="shared" ca="1" si="55"/>
        <v xml:space="preserve"> </v>
      </c>
    </row>
    <row r="108" spans="1:83" x14ac:dyDescent="0.2">
      <c r="A108" s="38">
        <f t="shared" si="64"/>
        <v>105</v>
      </c>
      <c r="B108" s="108" t="s">
        <v>460</v>
      </c>
      <c r="C108" s="38" t="s">
        <v>806</v>
      </c>
      <c r="D108" s="137">
        <v>43465</v>
      </c>
      <c r="E108" s="137">
        <v>44150</v>
      </c>
      <c r="F108" s="137">
        <v>43235</v>
      </c>
      <c r="G108" s="122">
        <v>10</v>
      </c>
      <c r="H108" s="137">
        <v>47618</v>
      </c>
      <c r="I108" s="50">
        <v>404030000</v>
      </c>
      <c r="J108" s="50">
        <v>145204411.5</v>
      </c>
      <c r="K108" s="50">
        <v>258825588.5</v>
      </c>
      <c r="L108" s="38">
        <v>1</v>
      </c>
      <c r="M108" s="38">
        <v>2</v>
      </c>
      <c r="N108" s="38">
        <v>2</v>
      </c>
      <c r="O108" s="50">
        <v>145204411.5</v>
      </c>
      <c r="P108" s="218">
        <v>0.03</v>
      </c>
      <c r="Q108" s="50">
        <v>1504465.41</v>
      </c>
      <c r="R108" s="50">
        <v>81375180.732231721</v>
      </c>
      <c r="S108" s="38" t="s">
        <v>42</v>
      </c>
      <c r="T108" s="51">
        <v>2.4375000000000001E-2</v>
      </c>
      <c r="U108" s="65">
        <v>0.45</v>
      </c>
      <c r="V108" s="105" t="s">
        <v>529</v>
      </c>
      <c r="W108" s="66">
        <v>1170772.7822942997</v>
      </c>
      <c r="X108" s="66">
        <v>74929.834536437396</v>
      </c>
      <c r="Y108" s="38" t="s">
        <v>239</v>
      </c>
      <c r="Z108" s="66">
        <f t="shared" si="34"/>
        <v>74929.834536437396</v>
      </c>
      <c r="AA108" s="67"/>
      <c r="AC108" s="41">
        <f>VLOOKUP(A108,'Input Sheet'!$A$2:$B$232,2,0)</f>
        <v>1105</v>
      </c>
      <c r="AD108" s="259">
        <f t="shared" si="35"/>
        <v>74929.834536437396</v>
      </c>
      <c r="AI108" s="68"/>
      <c r="AL108" s="107">
        <f t="shared" ca="1" si="56"/>
        <v>0</v>
      </c>
      <c r="AM108" s="49">
        <f t="shared" ca="1" si="57"/>
        <v>46568</v>
      </c>
      <c r="AN108" s="137" t="str">
        <f t="shared" ca="1" si="43"/>
        <v xml:space="preserve"> </v>
      </c>
      <c r="AO108" s="107">
        <f t="shared" ca="1" si="44"/>
        <v>0</v>
      </c>
      <c r="AP108" s="143">
        <f t="shared" ca="1" si="36"/>
        <v>0</v>
      </c>
      <c r="AQ108" s="143">
        <f t="shared" ca="1" si="45"/>
        <v>0</v>
      </c>
      <c r="AR108" s="49" t="str">
        <f t="shared" ca="1" si="37"/>
        <v xml:space="preserve"> </v>
      </c>
      <c r="AS108" s="107">
        <f t="shared" ca="1" si="38"/>
        <v>0</v>
      </c>
      <c r="AT108" s="107">
        <f t="shared" ca="1" si="39"/>
        <v>0</v>
      </c>
      <c r="AU108" s="107"/>
      <c r="AV108" s="107">
        <f ca="1">MAX(SUM($AQ$6:AQ108)-SUM($AT$6:AT108),0)</f>
        <v>0</v>
      </c>
      <c r="AW108" s="107">
        <f t="shared" ca="1" si="58"/>
        <v>0</v>
      </c>
      <c r="AX108" s="107">
        <v>0</v>
      </c>
      <c r="AY108" s="138" t="str">
        <f t="shared" ca="1" si="40"/>
        <v xml:space="preserve"> </v>
      </c>
      <c r="AZ108" s="107">
        <f t="shared" ca="1" si="41"/>
        <v>0</v>
      </c>
      <c r="BA108" s="107">
        <f ca="1">IF(AZ108=1,(SUM($AW$6:AW108,$AX$6:AX108)-SUM($BA$6:BA107)),0)</f>
        <v>0</v>
      </c>
      <c r="BB108" s="107"/>
      <c r="BC108" s="107">
        <f ca="1">AV108+SUM($AW$6:AW108)+SUM($AX$6:AX108)-SUM($BA$6:BA108)</f>
        <v>0</v>
      </c>
      <c r="BD108" s="107">
        <f t="shared" ca="1" si="46"/>
        <v>0</v>
      </c>
      <c r="BE108" s="51">
        <f ca="1">'PiT PD Structure'!J148</f>
        <v>5.3267679511748156E-5</v>
      </c>
      <c r="BF108" s="139">
        <f t="shared" ca="1" si="59"/>
        <v>0.45</v>
      </c>
      <c r="BG108" s="51">
        <f t="shared" ca="1" si="47"/>
        <v>1</v>
      </c>
      <c r="BH108" s="50">
        <f t="shared" ca="1" si="42"/>
        <v>0</v>
      </c>
      <c r="BI108" s="50">
        <f t="shared" ca="1" si="63"/>
        <v>3.4816594052244909E-13</v>
      </c>
      <c r="BJ108" s="140">
        <v>0</v>
      </c>
      <c r="BK108" s="140">
        <v>0</v>
      </c>
      <c r="BM108" s="78"/>
      <c r="BR108" s="75">
        <f t="shared" ca="1" si="33"/>
        <v>46568</v>
      </c>
      <c r="BS108" s="74">
        <f t="shared" ca="1" si="48"/>
        <v>6</v>
      </c>
      <c r="BT108" s="74">
        <f t="shared" ca="1" si="49"/>
        <v>0</v>
      </c>
      <c r="BU108" s="73" t="str">
        <f t="shared" ca="1" si="50"/>
        <v xml:space="preserve"> </v>
      </c>
      <c r="BW108" s="75">
        <f t="shared" ca="1" si="60"/>
        <v>46568</v>
      </c>
      <c r="BX108" s="74">
        <f t="shared" ca="1" si="61"/>
        <v>6</v>
      </c>
      <c r="BY108" s="74">
        <f t="shared" ca="1" si="51"/>
        <v>0</v>
      </c>
      <c r="BZ108" s="73" t="str">
        <f t="shared" ca="1" si="52"/>
        <v xml:space="preserve"> </v>
      </c>
      <c r="CB108" s="75">
        <f t="shared" ca="1" si="62"/>
        <v>46568</v>
      </c>
      <c r="CC108" s="74">
        <f t="shared" ca="1" si="53"/>
        <v>6</v>
      </c>
      <c r="CD108" s="74">
        <f t="shared" ca="1" si="54"/>
        <v>0</v>
      </c>
      <c r="CE108" s="73" t="str">
        <f t="shared" ca="1" si="55"/>
        <v xml:space="preserve"> </v>
      </c>
    </row>
    <row r="109" spans="1:83" x14ac:dyDescent="0.2">
      <c r="A109" s="38">
        <f t="shared" si="64"/>
        <v>106</v>
      </c>
      <c r="B109" s="238" t="s">
        <v>462</v>
      </c>
      <c r="C109" s="38" t="s">
        <v>806</v>
      </c>
      <c r="D109" s="137">
        <v>43465</v>
      </c>
      <c r="E109" s="137">
        <v>44995</v>
      </c>
      <c r="F109" s="137">
        <v>43169</v>
      </c>
      <c r="G109" s="122">
        <v>15</v>
      </c>
      <c r="H109" s="137">
        <v>50293</v>
      </c>
      <c r="I109" s="50">
        <v>1000000</v>
      </c>
      <c r="J109" s="50">
        <v>848629.94</v>
      </c>
      <c r="K109" s="50">
        <v>151370.06000000006</v>
      </c>
      <c r="L109" s="38">
        <v>1</v>
      </c>
      <c r="M109" s="38">
        <v>2</v>
      </c>
      <c r="N109" s="38">
        <v>2</v>
      </c>
      <c r="O109" s="50">
        <v>848629.94</v>
      </c>
      <c r="P109" s="218">
        <v>0</v>
      </c>
      <c r="Q109" s="50">
        <v>0</v>
      </c>
      <c r="R109" s="50">
        <v>0</v>
      </c>
      <c r="S109" s="38" t="s">
        <v>42</v>
      </c>
      <c r="T109" s="51">
        <v>2.4375000000000001E-2</v>
      </c>
      <c r="U109" s="65">
        <v>0.45</v>
      </c>
      <c r="V109" s="105" t="s">
        <v>529</v>
      </c>
      <c r="W109" s="66">
        <v>7434.8451451004039</v>
      </c>
      <c r="X109" s="66">
        <v>184.20684709376499</v>
      </c>
      <c r="Y109" s="38" t="s">
        <v>239</v>
      </c>
      <c r="Z109" s="66">
        <f t="shared" si="34"/>
        <v>184.20684709376499</v>
      </c>
      <c r="AA109" s="67"/>
      <c r="AC109" s="41">
        <f>VLOOKUP(A109,'Input Sheet'!$A$2:$B$232,2,0)</f>
        <v>1106</v>
      </c>
      <c r="AD109" s="259">
        <f t="shared" si="35"/>
        <v>184.20684709376499</v>
      </c>
      <c r="AI109" s="68"/>
      <c r="AL109" s="107">
        <f t="shared" ca="1" si="56"/>
        <v>0</v>
      </c>
      <c r="AM109" s="49">
        <f t="shared" ca="1" si="57"/>
        <v>46599</v>
      </c>
      <c r="AN109" s="137" t="str">
        <f t="shared" ca="1" si="43"/>
        <v xml:space="preserve"> </v>
      </c>
      <c r="AO109" s="107">
        <f t="shared" ca="1" si="44"/>
        <v>0</v>
      </c>
      <c r="AP109" s="143">
        <f t="shared" ca="1" si="36"/>
        <v>0</v>
      </c>
      <c r="AQ109" s="143">
        <f t="shared" ca="1" si="45"/>
        <v>0</v>
      </c>
      <c r="AR109" s="49" t="str">
        <f t="shared" ca="1" si="37"/>
        <v xml:space="preserve"> </v>
      </c>
      <c r="AS109" s="107">
        <f t="shared" ca="1" si="38"/>
        <v>0</v>
      </c>
      <c r="AT109" s="107">
        <f t="shared" ca="1" si="39"/>
        <v>0</v>
      </c>
      <c r="AU109" s="107"/>
      <c r="AV109" s="107">
        <f ca="1">MAX(SUM($AQ$6:AQ109)-SUM($AT$6:AT109),0)</f>
        <v>0</v>
      </c>
      <c r="AW109" s="107">
        <f t="shared" ca="1" si="58"/>
        <v>0</v>
      </c>
      <c r="AX109" s="107">
        <v>0</v>
      </c>
      <c r="AY109" s="138" t="str">
        <f t="shared" ca="1" si="40"/>
        <v xml:space="preserve"> </v>
      </c>
      <c r="AZ109" s="107">
        <f t="shared" ca="1" si="41"/>
        <v>0</v>
      </c>
      <c r="BA109" s="107">
        <f ca="1">IF(AZ109=1,(SUM($AW$6:AW109,$AX$6:AX109)-SUM($BA$6:BA108)),0)</f>
        <v>0</v>
      </c>
      <c r="BB109" s="107"/>
      <c r="BC109" s="107">
        <f ca="1">AV109+SUM($AW$6:AW109)+SUM($AX$6:AX109)-SUM($BA$6:BA109)</f>
        <v>0</v>
      </c>
      <c r="BD109" s="107">
        <f t="shared" ca="1" si="46"/>
        <v>0</v>
      </c>
      <c r="BE109" s="51">
        <f ca="1">'PiT PD Structure'!J149</f>
        <v>5.326481736778188E-5</v>
      </c>
      <c r="BF109" s="139">
        <f t="shared" ca="1" si="59"/>
        <v>0.45</v>
      </c>
      <c r="BG109" s="51">
        <f t="shared" ca="1" si="47"/>
        <v>1</v>
      </c>
      <c r="BH109" s="50">
        <f t="shared" ca="1" si="42"/>
        <v>0</v>
      </c>
      <c r="BI109" s="50">
        <f t="shared" ca="1" si="63"/>
        <v>3.4816594052244909E-13</v>
      </c>
      <c r="BJ109" s="140">
        <v>0</v>
      </c>
      <c r="BK109" s="140">
        <v>0</v>
      </c>
      <c r="BM109" s="78"/>
      <c r="BR109" s="75">
        <f t="shared" ca="1" si="33"/>
        <v>46599</v>
      </c>
      <c r="BS109" s="74">
        <f t="shared" ca="1" si="48"/>
        <v>7</v>
      </c>
      <c r="BT109" s="74">
        <f t="shared" ca="1" si="49"/>
        <v>0</v>
      </c>
      <c r="BU109" s="73" t="str">
        <f t="shared" ca="1" si="50"/>
        <v xml:space="preserve"> </v>
      </c>
      <c r="BW109" s="75">
        <f t="shared" ca="1" si="60"/>
        <v>46599</v>
      </c>
      <c r="BX109" s="74">
        <f t="shared" ca="1" si="61"/>
        <v>7</v>
      </c>
      <c r="BY109" s="74">
        <f t="shared" ca="1" si="51"/>
        <v>0</v>
      </c>
      <c r="BZ109" s="73" t="str">
        <f t="shared" ca="1" si="52"/>
        <v xml:space="preserve"> </v>
      </c>
      <c r="CB109" s="75">
        <f t="shared" ca="1" si="62"/>
        <v>46599</v>
      </c>
      <c r="CC109" s="74">
        <f t="shared" ca="1" si="53"/>
        <v>7</v>
      </c>
      <c r="CD109" s="74">
        <f t="shared" ca="1" si="54"/>
        <v>0</v>
      </c>
      <c r="CE109" s="73" t="str">
        <f t="shared" ca="1" si="55"/>
        <v xml:space="preserve"> </v>
      </c>
    </row>
    <row r="110" spans="1:83" x14ac:dyDescent="0.2">
      <c r="A110" s="38">
        <f t="shared" si="64"/>
        <v>107</v>
      </c>
      <c r="B110" s="238" t="s">
        <v>464</v>
      </c>
      <c r="C110" s="38" t="s">
        <v>806</v>
      </c>
      <c r="D110" s="137">
        <v>43465</v>
      </c>
      <c r="E110" s="137">
        <v>45021</v>
      </c>
      <c r="F110" s="137">
        <v>43378</v>
      </c>
      <c r="G110" s="122">
        <v>15</v>
      </c>
      <c r="H110" s="137">
        <v>50318</v>
      </c>
      <c r="I110" s="50">
        <v>110190000</v>
      </c>
      <c r="J110" s="50">
        <v>110190000</v>
      </c>
      <c r="K110" s="50">
        <v>0</v>
      </c>
      <c r="L110" s="38">
        <v>1</v>
      </c>
      <c r="M110" s="38">
        <v>2</v>
      </c>
      <c r="N110" s="38">
        <v>2</v>
      </c>
      <c r="O110" s="50">
        <v>110190000</v>
      </c>
      <c r="P110" s="218">
        <v>0.02</v>
      </c>
      <c r="Q110" s="50">
        <v>118760.33</v>
      </c>
      <c r="R110" s="50">
        <v>25574719.477595318</v>
      </c>
      <c r="S110" s="38" t="s">
        <v>62</v>
      </c>
      <c r="T110" s="51">
        <v>2.2000000000000002E-2</v>
      </c>
      <c r="U110" s="65">
        <v>0.45</v>
      </c>
      <c r="V110" s="105" t="s">
        <v>485</v>
      </c>
      <c r="W110" s="66">
        <v>22208928.732229069</v>
      </c>
      <c r="X110" s="66">
        <v>1331609.2541811168</v>
      </c>
      <c r="Y110" s="38" t="s">
        <v>237</v>
      </c>
      <c r="Z110" s="66">
        <f t="shared" si="34"/>
        <v>22208928.732229069</v>
      </c>
      <c r="AA110" s="67"/>
      <c r="AC110" s="41">
        <f>VLOOKUP(A110,'Input Sheet'!$A$2:$B$232,2,0)</f>
        <v>1107</v>
      </c>
      <c r="AD110" s="259">
        <f t="shared" si="35"/>
        <v>22208928.732229069</v>
      </c>
      <c r="AI110" s="68"/>
      <c r="AL110" s="107">
        <f t="shared" ca="1" si="56"/>
        <v>0</v>
      </c>
      <c r="AM110" s="49">
        <f t="shared" ca="1" si="57"/>
        <v>46630</v>
      </c>
      <c r="AN110" s="137" t="str">
        <f t="shared" ca="1" si="43"/>
        <v xml:space="preserve"> </v>
      </c>
      <c r="AO110" s="107">
        <f t="shared" ca="1" si="44"/>
        <v>0</v>
      </c>
      <c r="AP110" s="143">
        <f t="shared" ca="1" si="36"/>
        <v>0</v>
      </c>
      <c r="AQ110" s="143">
        <f t="shared" ca="1" si="45"/>
        <v>0</v>
      </c>
      <c r="AR110" s="49" t="str">
        <f t="shared" ca="1" si="37"/>
        <v xml:space="preserve"> </v>
      </c>
      <c r="AS110" s="107">
        <f t="shared" ca="1" si="38"/>
        <v>0</v>
      </c>
      <c r="AT110" s="107">
        <f t="shared" ca="1" si="39"/>
        <v>0</v>
      </c>
      <c r="AU110" s="107"/>
      <c r="AV110" s="107">
        <f ca="1">MAX(SUM($AQ$6:AQ110)-SUM($AT$6:AT110),0)</f>
        <v>0</v>
      </c>
      <c r="AW110" s="107">
        <f t="shared" ca="1" si="58"/>
        <v>0</v>
      </c>
      <c r="AX110" s="107">
        <v>0</v>
      </c>
      <c r="AY110" s="138" t="str">
        <f t="shared" ca="1" si="40"/>
        <v xml:space="preserve"> </v>
      </c>
      <c r="AZ110" s="107">
        <f t="shared" ca="1" si="41"/>
        <v>0</v>
      </c>
      <c r="BA110" s="107">
        <f ca="1">IF(AZ110=1,(SUM($AW$6:AW110,$AX$6:AX110)-SUM($BA$6:BA109)),0)</f>
        <v>0</v>
      </c>
      <c r="BB110" s="107"/>
      <c r="BC110" s="107">
        <f ca="1">AV110+SUM($AW$6:AW110)+SUM($AX$6:AX110)-SUM($BA$6:BA110)</f>
        <v>0</v>
      </c>
      <c r="BD110" s="107">
        <f t="shared" ca="1" si="46"/>
        <v>0</v>
      </c>
      <c r="BE110" s="51">
        <f ca="1">'PiT PD Structure'!J150</f>
        <v>5.3261955377359449E-5</v>
      </c>
      <c r="BF110" s="139">
        <f t="shared" ca="1" si="59"/>
        <v>0.45</v>
      </c>
      <c r="BG110" s="51">
        <f t="shared" ca="1" si="47"/>
        <v>1</v>
      </c>
      <c r="BH110" s="50">
        <f t="shared" ca="1" si="42"/>
        <v>0</v>
      </c>
      <c r="BI110" s="50">
        <f t="shared" ca="1" si="63"/>
        <v>3.4816594052244909E-13</v>
      </c>
      <c r="BJ110" s="140">
        <v>0</v>
      </c>
      <c r="BK110" s="140">
        <v>0</v>
      </c>
      <c r="BM110" s="78"/>
      <c r="BR110" s="75">
        <f t="shared" ca="1" si="33"/>
        <v>46630</v>
      </c>
      <c r="BS110" s="74">
        <f t="shared" ca="1" si="48"/>
        <v>8</v>
      </c>
      <c r="BT110" s="74">
        <f t="shared" ca="1" si="49"/>
        <v>0</v>
      </c>
      <c r="BU110" s="73" t="str">
        <f t="shared" ca="1" si="50"/>
        <v xml:space="preserve"> </v>
      </c>
      <c r="BW110" s="75">
        <f t="shared" ca="1" si="60"/>
        <v>46630</v>
      </c>
      <c r="BX110" s="74">
        <f t="shared" ca="1" si="61"/>
        <v>8</v>
      </c>
      <c r="BY110" s="74">
        <f t="shared" ca="1" si="51"/>
        <v>0</v>
      </c>
      <c r="BZ110" s="73" t="str">
        <f t="shared" ca="1" si="52"/>
        <v xml:space="preserve"> </v>
      </c>
      <c r="CB110" s="75">
        <f t="shared" ca="1" si="62"/>
        <v>46630</v>
      </c>
      <c r="CC110" s="74">
        <f t="shared" ca="1" si="53"/>
        <v>8</v>
      </c>
      <c r="CD110" s="74">
        <f t="shared" ca="1" si="54"/>
        <v>0</v>
      </c>
      <c r="CE110" s="73" t="str">
        <f t="shared" ca="1" si="55"/>
        <v xml:space="preserve"> </v>
      </c>
    </row>
    <row r="111" spans="1:83" x14ac:dyDescent="0.2">
      <c r="A111" s="38">
        <f t="shared" si="64"/>
        <v>108</v>
      </c>
      <c r="B111" s="108" t="s">
        <v>474</v>
      </c>
      <c r="C111" s="38" t="s">
        <v>806</v>
      </c>
      <c r="D111" s="137">
        <v>43465</v>
      </c>
      <c r="E111" s="137">
        <v>36829</v>
      </c>
      <c r="F111" s="137">
        <v>35733</v>
      </c>
      <c r="G111" s="122">
        <v>6</v>
      </c>
      <c r="H111" s="137">
        <v>45291</v>
      </c>
      <c r="I111" s="50">
        <v>5000000</v>
      </c>
      <c r="J111" s="50">
        <v>5000000</v>
      </c>
      <c r="K111" s="50">
        <v>0</v>
      </c>
      <c r="L111" s="38">
        <v>1</v>
      </c>
      <c r="M111" s="38">
        <v>1</v>
      </c>
      <c r="N111" s="38">
        <v>2</v>
      </c>
      <c r="O111" s="50">
        <v>4500000</v>
      </c>
      <c r="P111" s="218">
        <v>3.5000000000000003E-2</v>
      </c>
      <c r="Q111" s="50">
        <v>3290077.33</v>
      </c>
      <c r="R111" s="50">
        <v>446794.60590498894</v>
      </c>
      <c r="S111" s="38" t="s">
        <v>42</v>
      </c>
      <c r="T111" s="51">
        <v>2.4375000000000001E-2</v>
      </c>
      <c r="U111" s="65">
        <v>0.45</v>
      </c>
      <c r="V111" s="105" t="s">
        <v>529</v>
      </c>
      <c r="W111" s="66">
        <v>3765.457435778651</v>
      </c>
      <c r="X111" s="66">
        <v>1007.8237621647362</v>
      </c>
      <c r="Y111" s="38" t="s">
        <v>238</v>
      </c>
      <c r="Z111" s="66">
        <f t="shared" si="34"/>
        <v>4500000</v>
      </c>
      <c r="AA111" s="67"/>
      <c r="AC111" s="41">
        <f>VLOOKUP(A111,'Input Sheet'!$A$2:$B$232,2,0)</f>
        <v>1108</v>
      </c>
      <c r="AD111" s="259">
        <f t="shared" si="35"/>
        <v>4500000</v>
      </c>
      <c r="AI111" s="68"/>
      <c r="AL111" s="107">
        <f t="shared" ca="1" si="56"/>
        <v>0</v>
      </c>
      <c r="AM111" s="49">
        <f t="shared" ca="1" si="57"/>
        <v>46660</v>
      </c>
      <c r="AN111" s="137" t="str">
        <f t="shared" ca="1" si="43"/>
        <v xml:space="preserve"> </v>
      </c>
      <c r="AO111" s="107">
        <f t="shared" ca="1" si="44"/>
        <v>0</v>
      </c>
      <c r="AP111" s="143">
        <f t="shared" ca="1" si="36"/>
        <v>0</v>
      </c>
      <c r="AQ111" s="143">
        <f t="shared" ca="1" si="45"/>
        <v>0</v>
      </c>
      <c r="AR111" s="49" t="str">
        <f t="shared" ca="1" si="37"/>
        <v xml:space="preserve"> </v>
      </c>
      <c r="AS111" s="107">
        <f t="shared" ca="1" si="38"/>
        <v>0</v>
      </c>
      <c r="AT111" s="107">
        <f t="shared" ca="1" si="39"/>
        <v>0</v>
      </c>
      <c r="AU111" s="107"/>
      <c r="AV111" s="107">
        <f ca="1">MAX(SUM($AQ$6:AQ111)-SUM($AT$6:AT111),0)</f>
        <v>0</v>
      </c>
      <c r="AW111" s="107">
        <f t="shared" ca="1" si="58"/>
        <v>0</v>
      </c>
      <c r="AX111" s="107">
        <v>0</v>
      </c>
      <c r="AY111" s="138" t="str">
        <f t="shared" ca="1" si="40"/>
        <v xml:space="preserve"> </v>
      </c>
      <c r="AZ111" s="107">
        <f t="shared" ca="1" si="41"/>
        <v>0</v>
      </c>
      <c r="BA111" s="107">
        <f ca="1">IF(AZ111=1,(SUM($AW$6:AW111,$AX$6:AX111)-SUM($BA$6:BA110)),0)</f>
        <v>0</v>
      </c>
      <c r="BB111" s="107"/>
      <c r="BC111" s="107">
        <f ca="1">AV111+SUM($AW$6:AW111)+SUM($AX$6:AX111)-SUM($BA$6:BA111)</f>
        <v>0</v>
      </c>
      <c r="BD111" s="107">
        <f t="shared" ca="1" si="46"/>
        <v>0</v>
      </c>
      <c r="BE111" s="51">
        <f ca="1">'PiT PD Structure'!J151</f>
        <v>5.3259093540924951E-5</v>
      </c>
      <c r="BF111" s="139">
        <f t="shared" ca="1" si="59"/>
        <v>0.45</v>
      </c>
      <c r="BG111" s="51">
        <f t="shared" ca="1" si="47"/>
        <v>1</v>
      </c>
      <c r="BH111" s="50">
        <f t="shared" ca="1" si="42"/>
        <v>0</v>
      </c>
      <c r="BI111" s="50">
        <f t="shared" ca="1" si="63"/>
        <v>3.4816594052244909E-13</v>
      </c>
      <c r="BJ111" s="140">
        <v>0</v>
      </c>
      <c r="BK111" s="140">
        <v>0</v>
      </c>
      <c r="BM111" s="78"/>
      <c r="BR111" s="75">
        <f t="shared" ca="1" si="33"/>
        <v>46660</v>
      </c>
      <c r="BS111" s="74">
        <f t="shared" ca="1" si="48"/>
        <v>9</v>
      </c>
      <c r="BT111" s="74">
        <f t="shared" ca="1" si="49"/>
        <v>0</v>
      </c>
      <c r="BU111" s="73" t="str">
        <f t="shared" ca="1" si="50"/>
        <v xml:space="preserve"> </v>
      </c>
      <c r="BW111" s="75">
        <f t="shared" ca="1" si="60"/>
        <v>46660</v>
      </c>
      <c r="BX111" s="74">
        <f t="shared" ca="1" si="61"/>
        <v>9</v>
      </c>
      <c r="BY111" s="74">
        <f t="shared" ca="1" si="51"/>
        <v>0</v>
      </c>
      <c r="BZ111" s="73" t="str">
        <f t="shared" ca="1" si="52"/>
        <v xml:space="preserve"> </v>
      </c>
      <c r="CB111" s="75">
        <f t="shared" ca="1" si="62"/>
        <v>46660</v>
      </c>
      <c r="CC111" s="74">
        <f t="shared" ca="1" si="53"/>
        <v>9</v>
      </c>
      <c r="CD111" s="74">
        <f t="shared" ca="1" si="54"/>
        <v>0</v>
      </c>
      <c r="CE111" s="73" t="str">
        <f t="shared" ca="1" si="55"/>
        <v xml:space="preserve"> </v>
      </c>
    </row>
    <row r="112" spans="1:83" x14ac:dyDescent="0.2">
      <c r="A112" s="38" t="str">
        <f t="shared" si="64"/>
        <v xml:space="preserve"> </v>
      </c>
      <c r="B112" s="108"/>
      <c r="C112" s="38"/>
      <c r="D112" s="137"/>
      <c r="E112" s="137"/>
      <c r="F112" s="137"/>
      <c r="G112" s="122"/>
      <c r="H112" s="137"/>
      <c r="I112" s="50"/>
      <c r="J112" s="50"/>
      <c r="K112" s="50"/>
      <c r="L112" s="38"/>
      <c r="M112" s="38"/>
      <c r="N112" s="38"/>
      <c r="O112" s="50"/>
      <c r="P112" s="218"/>
      <c r="Q112" s="50"/>
      <c r="R112" s="50"/>
      <c r="S112" s="38"/>
      <c r="T112" s="51"/>
      <c r="U112" s="65"/>
      <c r="V112" s="105"/>
      <c r="W112" s="66"/>
      <c r="X112" s="66"/>
      <c r="Y112" s="38"/>
      <c r="Z112" s="66">
        <f t="shared" si="34"/>
        <v>0</v>
      </c>
      <c r="AA112" s="67"/>
      <c r="AC112" s="41" t="e">
        <f>VLOOKUP(A112,'Input Sheet'!$A$2:$B$232,2,0)</f>
        <v>#N/A</v>
      </c>
      <c r="AD112" s="70"/>
      <c r="AI112" s="68"/>
      <c r="AL112" s="107">
        <f t="shared" ca="1" si="56"/>
        <v>0</v>
      </c>
      <c r="AM112" s="49">
        <f t="shared" ca="1" si="57"/>
        <v>46691</v>
      </c>
      <c r="AN112" s="137" t="str">
        <f t="shared" ca="1" si="43"/>
        <v xml:space="preserve"> </v>
      </c>
      <c r="AO112" s="107">
        <f t="shared" ca="1" si="44"/>
        <v>0</v>
      </c>
      <c r="AP112" s="143">
        <f t="shared" ca="1" si="36"/>
        <v>0</v>
      </c>
      <c r="AQ112" s="143">
        <f t="shared" ca="1" si="45"/>
        <v>0</v>
      </c>
      <c r="AR112" s="49" t="str">
        <f t="shared" ca="1" si="37"/>
        <v xml:space="preserve"> </v>
      </c>
      <c r="AS112" s="107">
        <f t="shared" ca="1" si="38"/>
        <v>0</v>
      </c>
      <c r="AT112" s="107">
        <f t="shared" ca="1" si="39"/>
        <v>0</v>
      </c>
      <c r="AU112" s="107"/>
      <c r="AV112" s="107">
        <f ca="1">MAX(SUM($AQ$6:AQ112)-SUM($AT$6:AT112),0)</f>
        <v>0</v>
      </c>
      <c r="AW112" s="107">
        <f t="shared" ca="1" si="58"/>
        <v>0</v>
      </c>
      <c r="AX112" s="107">
        <v>0</v>
      </c>
      <c r="AY112" s="138" t="str">
        <f t="shared" ca="1" si="40"/>
        <v xml:space="preserve"> </v>
      </c>
      <c r="AZ112" s="107">
        <f t="shared" ca="1" si="41"/>
        <v>0</v>
      </c>
      <c r="BA112" s="107">
        <f ca="1">IF(AZ112=1,(SUM($AW$6:AW112,$AX$6:AX112)-SUM($BA$6:BA111)),0)</f>
        <v>0</v>
      </c>
      <c r="BB112" s="107"/>
      <c r="BC112" s="107">
        <f ca="1">AV112+SUM($AW$6:AW112)+SUM($AX$6:AX112)-SUM($BA$6:BA112)</f>
        <v>0</v>
      </c>
      <c r="BD112" s="107">
        <f t="shared" ca="1" si="46"/>
        <v>0</v>
      </c>
      <c r="BE112" s="51">
        <f ca="1">'PiT PD Structure'!J152</f>
        <v>5.3256231858256342E-5</v>
      </c>
      <c r="BF112" s="139">
        <f t="shared" ca="1" si="59"/>
        <v>0.45</v>
      </c>
      <c r="BG112" s="51">
        <f t="shared" ca="1" si="47"/>
        <v>1</v>
      </c>
      <c r="BH112" s="50">
        <f t="shared" ca="1" si="42"/>
        <v>0</v>
      </c>
      <c r="BI112" s="50">
        <f t="shared" ca="1" si="63"/>
        <v>3.4816594052244909E-13</v>
      </c>
      <c r="BJ112" s="140">
        <v>0</v>
      </c>
      <c r="BK112" s="140">
        <v>0</v>
      </c>
      <c r="BM112" s="78"/>
      <c r="BR112" s="75">
        <f t="shared" ca="1" si="33"/>
        <v>46691</v>
      </c>
      <c r="BS112" s="74">
        <f t="shared" ca="1" si="48"/>
        <v>10</v>
      </c>
      <c r="BT112" s="74">
        <f t="shared" ca="1" si="49"/>
        <v>0</v>
      </c>
      <c r="BU112" s="73" t="str">
        <f t="shared" ca="1" si="50"/>
        <v xml:space="preserve"> </v>
      </c>
      <c r="BW112" s="75">
        <f t="shared" ca="1" si="60"/>
        <v>46691</v>
      </c>
      <c r="BX112" s="74">
        <f t="shared" ca="1" si="61"/>
        <v>10</v>
      </c>
      <c r="BY112" s="74">
        <f t="shared" ca="1" si="51"/>
        <v>0</v>
      </c>
      <c r="BZ112" s="73" t="str">
        <f t="shared" ca="1" si="52"/>
        <v xml:space="preserve"> </v>
      </c>
      <c r="CB112" s="75">
        <f t="shared" ca="1" si="62"/>
        <v>46691</v>
      </c>
      <c r="CC112" s="74">
        <f t="shared" ca="1" si="53"/>
        <v>10</v>
      </c>
      <c r="CD112" s="74">
        <f t="shared" ca="1" si="54"/>
        <v>0</v>
      </c>
      <c r="CE112" s="73" t="str">
        <f t="shared" ca="1" si="55"/>
        <v xml:space="preserve"> </v>
      </c>
    </row>
    <row r="113" spans="1:83" x14ac:dyDescent="0.2">
      <c r="A113" s="38" t="str">
        <f t="shared" si="64"/>
        <v xml:space="preserve"> </v>
      </c>
      <c r="B113" s="108"/>
      <c r="C113" s="38"/>
      <c r="D113" s="137"/>
      <c r="E113" s="137"/>
      <c r="F113" s="137"/>
      <c r="G113" s="122"/>
      <c r="H113" s="137"/>
      <c r="I113" s="50"/>
      <c r="J113" s="50"/>
      <c r="K113" s="50"/>
      <c r="L113" s="38"/>
      <c r="M113" s="38"/>
      <c r="N113" s="38"/>
      <c r="O113" s="50"/>
      <c r="P113" s="218"/>
      <c r="Q113" s="50"/>
      <c r="R113" s="50"/>
      <c r="S113" s="38"/>
      <c r="T113" s="51"/>
      <c r="U113" s="65"/>
      <c r="V113" s="105"/>
      <c r="W113" s="66"/>
      <c r="X113" s="66"/>
      <c r="Y113" s="38"/>
      <c r="Z113" s="66">
        <f t="shared" si="34"/>
        <v>0</v>
      </c>
      <c r="AA113" s="67"/>
      <c r="AC113" s="41" t="e">
        <f>VLOOKUP(A113,'Input Sheet'!$A$2:$B$232,2,0)</f>
        <v>#N/A</v>
      </c>
      <c r="AD113" s="70"/>
      <c r="AI113" s="68"/>
      <c r="AL113" s="107">
        <f t="shared" ca="1" si="56"/>
        <v>0</v>
      </c>
      <c r="AM113" s="49">
        <f t="shared" ca="1" si="57"/>
        <v>46721</v>
      </c>
      <c r="AN113" s="137" t="str">
        <f t="shared" ca="1" si="43"/>
        <v xml:space="preserve"> </v>
      </c>
      <c r="AO113" s="107">
        <f t="shared" ca="1" si="44"/>
        <v>0</v>
      </c>
      <c r="AP113" s="143">
        <f t="shared" ca="1" si="36"/>
        <v>0</v>
      </c>
      <c r="AQ113" s="143">
        <f t="shared" ca="1" si="45"/>
        <v>0</v>
      </c>
      <c r="AR113" s="49" t="str">
        <f t="shared" ca="1" si="37"/>
        <v xml:space="preserve"> </v>
      </c>
      <c r="AS113" s="107">
        <f t="shared" ca="1" si="38"/>
        <v>0</v>
      </c>
      <c r="AT113" s="107">
        <f t="shared" ca="1" si="39"/>
        <v>0</v>
      </c>
      <c r="AU113" s="107"/>
      <c r="AV113" s="107">
        <f ca="1">MAX(SUM($AQ$6:AQ113)-SUM($AT$6:AT113),0)</f>
        <v>0</v>
      </c>
      <c r="AW113" s="107">
        <f t="shared" ca="1" si="58"/>
        <v>0</v>
      </c>
      <c r="AX113" s="107">
        <v>0</v>
      </c>
      <c r="AY113" s="138" t="str">
        <f t="shared" ca="1" si="40"/>
        <v xml:space="preserve"> </v>
      </c>
      <c r="AZ113" s="107">
        <f t="shared" ca="1" si="41"/>
        <v>0</v>
      </c>
      <c r="BA113" s="107">
        <f ca="1">IF(AZ113=1,(SUM($AW$6:AW113,$AX$6:AX113)-SUM($BA$6:BA112)),0)</f>
        <v>0</v>
      </c>
      <c r="BB113" s="107"/>
      <c r="BC113" s="107">
        <f ca="1">AV113+SUM($AW$6:AW113)+SUM($AX$6:AX113)-SUM($BA$6:BA113)</f>
        <v>0</v>
      </c>
      <c r="BD113" s="107">
        <f t="shared" ca="1" si="46"/>
        <v>0</v>
      </c>
      <c r="BE113" s="51">
        <f ca="1">'PiT PD Structure'!J153</f>
        <v>5.3253370329020555E-5</v>
      </c>
      <c r="BF113" s="139">
        <f t="shared" ca="1" si="59"/>
        <v>0.45</v>
      </c>
      <c r="BG113" s="51">
        <f t="shared" ca="1" si="47"/>
        <v>1</v>
      </c>
      <c r="BH113" s="50">
        <f t="shared" ca="1" si="42"/>
        <v>0</v>
      </c>
      <c r="BI113" s="50">
        <f t="shared" ca="1" si="63"/>
        <v>3.4816594052244909E-13</v>
      </c>
      <c r="BJ113" s="140">
        <v>0</v>
      </c>
      <c r="BK113" s="140">
        <v>0</v>
      </c>
      <c r="BM113" s="78"/>
      <c r="BR113" s="75">
        <f t="shared" ca="1" si="33"/>
        <v>46721</v>
      </c>
      <c r="BS113" s="74">
        <f t="shared" ca="1" si="48"/>
        <v>11</v>
      </c>
      <c r="BT113" s="74">
        <f t="shared" ca="1" si="49"/>
        <v>0</v>
      </c>
      <c r="BU113" s="73" t="str">
        <f t="shared" ca="1" si="50"/>
        <v xml:space="preserve"> </v>
      </c>
      <c r="BW113" s="75">
        <f t="shared" ca="1" si="60"/>
        <v>46721</v>
      </c>
      <c r="BX113" s="74">
        <f t="shared" ca="1" si="61"/>
        <v>11</v>
      </c>
      <c r="BY113" s="74">
        <f t="shared" ca="1" si="51"/>
        <v>0</v>
      </c>
      <c r="BZ113" s="73" t="str">
        <f t="shared" ca="1" si="52"/>
        <v xml:space="preserve"> </v>
      </c>
      <c r="CB113" s="75">
        <f t="shared" ca="1" si="62"/>
        <v>46721</v>
      </c>
      <c r="CC113" s="74">
        <f t="shared" ca="1" si="53"/>
        <v>11</v>
      </c>
      <c r="CD113" s="74">
        <f t="shared" ca="1" si="54"/>
        <v>0</v>
      </c>
      <c r="CE113" s="73" t="str">
        <f t="shared" ca="1" si="55"/>
        <v xml:space="preserve"> </v>
      </c>
    </row>
    <row r="114" spans="1:83" x14ac:dyDescent="0.2">
      <c r="A114" s="38" t="str">
        <f t="shared" si="64"/>
        <v xml:space="preserve"> </v>
      </c>
      <c r="B114" s="108"/>
      <c r="C114" s="38"/>
      <c r="D114" s="137"/>
      <c r="E114" s="137"/>
      <c r="F114" s="137"/>
      <c r="G114" s="122"/>
      <c r="H114" s="137"/>
      <c r="I114" s="50"/>
      <c r="J114" s="50"/>
      <c r="K114" s="50"/>
      <c r="L114" s="38"/>
      <c r="M114" s="38"/>
      <c r="N114" s="38"/>
      <c r="O114" s="50"/>
      <c r="P114" s="218"/>
      <c r="Q114" s="50"/>
      <c r="R114" s="50"/>
      <c r="S114" s="38"/>
      <c r="T114" s="51"/>
      <c r="U114" s="65"/>
      <c r="V114" s="105"/>
      <c r="W114" s="66"/>
      <c r="X114" s="66"/>
      <c r="Y114" s="38"/>
      <c r="Z114" s="66">
        <f t="shared" si="34"/>
        <v>0</v>
      </c>
      <c r="AA114" s="67"/>
      <c r="AC114" s="41" t="e">
        <f>VLOOKUP(A114,'Input Sheet'!$A$2:$B$232,2,0)</f>
        <v>#N/A</v>
      </c>
      <c r="AD114" s="70"/>
      <c r="AI114" s="68"/>
      <c r="AL114" s="107">
        <f t="shared" ca="1" si="56"/>
        <v>0</v>
      </c>
      <c r="AM114" s="49">
        <f t="shared" ca="1" si="57"/>
        <v>46752</v>
      </c>
      <c r="AN114" s="137" t="str">
        <f t="shared" ca="1" si="43"/>
        <v xml:space="preserve"> </v>
      </c>
      <c r="AO114" s="107">
        <f t="shared" ca="1" si="44"/>
        <v>0</v>
      </c>
      <c r="AP114" s="143">
        <f t="shared" ca="1" si="36"/>
        <v>0</v>
      </c>
      <c r="AQ114" s="143">
        <f t="shared" ca="1" si="45"/>
        <v>0</v>
      </c>
      <c r="AR114" s="49" t="str">
        <f t="shared" ca="1" si="37"/>
        <v xml:space="preserve"> </v>
      </c>
      <c r="AS114" s="107">
        <f t="shared" ca="1" si="38"/>
        <v>0</v>
      </c>
      <c r="AT114" s="107">
        <f t="shared" ca="1" si="39"/>
        <v>0</v>
      </c>
      <c r="AU114" s="107"/>
      <c r="AV114" s="107">
        <f ca="1">MAX(SUM($AQ$6:AQ114)-SUM($AT$6:AT114),0)</f>
        <v>0</v>
      </c>
      <c r="AW114" s="107">
        <f t="shared" ca="1" si="58"/>
        <v>0</v>
      </c>
      <c r="AX114" s="107">
        <v>0</v>
      </c>
      <c r="AY114" s="138" t="str">
        <f t="shared" ca="1" si="40"/>
        <v xml:space="preserve"> </v>
      </c>
      <c r="AZ114" s="107">
        <f t="shared" ca="1" si="41"/>
        <v>0</v>
      </c>
      <c r="BA114" s="107">
        <f ca="1">IF(AZ114=1,(SUM($AW$6:AW114,$AX$6:AX114)-SUM($BA$6:BA113)),0)</f>
        <v>0</v>
      </c>
      <c r="BB114" s="107"/>
      <c r="BC114" s="107">
        <f ca="1">AV114+SUM($AW$6:AW114)+SUM($AX$6:AX114)-SUM($BA$6:BA114)</f>
        <v>0</v>
      </c>
      <c r="BD114" s="107">
        <f t="shared" ca="1" si="46"/>
        <v>0</v>
      </c>
      <c r="BE114" s="51">
        <f ca="1">'PiT PD Structure'!J154</f>
        <v>1.1421213109852335E-3</v>
      </c>
      <c r="BF114" s="139">
        <f t="shared" ca="1" si="59"/>
        <v>0.45</v>
      </c>
      <c r="BG114" s="51">
        <f t="shared" ca="1" si="47"/>
        <v>1</v>
      </c>
      <c r="BH114" s="50">
        <f t="shared" ca="1" si="42"/>
        <v>0</v>
      </c>
      <c r="BI114" s="50">
        <f t="shared" ca="1" si="63"/>
        <v>3.4816594052244909E-13</v>
      </c>
      <c r="BJ114" s="140">
        <v>0</v>
      </c>
      <c r="BK114" s="140">
        <v>0</v>
      </c>
      <c r="BM114" s="78"/>
      <c r="BR114" s="75">
        <f t="shared" ca="1" si="33"/>
        <v>46752</v>
      </c>
      <c r="BS114" s="74">
        <f t="shared" ca="1" si="48"/>
        <v>12</v>
      </c>
      <c r="BT114" s="74">
        <f t="shared" ca="1" si="49"/>
        <v>0</v>
      </c>
      <c r="BU114" s="73" t="str">
        <f t="shared" ca="1" si="50"/>
        <v xml:space="preserve"> </v>
      </c>
      <c r="BW114" s="75">
        <f t="shared" ca="1" si="60"/>
        <v>46752</v>
      </c>
      <c r="BX114" s="74">
        <f t="shared" ca="1" si="61"/>
        <v>12</v>
      </c>
      <c r="BY114" s="74">
        <f t="shared" ca="1" si="51"/>
        <v>0</v>
      </c>
      <c r="BZ114" s="73" t="str">
        <f t="shared" ca="1" si="52"/>
        <v xml:space="preserve"> </v>
      </c>
      <c r="CB114" s="75">
        <f t="shared" ca="1" si="62"/>
        <v>46752</v>
      </c>
      <c r="CC114" s="74">
        <f t="shared" ca="1" si="53"/>
        <v>12</v>
      </c>
      <c r="CD114" s="74">
        <f t="shared" ca="1" si="54"/>
        <v>0</v>
      </c>
      <c r="CE114" s="73" t="str">
        <f t="shared" ca="1" si="55"/>
        <v xml:space="preserve"> </v>
      </c>
    </row>
    <row r="115" spans="1:83" x14ac:dyDescent="0.2">
      <c r="A115" s="38" t="str">
        <f t="shared" si="64"/>
        <v xml:space="preserve"> </v>
      </c>
      <c r="B115" s="108"/>
      <c r="C115" s="38"/>
      <c r="D115" s="137"/>
      <c r="E115" s="137"/>
      <c r="F115" s="137"/>
      <c r="G115" s="122"/>
      <c r="H115" s="137"/>
      <c r="I115" s="50"/>
      <c r="J115" s="50"/>
      <c r="K115" s="50"/>
      <c r="L115" s="38"/>
      <c r="M115" s="38"/>
      <c r="N115" s="38"/>
      <c r="O115" s="50"/>
      <c r="P115" s="218"/>
      <c r="Q115" s="50"/>
      <c r="R115" s="50"/>
      <c r="S115" s="38"/>
      <c r="T115" s="51"/>
      <c r="U115" s="65"/>
      <c r="V115" s="105"/>
      <c r="W115" s="66"/>
      <c r="X115" s="66"/>
      <c r="Y115" s="38"/>
      <c r="Z115" s="66">
        <f t="shared" si="34"/>
        <v>0</v>
      </c>
      <c r="AA115" s="67"/>
      <c r="AC115" s="41" t="e">
        <f>VLOOKUP(A115,'Input Sheet'!$A$2:$B$232,2,0)</f>
        <v>#N/A</v>
      </c>
      <c r="AD115" s="70"/>
      <c r="AI115" s="68"/>
      <c r="AL115" s="107">
        <f t="shared" ca="1" si="56"/>
        <v>0</v>
      </c>
      <c r="AM115" s="49">
        <f t="shared" ca="1" si="57"/>
        <v>46783</v>
      </c>
      <c r="AN115" s="137" t="str">
        <f t="shared" ca="1" si="43"/>
        <v xml:space="preserve"> </v>
      </c>
      <c r="AO115" s="107">
        <f t="shared" ca="1" si="44"/>
        <v>0</v>
      </c>
      <c r="AP115" s="143">
        <f t="shared" ca="1" si="36"/>
        <v>0</v>
      </c>
      <c r="AQ115" s="143">
        <f t="shared" ca="1" si="45"/>
        <v>0</v>
      </c>
      <c r="AR115" s="49" t="str">
        <f t="shared" ca="1" si="37"/>
        <v xml:space="preserve"> </v>
      </c>
      <c r="AS115" s="107">
        <f t="shared" ca="1" si="38"/>
        <v>0</v>
      </c>
      <c r="AT115" s="107">
        <f t="shared" ca="1" si="39"/>
        <v>0</v>
      </c>
      <c r="AU115" s="107"/>
      <c r="AV115" s="107">
        <f ca="1">MAX(SUM($AQ$6:AQ115)-SUM($AT$6:AT115),0)</f>
        <v>0</v>
      </c>
      <c r="AW115" s="107">
        <f t="shared" ca="1" si="58"/>
        <v>0</v>
      </c>
      <c r="AX115" s="107">
        <v>0</v>
      </c>
      <c r="AY115" s="138" t="str">
        <f t="shared" ca="1" si="40"/>
        <v xml:space="preserve"> </v>
      </c>
      <c r="AZ115" s="107">
        <f t="shared" ca="1" si="41"/>
        <v>0</v>
      </c>
      <c r="BA115" s="107">
        <f ca="1">IF(AZ115=1,(SUM($AW$6:AW115,$AX$6:AX115)-SUM($BA$6:BA114)),0)</f>
        <v>0</v>
      </c>
      <c r="BB115" s="107"/>
      <c r="BC115" s="107">
        <f ca="1">AV115+SUM($AW$6:AW115)+SUM($AX$6:AX115)-SUM($BA$6:BA115)</f>
        <v>0</v>
      </c>
      <c r="BD115" s="107">
        <f t="shared" ca="1" si="46"/>
        <v>0</v>
      </c>
      <c r="BE115" s="51">
        <f ca="1">'PiT PD Structure'!J155</f>
        <v>5.7827907241070342E-5</v>
      </c>
      <c r="BF115" s="139">
        <f t="shared" ca="1" si="59"/>
        <v>0.45</v>
      </c>
      <c r="BG115" s="51">
        <f t="shared" ca="1" si="47"/>
        <v>1</v>
      </c>
      <c r="BH115" s="50">
        <f t="shared" ca="1" si="42"/>
        <v>0</v>
      </c>
      <c r="BI115" s="50">
        <f t="shared" ca="1" si="63"/>
        <v>3.4816594052244909E-13</v>
      </c>
      <c r="BJ115" s="140">
        <v>0</v>
      </c>
      <c r="BK115" s="140">
        <v>0</v>
      </c>
      <c r="BM115" s="78"/>
      <c r="BR115" s="75">
        <f t="shared" ca="1" si="33"/>
        <v>46783</v>
      </c>
      <c r="BS115" s="74">
        <f t="shared" ca="1" si="48"/>
        <v>1</v>
      </c>
      <c r="BT115" s="74">
        <f t="shared" ca="1" si="49"/>
        <v>0</v>
      </c>
      <c r="BU115" s="73" t="str">
        <f t="shared" ca="1" si="50"/>
        <v xml:space="preserve"> </v>
      </c>
      <c r="BW115" s="75">
        <f t="shared" ca="1" si="60"/>
        <v>46783</v>
      </c>
      <c r="BX115" s="74">
        <f t="shared" ca="1" si="61"/>
        <v>1</v>
      </c>
      <c r="BY115" s="74">
        <f t="shared" ca="1" si="51"/>
        <v>0</v>
      </c>
      <c r="BZ115" s="73" t="str">
        <f t="shared" ca="1" si="52"/>
        <v xml:space="preserve"> </v>
      </c>
      <c r="CB115" s="75">
        <f t="shared" ca="1" si="62"/>
        <v>46783</v>
      </c>
      <c r="CC115" s="74">
        <f t="shared" ca="1" si="53"/>
        <v>1</v>
      </c>
      <c r="CD115" s="74">
        <f t="shared" ca="1" si="54"/>
        <v>0</v>
      </c>
      <c r="CE115" s="73" t="str">
        <f t="shared" ca="1" si="55"/>
        <v xml:space="preserve"> </v>
      </c>
    </row>
    <row r="116" spans="1:83" x14ac:dyDescent="0.2">
      <c r="A116" s="38" t="str">
        <f t="shared" si="64"/>
        <v xml:space="preserve"> </v>
      </c>
      <c r="B116" s="108"/>
      <c r="C116" s="38"/>
      <c r="D116" s="137"/>
      <c r="E116" s="137"/>
      <c r="F116" s="137"/>
      <c r="G116" s="122"/>
      <c r="H116" s="137"/>
      <c r="I116" s="50"/>
      <c r="J116" s="50"/>
      <c r="K116" s="50"/>
      <c r="L116" s="38"/>
      <c r="M116" s="38"/>
      <c r="N116" s="38"/>
      <c r="O116" s="50"/>
      <c r="P116" s="218"/>
      <c r="Q116" s="50"/>
      <c r="R116" s="50"/>
      <c r="S116" s="38"/>
      <c r="T116" s="51"/>
      <c r="U116" s="65"/>
      <c r="V116" s="105"/>
      <c r="W116" s="66"/>
      <c r="X116" s="66"/>
      <c r="Y116" s="38"/>
      <c r="Z116" s="66">
        <f t="shared" si="34"/>
        <v>0</v>
      </c>
      <c r="AA116" s="67"/>
      <c r="AC116" s="41" t="e">
        <f>VLOOKUP(A116,'Input Sheet'!$A$2:$B$232,2,0)</f>
        <v>#N/A</v>
      </c>
      <c r="AD116" s="70"/>
      <c r="AI116" s="68"/>
      <c r="AL116" s="107">
        <f t="shared" ca="1" si="56"/>
        <v>0</v>
      </c>
      <c r="AM116" s="49">
        <f t="shared" ca="1" si="57"/>
        <v>46812</v>
      </c>
      <c r="AN116" s="137" t="str">
        <f t="shared" ca="1" si="43"/>
        <v xml:space="preserve"> </v>
      </c>
      <c r="AO116" s="107">
        <f t="shared" ca="1" si="44"/>
        <v>0</v>
      </c>
      <c r="AP116" s="143">
        <f t="shared" ca="1" si="36"/>
        <v>0</v>
      </c>
      <c r="AQ116" s="143">
        <f t="shared" ca="1" si="45"/>
        <v>0</v>
      </c>
      <c r="AR116" s="49" t="str">
        <f t="shared" ca="1" si="37"/>
        <v xml:space="preserve"> </v>
      </c>
      <c r="AS116" s="107">
        <f t="shared" ca="1" si="38"/>
        <v>0</v>
      </c>
      <c r="AT116" s="107">
        <f t="shared" ca="1" si="39"/>
        <v>0</v>
      </c>
      <c r="AU116" s="107"/>
      <c r="AV116" s="107">
        <f ca="1">MAX(SUM($AQ$6:AQ116)-SUM($AT$6:AT116),0)</f>
        <v>0</v>
      </c>
      <c r="AW116" s="107">
        <f t="shared" ca="1" si="58"/>
        <v>0</v>
      </c>
      <c r="AX116" s="107">
        <v>0</v>
      </c>
      <c r="AY116" s="138" t="str">
        <f t="shared" ca="1" si="40"/>
        <v xml:space="preserve"> </v>
      </c>
      <c r="AZ116" s="107">
        <f t="shared" ca="1" si="41"/>
        <v>0</v>
      </c>
      <c r="BA116" s="107">
        <f ca="1">IF(AZ116=1,(SUM($AW$6:AW116,$AX$6:AX116)-SUM($BA$6:BA115)),0)</f>
        <v>0</v>
      </c>
      <c r="BB116" s="107"/>
      <c r="BC116" s="107">
        <f ca="1">AV116+SUM($AW$6:AW116)+SUM($AX$6:AX116)-SUM($BA$6:BA116)</f>
        <v>0</v>
      </c>
      <c r="BD116" s="107">
        <f t="shared" ca="1" si="46"/>
        <v>0</v>
      </c>
      <c r="BE116" s="51">
        <f ca="1">'PiT PD Structure'!J156</f>
        <v>5.7824529085093168E-5</v>
      </c>
      <c r="BF116" s="139">
        <f t="shared" ca="1" si="59"/>
        <v>0.45</v>
      </c>
      <c r="BG116" s="51">
        <f t="shared" ca="1" si="47"/>
        <v>1</v>
      </c>
      <c r="BH116" s="50">
        <f t="shared" ca="1" si="42"/>
        <v>0</v>
      </c>
      <c r="BI116" s="50">
        <f t="shared" ca="1" si="63"/>
        <v>3.4816594052244909E-13</v>
      </c>
      <c r="BJ116" s="140">
        <v>0</v>
      </c>
      <c r="BK116" s="140">
        <v>0</v>
      </c>
      <c r="BM116" s="78"/>
      <c r="BR116" s="75">
        <f t="shared" ca="1" si="33"/>
        <v>46812</v>
      </c>
      <c r="BS116" s="74">
        <f t="shared" ca="1" si="48"/>
        <v>2</v>
      </c>
      <c r="BT116" s="74">
        <f t="shared" ca="1" si="49"/>
        <v>0</v>
      </c>
      <c r="BU116" s="73" t="str">
        <f t="shared" ca="1" si="50"/>
        <v xml:space="preserve"> </v>
      </c>
      <c r="BW116" s="75">
        <f t="shared" ca="1" si="60"/>
        <v>46812</v>
      </c>
      <c r="BX116" s="74">
        <f t="shared" ca="1" si="61"/>
        <v>2</v>
      </c>
      <c r="BY116" s="74">
        <f t="shared" ca="1" si="51"/>
        <v>0</v>
      </c>
      <c r="BZ116" s="73" t="str">
        <f t="shared" ca="1" si="52"/>
        <v xml:space="preserve"> </v>
      </c>
      <c r="CB116" s="75">
        <f t="shared" ca="1" si="62"/>
        <v>46812</v>
      </c>
      <c r="CC116" s="74">
        <f t="shared" ca="1" si="53"/>
        <v>2</v>
      </c>
      <c r="CD116" s="74">
        <f t="shared" ca="1" si="54"/>
        <v>0</v>
      </c>
      <c r="CE116" s="73" t="str">
        <f t="shared" ca="1" si="55"/>
        <v xml:space="preserve"> </v>
      </c>
    </row>
    <row r="117" spans="1:83" x14ac:dyDescent="0.2">
      <c r="A117" s="38" t="str">
        <f t="shared" si="64"/>
        <v xml:space="preserve"> </v>
      </c>
      <c r="B117" s="108"/>
      <c r="C117" s="38"/>
      <c r="D117" s="137"/>
      <c r="E117" s="137"/>
      <c r="F117" s="137"/>
      <c r="G117" s="122"/>
      <c r="H117" s="137"/>
      <c r="I117" s="50"/>
      <c r="J117" s="50"/>
      <c r="K117" s="50"/>
      <c r="L117" s="38"/>
      <c r="M117" s="38"/>
      <c r="N117" s="38"/>
      <c r="O117" s="50"/>
      <c r="P117" s="218"/>
      <c r="Q117" s="50"/>
      <c r="R117" s="50"/>
      <c r="S117" s="38"/>
      <c r="T117" s="51"/>
      <c r="U117" s="65"/>
      <c r="V117" s="105"/>
      <c r="W117" s="66"/>
      <c r="X117" s="66"/>
      <c r="Y117" s="38"/>
      <c r="Z117" s="66">
        <f t="shared" si="34"/>
        <v>0</v>
      </c>
      <c r="AA117" s="67"/>
      <c r="AC117" s="41" t="e">
        <f>VLOOKUP(A117,'Input Sheet'!$A$2:$B$232,2,0)</f>
        <v>#N/A</v>
      </c>
      <c r="AD117" s="70"/>
      <c r="AI117" s="68"/>
      <c r="AL117" s="107">
        <f t="shared" ca="1" si="56"/>
        <v>0</v>
      </c>
      <c r="AM117" s="49">
        <f t="shared" ca="1" si="57"/>
        <v>46843</v>
      </c>
      <c r="AN117" s="137" t="str">
        <f t="shared" ca="1" si="43"/>
        <v xml:space="preserve"> </v>
      </c>
      <c r="AO117" s="107">
        <f t="shared" ca="1" si="44"/>
        <v>0</v>
      </c>
      <c r="AP117" s="143">
        <f t="shared" ca="1" si="36"/>
        <v>0</v>
      </c>
      <c r="AQ117" s="143">
        <f t="shared" ca="1" si="45"/>
        <v>0</v>
      </c>
      <c r="AR117" s="49" t="str">
        <f t="shared" ca="1" si="37"/>
        <v xml:space="preserve"> </v>
      </c>
      <c r="AS117" s="107">
        <f t="shared" ca="1" si="38"/>
        <v>0</v>
      </c>
      <c r="AT117" s="107">
        <f t="shared" ca="1" si="39"/>
        <v>0</v>
      </c>
      <c r="AU117" s="107"/>
      <c r="AV117" s="107">
        <f ca="1">MAX(SUM($AQ$6:AQ117)-SUM($AT$6:AT117),0)</f>
        <v>0</v>
      </c>
      <c r="AW117" s="107">
        <f t="shared" ca="1" si="58"/>
        <v>0</v>
      </c>
      <c r="AX117" s="107">
        <v>0</v>
      </c>
      <c r="AY117" s="138" t="str">
        <f t="shared" ca="1" si="40"/>
        <v xml:space="preserve"> </v>
      </c>
      <c r="AZ117" s="107">
        <f t="shared" ca="1" si="41"/>
        <v>0</v>
      </c>
      <c r="BA117" s="107">
        <f ca="1">IF(AZ117=1,(SUM($AW$6:AW117,$AX$6:AX117)-SUM($BA$6:BA116)),0)</f>
        <v>0</v>
      </c>
      <c r="BB117" s="107"/>
      <c r="BC117" s="107">
        <f ca="1">AV117+SUM($AW$6:AW117)+SUM($AX$6:AX117)-SUM($BA$6:BA117)</f>
        <v>0</v>
      </c>
      <c r="BD117" s="107">
        <f t="shared" ca="1" si="46"/>
        <v>0</v>
      </c>
      <c r="BE117" s="51">
        <f ca="1">'PiT PD Structure'!J157</f>
        <v>5.782115112662467E-5</v>
      </c>
      <c r="BF117" s="139">
        <f t="shared" ca="1" si="59"/>
        <v>0.45</v>
      </c>
      <c r="BG117" s="51">
        <f t="shared" ca="1" si="47"/>
        <v>1</v>
      </c>
      <c r="BH117" s="50">
        <f t="shared" ca="1" si="42"/>
        <v>0</v>
      </c>
      <c r="BI117" s="50">
        <f t="shared" ca="1" si="63"/>
        <v>3.4816594052244909E-13</v>
      </c>
      <c r="BJ117" s="140">
        <v>0</v>
      </c>
      <c r="BK117" s="140">
        <v>0</v>
      </c>
      <c r="BM117" s="78"/>
      <c r="BR117" s="75">
        <f t="shared" ca="1" si="33"/>
        <v>46843</v>
      </c>
      <c r="BS117" s="74">
        <f t="shared" ca="1" si="48"/>
        <v>3</v>
      </c>
      <c r="BT117" s="74">
        <f t="shared" ca="1" si="49"/>
        <v>0</v>
      </c>
      <c r="BU117" s="73" t="str">
        <f t="shared" ca="1" si="50"/>
        <v xml:space="preserve"> </v>
      </c>
      <c r="BW117" s="75">
        <f t="shared" ca="1" si="60"/>
        <v>46843</v>
      </c>
      <c r="BX117" s="74">
        <f t="shared" ca="1" si="61"/>
        <v>3</v>
      </c>
      <c r="BY117" s="74">
        <f t="shared" ca="1" si="51"/>
        <v>0</v>
      </c>
      <c r="BZ117" s="73" t="str">
        <f t="shared" ca="1" si="52"/>
        <v xml:space="preserve"> </v>
      </c>
      <c r="CB117" s="75">
        <f t="shared" ca="1" si="62"/>
        <v>46843</v>
      </c>
      <c r="CC117" s="74">
        <f t="shared" ca="1" si="53"/>
        <v>3</v>
      </c>
      <c r="CD117" s="74">
        <f t="shared" ca="1" si="54"/>
        <v>0</v>
      </c>
      <c r="CE117" s="73" t="str">
        <f t="shared" ca="1" si="55"/>
        <v xml:space="preserve"> </v>
      </c>
    </row>
    <row r="118" spans="1:83" x14ac:dyDescent="0.2">
      <c r="A118" s="38" t="str">
        <f t="shared" si="64"/>
        <v xml:space="preserve"> </v>
      </c>
      <c r="B118" s="108"/>
      <c r="C118" s="38"/>
      <c r="D118" s="137"/>
      <c r="E118" s="137"/>
      <c r="F118" s="137"/>
      <c r="G118" s="122"/>
      <c r="H118" s="137"/>
      <c r="I118" s="50"/>
      <c r="J118" s="50"/>
      <c r="K118" s="50"/>
      <c r="L118" s="38"/>
      <c r="M118" s="38"/>
      <c r="N118" s="38"/>
      <c r="O118" s="50"/>
      <c r="P118" s="218"/>
      <c r="Q118" s="50"/>
      <c r="R118" s="50"/>
      <c r="S118" s="38"/>
      <c r="T118" s="51"/>
      <c r="U118" s="65"/>
      <c r="V118" s="105"/>
      <c r="W118" s="66"/>
      <c r="X118" s="66"/>
      <c r="Y118" s="38"/>
      <c r="Z118" s="66">
        <f t="shared" si="34"/>
        <v>0</v>
      </c>
      <c r="AA118" s="67"/>
      <c r="AC118" s="41" t="e">
        <f>VLOOKUP(A118,'Input Sheet'!$A$2:$B$232,2,0)</f>
        <v>#N/A</v>
      </c>
      <c r="AD118" s="70"/>
      <c r="AI118" s="68"/>
      <c r="AL118" s="107">
        <f t="shared" ca="1" si="56"/>
        <v>0</v>
      </c>
      <c r="AM118" s="49">
        <f t="shared" ca="1" si="57"/>
        <v>46873</v>
      </c>
      <c r="AN118" s="137" t="str">
        <f t="shared" ca="1" si="43"/>
        <v xml:space="preserve"> </v>
      </c>
      <c r="AO118" s="107">
        <f t="shared" ca="1" si="44"/>
        <v>0</v>
      </c>
      <c r="AP118" s="143">
        <f t="shared" ca="1" si="36"/>
        <v>0</v>
      </c>
      <c r="AQ118" s="143">
        <f t="shared" ca="1" si="45"/>
        <v>0</v>
      </c>
      <c r="AR118" s="49" t="str">
        <f t="shared" ca="1" si="37"/>
        <v xml:space="preserve"> </v>
      </c>
      <c r="AS118" s="107">
        <f t="shared" ca="1" si="38"/>
        <v>0</v>
      </c>
      <c r="AT118" s="107">
        <f t="shared" ca="1" si="39"/>
        <v>0</v>
      </c>
      <c r="AU118" s="107"/>
      <c r="AV118" s="107">
        <f ca="1">MAX(SUM($AQ$6:AQ118)-SUM($AT$6:AT118),0)</f>
        <v>0</v>
      </c>
      <c r="AW118" s="107">
        <f t="shared" ca="1" si="58"/>
        <v>0</v>
      </c>
      <c r="AX118" s="107">
        <v>0</v>
      </c>
      <c r="AY118" s="138" t="str">
        <f t="shared" ca="1" si="40"/>
        <v xml:space="preserve"> </v>
      </c>
      <c r="AZ118" s="107">
        <f t="shared" ca="1" si="41"/>
        <v>0</v>
      </c>
      <c r="BA118" s="107">
        <f ca="1">IF(AZ118=1,(SUM($AW$6:AW118,$AX$6:AX118)-SUM($BA$6:BA117)),0)</f>
        <v>0</v>
      </c>
      <c r="BB118" s="107"/>
      <c r="BC118" s="107">
        <f ca="1">AV118+SUM($AW$6:AW118)+SUM($AX$6:AX118)-SUM($BA$6:BA118)</f>
        <v>0</v>
      </c>
      <c r="BD118" s="107">
        <f t="shared" ca="1" si="46"/>
        <v>0</v>
      </c>
      <c r="BE118" s="51">
        <f ca="1">'PiT PD Structure'!J158</f>
        <v>5.7817773365220759E-5</v>
      </c>
      <c r="BF118" s="139">
        <f t="shared" ca="1" si="59"/>
        <v>0.45</v>
      </c>
      <c r="BG118" s="51">
        <f t="shared" ca="1" si="47"/>
        <v>1</v>
      </c>
      <c r="BH118" s="50">
        <f t="shared" ca="1" si="42"/>
        <v>0</v>
      </c>
      <c r="BI118" s="50">
        <f t="shared" ca="1" si="63"/>
        <v>3.4816594052244909E-13</v>
      </c>
      <c r="BJ118" s="140">
        <v>0</v>
      </c>
      <c r="BK118" s="140">
        <v>0</v>
      </c>
      <c r="BM118" s="78"/>
      <c r="BR118" s="75">
        <f t="shared" ca="1" si="33"/>
        <v>46873</v>
      </c>
      <c r="BS118" s="74">
        <f t="shared" ca="1" si="48"/>
        <v>4</v>
      </c>
      <c r="BT118" s="74">
        <f t="shared" ca="1" si="49"/>
        <v>0</v>
      </c>
      <c r="BU118" s="73" t="str">
        <f t="shared" ca="1" si="50"/>
        <v xml:space="preserve"> </v>
      </c>
      <c r="BW118" s="75">
        <f t="shared" ca="1" si="60"/>
        <v>46873</v>
      </c>
      <c r="BX118" s="74">
        <f t="shared" ca="1" si="61"/>
        <v>4</v>
      </c>
      <c r="BY118" s="74">
        <f t="shared" ca="1" si="51"/>
        <v>0</v>
      </c>
      <c r="BZ118" s="73" t="str">
        <f t="shared" ca="1" si="52"/>
        <v xml:space="preserve"> </v>
      </c>
      <c r="CB118" s="75">
        <f t="shared" ca="1" si="62"/>
        <v>46873</v>
      </c>
      <c r="CC118" s="74">
        <f t="shared" ca="1" si="53"/>
        <v>4</v>
      </c>
      <c r="CD118" s="74">
        <f t="shared" ca="1" si="54"/>
        <v>0</v>
      </c>
      <c r="CE118" s="73" t="str">
        <f t="shared" ca="1" si="55"/>
        <v xml:space="preserve"> </v>
      </c>
    </row>
    <row r="119" spans="1:83" x14ac:dyDescent="0.2">
      <c r="A119" s="38" t="str">
        <f t="shared" si="64"/>
        <v xml:space="preserve"> </v>
      </c>
      <c r="B119" s="108"/>
      <c r="C119" s="38"/>
      <c r="D119" s="137"/>
      <c r="E119" s="137"/>
      <c r="F119" s="137"/>
      <c r="G119" s="122"/>
      <c r="H119" s="137"/>
      <c r="I119" s="50"/>
      <c r="J119" s="50"/>
      <c r="K119" s="50"/>
      <c r="L119" s="38"/>
      <c r="M119" s="38"/>
      <c r="N119" s="38"/>
      <c r="O119" s="50"/>
      <c r="P119" s="218"/>
      <c r="Q119" s="50"/>
      <c r="R119" s="50"/>
      <c r="S119" s="38"/>
      <c r="T119" s="51"/>
      <c r="U119" s="65"/>
      <c r="V119" s="105"/>
      <c r="W119" s="66"/>
      <c r="X119" s="66"/>
      <c r="Y119" s="38"/>
      <c r="Z119" s="66">
        <f t="shared" si="34"/>
        <v>0</v>
      </c>
      <c r="AA119" s="67"/>
      <c r="AC119" s="41" t="e">
        <f>VLOOKUP(A119,'Input Sheet'!$A$2:$B$232,2,0)</f>
        <v>#N/A</v>
      </c>
      <c r="AD119" s="70"/>
      <c r="AI119" s="68"/>
      <c r="AL119" s="107">
        <f t="shared" ca="1" si="56"/>
        <v>0</v>
      </c>
      <c r="AM119" s="49">
        <f t="shared" ca="1" si="57"/>
        <v>46904</v>
      </c>
      <c r="AN119" s="137" t="str">
        <f t="shared" ca="1" si="43"/>
        <v xml:space="preserve"> </v>
      </c>
      <c r="AO119" s="107">
        <f t="shared" ca="1" si="44"/>
        <v>0</v>
      </c>
      <c r="AP119" s="143">
        <f t="shared" ca="1" si="36"/>
        <v>0</v>
      </c>
      <c r="AQ119" s="143">
        <f t="shared" ca="1" si="45"/>
        <v>0</v>
      </c>
      <c r="AR119" s="49" t="str">
        <f t="shared" ca="1" si="37"/>
        <v xml:space="preserve"> </v>
      </c>
      <c r="AS119" s="107">
        <f t="shared" ca="1" si="38"/>
        <v>0</v>
      </c>
      <c r="AT119" s="107">
        <f t="shared" ca="1" si="39"/>
        <v>0</v>
      </c>
      <c r="AU119" s="107"/>
      <c r="AV119" s="107">
        <f ca="1">MAX(SUM($AQ$6:AQ119)-SUM($AT$6:AT119),0)</f>
        <v>0</v>
      </c>
      <c r="AW119" s="107">
        <f t="shared" ca="1" si="58"/>
        <v>0</v>
      </c>
      <c r="AX119" s="107">
        <v>0</v>
      </c>
      <c r="AY119" s="138" t="str">
        <f t="shared" ca="1" si="40"/>
        <v xml:space="preserve"> </v>
      </c>
      <c r="AZ119" s="107">
        <f t="shared" ca="1" si="41"/>
        <v>0</v>
      </c>
      <c r="BA119" s="107">
        <f ca="1">IF(AZ119=1,(SUM($AW$6:AW119,$AX$6:AX119)-SUM($BA$6:BA118)),0)</f>
        <v>0</v>
      </c>
      <c r="BB119" s="107"/>
      <c r="BC119" s="107">
        <f ca="1">AV119+SUM($AW$6:AW119)+SUM($AX$6:AX119)-SUM($BA$6:BA119)</f>
        <v>0</v>
      </c>
      <c r="BD119" s="107">
        <f t="shared" ca="1" si="46"/>
        <v>0</v>
      </c>
      <c r="BE119" s="51">
        <f ca="1">'PiT PD Structure'!J159</f>
        <v>5.7814395801436547E-5</v>
      </c>
      <c r="BF119" s="139">
        <f t="shared" ca="1" si="59"/>
        <v>0.45</v>
      </c>
      <c r="BG119" s="51">
        <f t="shared" ca="1" si="47"/>
        <v>1</v>
      </c>
      <c r="BH119" s="50">
        <f t="shared" ca="1" si="42"/>
        <v>0</v>
      </c>
      <c r="BI119" s="50">
        <f t="shared" ca="1" si="63"/>
        <v>3.4816594052244909E-13</v>
      </c>
      <c r="BJ119" s="140">
        <v>0</v>
      </c>
      <c r="BK119" s="140">
        <v>0</v>
      </c>
      <c r="BM119" s="78"/>
      <c r="BR119" s="75">
        <f t="shared" ca="1" si="33"/>
        <v>46904</v>
      </c>
      <c r="BS119" s="74">
        <f t="shared" ca="1" si="48"/>
        <v>5</v>
      </c>
      <c r="BT119" s="74">
        <f t="shared" ca="1" si="49"/>
        <v>0</v>
      </c>
      <c r="BU119" s="73" t="str">
        <f t="shared" ca="1" si="50"/>
        <v xml:space="preserve"> </v>
      </c>
      <c r="BW119" s="75">
        <f t="shared" ca="1" si="60"/>
        <v>46904</v>
      </c>
      <c r="BX119" s="74">
        <f t="shared" ca="1" si="61"/>
        <v>5</v>
      </c>
      <c r="BY119" s="74">
        <f t="shared" ca="1" si="51"/>
        <v>0</v>
      </c>
      <c r="BZ119" s="73" t="str">
        <f t="shared" ca="1" si="52"/>
        <v xml:space="preserve"> </v>
      </c>
      <c r="CB119" s="75">
        <f t="shared" ca="1" si="62"/>
        <v>46904</v>
      </c>
      <c r="CC119" s="74">
        <f t="shared" ca="1" si="53"/>
        <v>5</v>
      </c>
      <c r="CD119" s="74">
        <f t="shared" ca="1" si="54"/>
        <v>0</v>
      </c>
      <c r="CE119" s="73" t="str">
        <f t="shared" ca="1" si="55"/>
        <v xml:space="preserve"> </v>
      </c>
    </row>
    <row r="120" spans="1:83" x14ac:dyDescent="0.2">
      <c r="A120" s="38" t="str">
        <f t="shared" si="64"/>
        <v xml:space="preserve"> </v>
      </c>
      <c r="B120" s="108"/>
      <c r="C120" s="38"/>
      <c r="D120" s="137"/>
      <c r="E120" s="137"/>
      <c r="F120" s="137"/>
      <c r="G120" s="122"/>
      <c r="H120" s="137"/>
      <c r="I120" s="50"/>
      <c r="J120" s="50"/>
      <c r="K120" s="50"/>
      <c r="L120" s="38"/>
      <c r="M120" s="38"/>
      <c r="N120" s="38"/>
      <c r="O120" s="50"/>
      <c r="P120" s="218"/>
      <c r="Q120" s="50"/>
      <c r="R120" s="50"/>
      <c r="S120" s="38"/>
      <c r="T120" s="51"/>
      <c r="U120" s="65"/>
      <c r="V120" s="105"/>
      <c r="W120" s="66"/>
      <c r="X120" s="66"/>
      <c r="Y120" s="38"/>
      <c r="Z120" s="66">
        <f t="shared" si="34"/>
        <v>0</v>
      </c>
      <c r="AA120" s="67"/>
      <c r="AC120" s="41" t="e">
        <f>VLOOKUP(A120,'Input Sheet'!$A$2:$B$232,2,0)</f>
        <v>#N/A</v>
      </c>
      <c r="AD120" s="70"/>
      <c r="AI120" s="68"/>
      <c r="AL120" s="107">
        <f t="shared" ca="1" si="56"/>
        <v>0</v>
      </c>
      <c r="AM120" s="49">
        <f t="shared" ca="1" si="57"/>
        <v>46934</v>
      </c>
      <c r="AN120" s="137" t="str">
        <f t="shared" ca="1" si="43"/>
        <v xml:space="preserve"> </v>
      </c>
      <c r="AO120" s="107">
        <f t="shared" ca="1" si="44"/>
        <v>0</v>
      </c>
      <c r="AP120" s="143">
        <f t="shared" ca="1" si="36"/>
        <v>0</v>
      </c>
      <c r="AQ120" s="143">
        <f t="shared" ca="1" si="45"/>
        <v>0</v>
      </c>
      <c r="AR120" s="49" t="str">
        <f t="shared" ca="1" si="37"/>
        <v xml:space="preserve"> </v>
      </c>
      <c r="AS120" s="107">
        <f t="shared" ca="1" si="38"/>
        <v>0</v>
      </c>
      <c r="AT120" s="107">
        <f t="shared" ca="1" si="39"/>
        <v>0</v>
      </c>
      <c r="AU120" s="107"/>
      <c r="AV120" s="107">
        <f ca="1">MAX(SUM($AQ$6:AQ120)-SUM($AT$6:AT120),0)</f>
        <v>0</v>
      </c>
      <c r="AW120" s="107">
        <f t="shared" ca="1" si="58"/>
        <v>0</v>
      </c>
      <c r="AX120" s="107">
        <v>0</v>
      </c>
      <c r="AY120" s="138" t="str">
        <f t="shared" ca="1" si="40"/>
        <v xml:space="preserve"> </v>
      </c>
      <c r="AZ120" s="107">
        <f t="shared" ca="1" si="41"/>
        <v>0</v>
      </c>
      <c r="BA120" s="107">
        <f ca="1">IF(AZ120=1,(SUM($AW$6:AW120,$AX$6:AX120)-SUM($BA$6:BA119)),0)</f>
        <v>0</v>
      </c>
      <c r="BB120" s="107"/>
      <c r="BC120" s="107">
        <f ca="1">AV120+SUM($AW$6:AW120)+SUM($AX$6:AX120)-SUM($BA$6:BA120)</f>
        <v>0</v>
      </c>
      <c r="BD120" s="107">
        <f t="shared" ca="1" si="46"/>
        <v>0</v>
      </c>
      <c r="BE120" s="51">
        <f ca="1">'PiT PD Structure'!J160</f>
        <v>5.7811018434827943E-5</v>
      </c>
      <c r="BF120" s="139">
        <f t="shared" ca="1" si="59"/>
        <v>0.45</v>
      </c>
      <c r="BG120" s="51">
        <f t="shared" ca="1" si="47"/>
        <v>1</v>
      </c>
      <c r="BH120" s="50">
        <f t="shared" ca="1" si="42"/>
        <v>0</v>
      </c>
      <c r="BI120" s="50">
        <f t="shared" ca="1" si="63"/>
        <v>3.4816594052244909E-13</v>
      </c>
      <c r="BJ120" s="140">
        <v>0</v>
      </c>
      <c r="BK120" s="140">
        <v>0</v>
      </c>
      <c r="BM120" s="78"/>
      <c r="BR120" s="75">
        <f t="shared" ca="1" si="33"/>
        <v>46934</v>
      </c>
      <c r="BS120" s="74">
        <f t="shared" ca="1" si="48"/>
        <v>6</v>
      </c>
      <c r="BT120" s="74">
        <f t="shared" ca="1" si="49"/>
        <v>0</v>
      </c>
      <c r="BU120" s="73" t="str">
        <f t="shared" ca="1" si="50"/>
        <v xml:space="preserve"> </v>
      </c>
      <c r="BW120" s="75">
        <f t="shared" ca="1" si="60"/>
        <v>46934</v>
      </c>
      <c r="BX120" s="74">
        <f t="shared" ca="1" si="61"/>
        <v>6</v>
      </c>
      <c r="BY120" s="74">
        <f t="shared" ca="1" si="51"/>
        <v>0</v>
      </c>
      <c r="BZ120" s="73" t="str">
        <f t="shared" ca="1" si="52"/>
        <v xml:space="preserve"> </v>
      </c>
      <c r="CB120" s="75">
        <f t="shared" ca="1" si="62"/>
        <v>46934</v>
      </c>
      <c r="CC120" s="74">
        <f t="shared" ca="1" si="53"/>
        <v>6</v>
      </c>
      <c r="CD120" s="74">
        <f t="shared" ca="1" si="54"/>
        <v>0</v>
      </c>
      <c r="CE120" s="73" t="str">
        <f t="shared" ca="1" si="55"/>
        <v xml:space="preserve"> </v>
      </c>
    </row>
    <row r="121" spans="1:83" x14ac:dyDescent="0.2">
      <c r="A121" s="38" t="str">
        <f t="shared" si="64"/>
        <v xml:space="preserve"> </v>
      </c>
      <c r="B121" s="108"/>
      <c r="C121" s="38"/>
      <c r="D121" s="137"/>
      <c r="E121" s="137"/>
      <c r="F121" s="137"/>
      <c r="G121" s="122"/>
      <c r="H121" s="137"/>
      <c r="I121" s="50"/>
      <c r="J121" s="50"/>
      <c r="K121" s="50"/>
      <c r="L121" s="38"/>
      <c r="M121" s="38"/>
      <c r="N121" s="38"/>
      <c r="O121" s="50"/>
      <c r="P121" s="218"/>
      <c r="Q121" s="50"/>
      <c r="R121" s="50"/>
      <c r="S121" s="38"/>
      <c r="T121" s="51"/>
      <c r="U121" s="65"/>
      <c r="V121" s="105"/>
      <c r="W121" s="66"/>
      <c r="X121" s="66"/>
      <c r="Y121" s="38"/>
      <c r="Z121" s="66">
        <f t="shared" si="34"/>
        <v>0</v>
      </c>
      <c r="AA121" s="67"/>
      <c r="AC121" s="41" t="e">
        <f>VLOOKUP(A121,'Input Sheet'!$A$2:$B$232,2,0)</f>
        <v>#N/A</v>
      </c>
      <c r="AD121" s="70"/>
      <c r="AI121" s="68"/>
      <c r="AL121" s="107">
        <f t="shared" ca="1" si="56"/>
        <v>0</v>
      </c>
      <c r="AM121" s="49">
        <f t="shared" ca="1" si="57"/>
        <v>46965</v>
      </c>
      <c r="AN121" s="137" t="str">
        <f t="shared" ca="1" si="43"/>
        <v xml:space="preserve"> </v>
      </c>
      <c r="AO121" s="107">
        <f t="shared" ca="1" si="44"/>
        <v>0</v>
      </c>
      <c r="AP121" s="143">
        <f t="shared" ca="1" si="36"/>
        <v>0</v>
      </c>
      <c r="AQ121" s="143">
        <f t="shared" ca="1" si="45"/>
        <v>0</v>
      </c>
      <c r="AR121" s="49" t="str">
        <f t="shared" ca="1" si="37"/>
        <v xml:space="preserve"> </v>
      </c>
      <c r="AS121" s="107">
        <f t="shared" ca="1" si="38"/>
        <v>0</v>
      </c>
      <c r="AT121" s="107">
        <f t="shared" ca="1" si="39"/>
        <v>0</v>
      </c>
      <c r="AU121" s="107"/>
      <c r="AV121" s="107">
        <f ca="1">MAX(SUM($AQ$6:AQ121)-SUM($AT$6:AT121),0)</f>
        <v>0</v>
      </c>
      <c r="AW121" s="107">
        <f t="shared" ca="1" si="58"/>
        <v>0</v>
      </c>
      <c r="AX121" s="107">
        <v>0</v>
      </c>
      <c r="AY121" s="138" t="str">
        <f t="shared" ca="1" si="40"/>
        <v xml:space="preserve"> </v>
      </c>
      <c r="AZ121" s="107">
        <f t="shared" ca="1" si="41"/>
        <v>0</v>
      </c>
      <c r="BA121" s="107">
        <f ca="1">IF(AZ121=1,(SUM($AW$6:AW121,$AX$6:AX121)-SUM($BA$6:BA120)),0)</f>
        <v>0</v>
      </c>
      <c r="BB121" s="107"/>
      <c r="BC121" s="107">
        <f ca="1">AV121+SUM($AW$6:AW121)+SUM($AX$6:AX121)-SUM($BA$6:BA121)</f>
        <v>0</v>
      </c>
      <c r="BD121" s="107">
        <f t="shared" ca="1" si="46"/>
        <v>0</v>
      </c>
      <c r="BE121" s="51">
        <f ca="1">'PiT PD Structure'!J161</f>
        <v>5.7807641265505971E-5</v>
      </c>
      <c r="BF121" s="139">
        <f t="shared" ca="1" si="59"/>
        <v>0.45</v>
      </c>
      <c r="BG121" s="51">
        <f t="shared" ca="1" si="47"/>
        <v>1</v>
      </c>
      <c r="BH121" s="50">
        <f t="shared" ca="1" si="42"/>
        <v>0</v>
      </c>
      <c r="BI121" s="50">
        <f t="shared" ca="1" si="63"/>
        <v>3.4816594052244909E-13</v>
      </c>
      <c r="BJ121" s="140">
        <v>0</v>
      </c>
      <c r="BK121" s="140">
        <v>0</v>
      </c>
      <c r="BM121" s="78"/>
      <c r="BR121" s="75">
        <f t="shared" ca="1" si="33"/>
        <v>46965</v>
      </c>
      <c r="BS121" s="74">
        <f t="shared" ca="1" si="48"/>
        <v>7</v>
      </c>
      <c r="BT121" s="74">
        <f t="shared" ca="1" si="49"/>
        <v>0</v>
      </c>
      <c r="BU121" s="73" t="str">
        <f t="shared" ca="1" si="50"/>
        <v xml:space="preserve"> </v>
      </c>
      <c r="BW121" s="75">
        <f t="shared" ca="1" si="60"/>
        <v>46965</v>
      </c>
      <c r="BX121" s="74">
        <f t="shared" ca="1" si="61"/>
        <v>7</v>
      </c>
      <c r="BY121" s="74">
        <f t="shared" ca="1" si="51"/>
        <v>0</v>
      </c>
      <c r="BZ121" s="73" t="str">
        <f t="shared" ca="1" si="52"/>
        <v xml:space="preserve"> </v>
      </c>
      <c r="CB121" s="75">
        <f t="shared" ca="1" si="62"/>
        <v>46965</v>
      </c>
      <c r="CC121" s="74">
        <f t="shared" ca="1" si="53"/>
        <v>7</v>
      </c>
      <c r="CD121" s="74">
        <f t="shared" ca="1" si="54"/>
        <v>0</v>
      </c>
      <c r="CE121" s="73" t="str">
        <f t="shared" ca="1" si="55"/>
        <v xml:space="preserve"> </v>
      </c>
    </row>
    <row r="122" spans="1:83" x14ac:dyDescent="0.2">
      <c r="A122" s="38" t="str">
        <f t="shared" si="64"/>
        <v xml:space="preserve"> </v>
      </c>
      <c r="B122" s="108"/>
      <c r="C122" s="38"/>
      <c r="D122" s="137"/>
      <c r="E122" s="137"/>
      <c r="F122" s="137"/>
      <c r="G122" s="122"/>
      <c r="H122" s="137"/>
      <c r="I122" s="50"/>
      <c r="J122" s="50"/>
      <c r="K122" s="50"/>
      <c r="L122" s="38"/>
      <c r="M122" s="38"/>
      <c r="N122" s="38"/>
      <c r="O122" s="50"/>
      <c r="P122" s="218"/>
      <c r="Q122" s="50"/>
      <c r="R122" s="50"/>
      <c r="S122" s="38"/>
      <c r="T122" s="51"/>
      <c r="U122" s="65"/>
      <c r="V122" s="105"/>
      <c r="W122" s="66"/>
      <c r="X122" s="66"/>
      <c r="Y122" s="38"/>
      <c r="Z122" s="66">
        <f t="shared" si="34"/>
        <v>0</v>
      </c>
      <c r="AA122" s="67"/>
      <c r="AC122" s="41" t="e">
        <f>VLOOKUP(A122,'Input Sheet'!$A$2:$B$232,2,0)</f>
        <v>#N/A</v>
      </c>
      <c r="AD122" s="70"/>
      <c r="AI122" s="68"/>
      <c r="AL122" s="107">
        <f t="shared" ca="1" si="56"/>
        <v>0</v>
      </c>
      <c r="AM122" s="49">
        <f t="shared" ca="1" si="57"/>
        <v>46996</v>
      </c>
      <c r="AN122" s="137" t="str">
        <f t="shared" ca="1" si="43"/>
        <v xml:space="preserve"> </v>
      </c>
      <c r="AO122" s="107">
        <f t="shared" ca="1" si="44"/>
        <v>0</v>
      </c>
      <c r="AP122" s="143">
        <f t="shared" ca="1" si="36"/>
        <v>0</v>
      </c>
      <c r="AQ122" s="143">
        <f t="shared" ca="1" si="45"/>
        <v>0</v>
      </c>
      <c r="AR122" s="49" t="str">
        <f t="shared" ca="1" si="37"/>
        <v xml:space="preserve"> </v>
      </c>
      <c r="AS122" s="107">
        <f t="shared" ca="1" si="38"/>
        <v>0</v>
      </c>
      <c r="AT122" s="107">
        <f t="shared" ca="1" si="39"/>
        <v>0</v>
      </c>
      <c r="AU122" s="107"/>
      <c r="AV122" s="107">
        <f ca="1">MAX(SUM($AQ$6:AQ122)-SUM($AT$6:AT122),0)</f>
        <v>0</v>
      </c>
      <c r="AW122" s="107">
        <f t="shared" ca="1" si="58"/>
        <v>0</v>
      </c>
      <c r="AX122" s="107">
        <v>0</v>
      </c>
      <c r="AY122" s="138" t="str">
        <f t="shared" ca="1" si="40"/>
        <v xml:space="preserve"> </v>
      </c>
      <c r="AZ122" s="107">
        <f t="shared" ca="1" si="41"/>
        <v>0</v>
      </c>
      <c r="BA122" s="107">
        <f ca="1">IF(AZ122=1,(SUM($AW$6:AW122,$AX$6:AX122)-SUM($BA$6:BA121)),0)</f>
        <v>0</v>
      </c>
      <c r="BB122" s="107"/>
      <c r="BC122" s="107">
        <f ca="1">AV122+SUM($AW$6:AW122)+SUM($AX$6:AX122)-SUM($BA$6:BA122)</f>
        <v>0</v>
      </c>
      <c r="BD122" s="107">
        <f t="shared" ca="1" si="46"/>
        <v>0</v>
      </c>
      <c r="BE122" s="51">
        <f ca="1">'PiT PD Structure'!J162</f>
        <v>5.7804264293470631E-5</v>
      </c>
      <c r="BF122" s="139">
        <f t="shared" ca="1" si="59"/>
        <v>0.45</v>
      </c>
      <c r="BG122" s="51">
        <f t="shared" ca="1" si="47"/>
        <v>1</v>
      </c>
      <c r="BH122" s="50">
        <f t="shared" ca="1" si="42"/>
        <v>0</v>
      </c>
      <c r="BI122" s="50">
        <f t="shared" ca="1" si="63"/>
        <v>3.4816594052244909E-13</v>
      </c>
      <c r="BJ122" s="140">
        <v>0</v>
      </c>
      <c r="BK122" s="140">
        <v>0</v>
      </c>
      <c r="BM122" s="78"/>
      <c r="BR122" s="75">
        <f t="shared" ca="1" si="33"/>
        <v>46996</v>
      </c>
      <c r="BS122" s="74">
        <f t="shared" ca="1" si="48"/>
        <v>8</v>
      </c>
      <c r="BT122" s="74">
        <f t="shared" ca="1" si="49"/>
        <v>0</v>
      </c>
      <c r="BU122" s="73" t="str">
        <f t="shared" ca="1" si="50"/>
        <v xml:space="preserve"> </v>
      </c>
      <c r="BW122" s="75">
        <f t="shared" ca="1" si="60"/>
        <v>46996</v>
      </c>
      <c r="BX122" s="74">
        <f t="shared" ca="1" si="61"/>
        <v>8</v>
      </c>
      <c r="BY122" s="74">
        <f t="shared" ca="1" si="51"/>
        <v>0</v>
      </c>
      <c r="BZ122" s="73" t="str">
        <f t="shared" ca="1" si="52"/>
        <v xml:space="preserve"> </v>
      </c>
      <c r="CB122" s="75">
        <f t="shared" ca="1" si="62"/>
        <v>46996</v>
      </c>
      <c r="CC122" s="74">
        <f t="shared" ca="1" si="53"/>
        <v>8</v>
      </c>
      <c r="CD122" s="74">
        <f t="shared" ca="1" si="54"/>
        <v>0</v>
      </c>
      <c r="CE122" s="73" t="str">
        <f t="shared" ca="1" si="55"/>
        <v xml:space="preserve"> </v>
      </c>
    </row>
    <row r="123" spans="1:83" x14ac:dyDescent="0.2">
      <c r="A123" s="38" t="str">
        <f t="shared" si="64"/>
        <v xml:space="preserve"> </v>
      </c>
      <c r="B123" s="108"/>
      <c r="C123" s="38"/>
      <c r="D123" s="137"/>
      <c r="E123" s="137"/>
      <c r="F123" s="137"/>
      <c r="G123" s="122"/>
      <c r="H123" s="137"/>
      <c r="I123" s="50"/>
      <c r="J123" s="50"/>
      <c r="K123" s="50"/>
      <c r="L123" s="38"/>
      <c r="M123" s="38"/>
      <c r="N123" s="38"/>
      <c r="O123" s="50"/>
      <c r="P123" s="218"/>
      <c r="Q123" s="50"/>
      <c r="R123" s="50"/>
      <c r="S123" s="38"/>
      <c r="T123" s="51"/>
      <c r="U123" s="65"/>
      <c r="V123" s="105"/>
      <c r="W123" s="66"/>
      <c r="X123" s="66"/>
      <c r="Y123" s="38"/>
      <c r="Z123" s="66">
        <f t="shared" si="34"/>
        <v>0</v>
      </c>
      <c r="AA123" s="67"/>
      <c r="AC123" s="41" t="e">
        <f>VLOOKUP(A123,'Input Sheet'!$A$2:$B$232,2,0)</f>
        <v>#N/A</v>
      </c>
      <c r="AD123" s="70"/>
      <c r="AI123" s="68"/>
      <c r="AL123" s="107">
        <f t="shared" ca="1" si="56"/>
        <v>0</v>
      </c>
      <c r="AM123" s="49">
        <f t="shared" ca="1" si="57"/>
        <v>47026</v>
      </c>
      <c r="AN123" s="137" t="str">
        <f t="shared" ca="1" si="43"/>
        <v xml:space="preserve"> </v>
      </c>
      <c r="AO123" s="107">
        <f t="shared" ca="1" si="44"/>
        <v>0</v>
      </c>
      <c r="AP123" s="143">
        <f t="shared" ca="1" si="36"/>
        <v>0</v>
      </c>
      <c r="AQ123" s="143">
        <f t="shared" ca="1" si="45"/>
        <v>0</v>
      </c>
      <c r="AR123" s="49" t="str">
        <f t="shared" ca="1" si="37"/>
        <v xml:space="preserve"> </v>
      </c>
      <c r="AS123" s="107">
        <f t="shared" ca="1" si="38"/>
        <v>0</v>
      </c>
      <c r="AT123" s="107">
        <f t="shared" ca="1" si="39"/>
        <v>0</v>
      </c>
      <c r="AU123" s="107"/>
      <c r="AV123" s="107">
        <f ca="1">MAX(SUM($AQ$6:AQ123)-SUM($AT$6:AT123),0)</f>
        <v>0</v>
      </c>
      <c r="AW123" s="107">
        <f t="shared" ca="1" si="58"/>
        <v>0</v>
      </c>
      <c r="AX123" s="107">
        <v>0</v>
      </c>
      <c r="AY123" s="138" t="str">
        <f t="shared" ca="1" si="40"/>
        <v xml:space="preserve"> </v>
      </c>
      <c r="AZ123" s="107">
        <f t="shared" ca="1" si="41"/>
        <v>0</v>
      </c>
      <c r="BA123" s="107">
        <f ca="1">IF(AZ123=1,(SUM($AW$6:AW123,$AX$6:AX123)-SUM($BA$6:BA122)),0)</f>
        <v>0</v>
      </c>
      <c r="BB123" s="107"/>
      <c r="BC123" s="107">
        <f ca="1">AV123+SUM($AW$6:AW123)+SUM($AX$6:AX123)-SUM($BA$6:BA123)</f>
        <v>0</v>
      </c>
      <c r="BD123" s="107">
        <f t="shared" ca="1" si="46"/>
        <v>0</v>
      </c>
      <c r="BE123" s="51">
        <f ca="1">'PiT PD Structure'!J163</f>
        <v>5.7800887518721922E-5</v>
      </c>
      <c r="BF123" s="139">
        <f t="shared" ca="1" si="59"/>
        <v>0.45</v>
      </c>
      <c r="BG123" s="51">
        <f t="shared" ca="1" si="47"/>
        <v>1</v>
      </c>
      <c r="BH123" s="50">
        <f t="shared" ca="1" si="42"/>
        <v>0</v>
      </c>
      <c r="BI123" s="50">
        <f t="shared" ca="1" si="63"/>
        <v>3.4816594052244909E-13</v>
      </c>
      <c r="BJ123" s="140">
        <v>0</v>
      </c>
      <c r="BK123" s="140">
        <v>0</v>
      </c>
      <c r="BM123" s="78"/>
      <c r="BR123" s="75">
        <f t="shared" ca="1" si="33"/>
        <v>47026</v>
      </c>
      <c r="BS123" s="74">
        <f t="shared" ca="1" si="48"/>
        <v>9</v>
      </c>
      <c r="BT123" s="74">
        <f t="shared" ca="1" si="49"/>
        <v>0</v>
      </c>
      <c r="BU123" s="73" t="str">
        <f t="shared" ca="1" si="50"/>
        <v xml:space="preserve"> </v>
      </c>
      <c r="BW123" s="75">
        <f t="shared" ca="1" si="60"/>
        <v>47026</v>
      </c>
      <c r="BX123" s="74">
        <f t="shared" ca="1" si="61"/>
        <v>9</v>
      </c>
      <c r="BY123" s="74">
        <f t="shared" ca="1" si="51"/>
        <v>0</v>
      </c>
      <c r="BZ123" s="73" t="str">
        <f t="shared" ca="1" si="52"/>
        <v xml:space="preserve"> </v>
      </c>
      <c r="CB123" s="75">
        <f t="shared" ca="1" si="62"/>
        <v>47026</v>
      </c>
      <c r="CC123" s="74">
        <f t="shared" ca="1" si="53"/>
        <v>9</v>
      </c>
      <c r="CD123" s="74">
        <f t="shared" ca="1" si="54"/>
        <v>0</v>
      </c>
      <c r="CE123" s="73" t="str">
        <f t="shared" ca="1" si="55"/>
        <v xml:space="preserve"> </v>
      </c>
    </row>
    <row r="124" spans="1:83" x14ac:dyDescent="0.2">
      <c r="A124" s="38" t="str">
        <f t="shared" si="64"/>
        <v xml:space="preserve"> </v>
      </c>
      <c r="B124" s="108"/>
      <c r="C124" s="38"/>
      <c r="D124" s="137"/>
      <c r="E124" s="137"/>
      <c r="F124" s="137"/>
      <c r="G124" s="122"/>
      <c r="H124" s="137"/>
      <c r="I124" s="50"/>
      <c r="J124" s="50"/>
      <c r="K124" s="50"/>
      <c r="L124" s="38"/>
      <c r="M124" s="38"/>
      <c r="N124" s="38"/>
      <c r="O124" s="50"/>
      <c r="P124" s="218"/>
      <c r="Q124" s="50"/>
      <c r="R124" s="50"/>
      <c r="S124" s="38"/>
      <c r="T124" s="51"/>
      <c r="U124" s="65"/>
      <c r="V124" s="105"/>
      <c r="W124" s="66"/>
      <c r="X124" s="66"/>
      <c r="Y124" s="38"/>
      <c r="Z124" s="66">
        <f t="shared" si="34"/>
        <v>0</v>
      </c>
      <c r="AA124" s="67"/>
      <c r="AC124" s="41" t="e">
        <f>VLOOKUP(A124,'Input Sheet'!$A$2:$B$232,2,0)</f>
        <v>#N/A</v>
      </c>
      <c r="AD124" s="70"/>
      <c r="AI124" s="68"/>
      <c r="AL124" s="107">
        <f t="shared" ca="1" si="56"/>
        <v>0</v>
      </c>
      <c r="AM124" s="49">
        <f t="shared" ca="1" si="57"/>
        <v>47057</v>
      </c>
      <c r="AN124" s="137" t="str">
        <f t="shared" ca="1" si="43"/>
        <v xml:space="preserve"> </v>
      </c>
      <c r="AO124" s="107">
        <f t="shared" ca="1" si="44"/>
        <v>0</v>
      </c>
      <c r="AP124" s="143">
        <f t="shared" ca="1" si="36"/>
        <v>0</v>
      </c>
      <c r="AQ124" s="143">
        <f t="shared" ca="1" si="45"/>
        <v>0</v>
      </c>
      <c r="AR124" s="49" t="str">
        <f t="shared" ca="1" si="37"/>
        <v xml:space="preserve"> </v>
      </c>
      <c r="AS124" s="107">
        <f t="shared" ca="1" si="38"/>
        <v>0</v>
      </c>
      <c r="AT124" s="107">
        <f t="shared" ca="1" si="39"/>
        <v>0</v>
      </c>
      <c r="AU124" s="107"/>
      <c r="AV124" s="107">
        <f ca="1">MAX(SUM($AQ$6:AQ124)-SUM($AT$6:AT124),0)</f>
        <v>0</v>
      </c>
      <c r="AW124" s="107">
        <f t="shared" ca="1" si="58"/>
        <v>0</v>
      </c>
      <c r="AX124" s="107">
        <v>0</v>
      </c>
      <c r="AY124" s="138" t="str">
        <f t="shared" ca="1" si="40"/>
        <v xml:space="preserve"> </v>
      </c>
      <c r="AZ124" s="107">
        <f t="shared" ca="1" si="41"/>
        <v>0</v>
      </c>
      <c r="BA124" s="107">
        <f ca="1">IF(AZ124=1,(SUM($AW$6:AW124,$AX$6:AX124)-SUM($BA$6:BA123)),0)</f>
        <v>0</v>
      </c>
      <c r="BB124" s="107"/>
      <c r="BC124" s="107">
        <f ca="1">AV124+SUM($AW$6:AW124)+SUM($AX$6:AX124)-SUM($BA$6:BA124)</f>
        <v>0</v>
      </c>
      <c r="BD124" s="107">
        <f t="shared" ca="1" si="46"/>
        <v>0</v>
      </c>
      <c r="BE124" s="51">
        <f ca="1">'PiT PD Structure'!J164</f>
        <v>5.7797510941259844E-5</v>
      </c>
      <c r="BF124" s="139">
        <f t="shared" ca="1" si="59"/>
        <v>0.45</v>
      </c>
      <c r="BG124" s="51">
        <f t="shared" ca="1" si="47"/>
        <v>1</v>
      </c>
      <c r="BH124" s="50">
        <f t="shared" ca="1" si="42"/>
        <v>0</v>
      </c>
      <c r="BI124" s="50">
        <f t="shared" ca="1" si="63"/>
        <v>3.4816594052244909E-13</v>
      </c>
      <c r="BJ124" s="140">
        <v>0</v>
      </c>
      <c r="BK124" s="140">
        <v>0</v>
      </c>
      <c r="BM124" s="78"/>
      <c r="BR124" s="75">
        <f t="shared" ca="1" si="33"/>
        <v>47057</v>
      </c>
      <c r="BS124" s="74">
        <f t="shared" ca="1" si="48"/>
        <v>10</v>
      </c>
      <c r="BT124" s="74">
        <f t="shared" ca="1" si="49"/>
        <v>0</v>
      </c>
      <c r="BU124" s="73" t="str">
        <f t="shared" ca="1" si="50"/>
        <v xml:space="preserve"> </v>
      </c>
      <c r="BW124" s="75">
        <f t="shared" ca="1" si="60"/>
        <v>47057</v>
      </c>
      <c r="BX124" s="74">
        <f t="shared" ca="1" si="61"/>
        <v>10</v>
      </c>
      <c r="BY124" s="74">
        <f t="shared" ca="1" si="51"/>
        <v>0</v>
      </c>
      <c r="BZ124" s="73" t="str">
        <f t="shared" ca="1" si="52"/>
        <v xml:space="preserve"> </v>
      </c>
      <c r="CB124" s="75">
        <f t="shared" ca="1" si="62"/>
        <v>47057</v>
      </c>
      <c r="CC124" s="74">
        <f t="shared" ca="1" si="53"/>
        <v>10</v>
      </c>
      <c r="CD124" s="74">
        <f t="shared" ca="1" si="54"/>
        <v>0</v>
      </c>
      <c r="CE124" s="73" t="str">
        <f t="shared" ca="1" si="55"/>
        <v xml:space="preserve"> </v>
      </c>
    </row>
    <row r="125" spans="1:83" x14ac:dyDescent="0.2">
      <c r="A125" s="38" t="str">
        <f t="shared" si="64"/>
        <v xml:space="preserve"> </v>
      </c>
      <c r="B125" s="108"/>
      <c r="C125" s="38"/>
      <c r="D125" s="137"/>
      <c r="E125" s="137"/>
      <c r="F125" s="137"/>
      <c r="G125" s="122"/>
      <c r="H125" s="137"/>
      <c r="I125" s="50"/>
      <c r="J125" s="50"/>
      <c r="K125" s="50"/>
      <c r="L125" s="38"/>
      <c r="M125" s="38"/>
      <c r="N125" s="38"/>
      <c r="O125" s="50"/>
      <c r="P125" s="218"/>
      <c r="Q125" s="50"/>
      <c r="R125" s="50"/>
      <c r="S125" s="38"/>
      <c r="T125" s="51"/>
      <c r="U125" s="65"/>
      <c r="V125" s="105"/>
      <c r="W125" s="66"/>
      <c r="X125" s="66"/>
      <c r="Y125" s="38"/>
      <c r="Z125" s="66">
        <f t="shared" si="34"/>
        <v>0</v>
      </c>
      <c r="AA125" s="67"/>
      <c r="AC125" s="41" t="e">
        <f>VLOOKUP(A125,'Input Sheet'!$A$2:$B$232,2,0)</f>
        <v>#N/A</v>
      </c>
      <c r="AD125" s="70"/>
      <c r="AI125" s="68"/>
      <c r="AL125" s="107">
        <f t="shared" ca="1" si="56"/>
        <v>0</v>
      </c>
      <c r="AM125" s="49">
        <f t="shared" ca="1" si="57"/>
        <v>47087</v>
      </c>
      <c r="AN125" s="137" t="str">
        <f t="shared" ca="1" si="43"/>
        <v xml:space="preserve"> </v>
      </c>
      <c r="AO125" s="107">
        <f t="shared" ca="1" si="44"/>
        <v>0</v>
      </c>
      <c r="AP125" s="143">
        <f t="shared" ca="1" si="36"/>
        <v>0</v>
      </c>
      <c r="AQ125" s="143">
        <f t="shared" ca="1" si="45"/>
        <v>0</v>
      </c>
      <c r="AR125" s="49" t="str">
        <f t="shared" ca="1" si="37"/>
        <v xml:space="preserve"> </v>
      </c>
      <c r="AS125" s="107">
        <f t="shared" ca="1" si="38"/>
        <v>0</v>
      </c>
      <c r="AT125" s="107">
        <f t="shared" ca="1" si="39"/>
        <v>0</v>
      </c>
      <c r="AU125" s="107"/>
      <c r="AV125" s="107">
        <f ca="1">MAX(SUM($AQ$6:AQ125)-SUM($AT$6:AT125),0)</f>
        <v>0</v>
      </c>
      <c r="AW125" s="107">
        <f t="shared" ca="1" si="58"/>
        <v>0</v>
      </c>
      <c r="AX125" s="107">
        <v>0</v>
      </c>
      <c r="AY125" s="138" t="str">
        <f t="shared" ca="1" si="40"/>
        <v xml:space="preserve"> </v>
      </c>
      <c r="AZ125" s="107">
        <f t="shared" ca="1" si="41"/>
        <v>0</v>
      </c>
      <c r="BA125" s="107">
        <f ca="1">IF(AZ125=1,(SUM($AW$6:AW125,$AX$6:AX125)-SUM($BA$6:BA124)),0)</f>
        <v>0</v>
      </c>
      <c r="BB125" s="107"/>
      <c r="BC125" s="107">
        <f ca="1">AV125+SUM($AW$6:AW125)+SUM($AX$6:AX125)-SUM($BA$6:BA125)</f>
        <v>0</v>
      </c>
      <c r="BD125" s="107">
        <f t="shared" ca="1" si="46"/>
        <v>0</v>
      </c>
      <c r="BE125" s="51">
        <f ca="1">'PiT PD Structure'!J165</f>
        <v>5.7794134560973376E-5</v>
      </c>
      <c r="BF125" s="139">
        <f t="shared" ca="1" si="59"/>
        <v>0.45</v>
      </c>
      <c r="BG125" s="51">
        <f t="shared" ca="1" si="47"/>
        <v>1</v>
      </c>
      <c r="BH125" s="50">
        <f t="shared" ca="1" si="42"/>
        <v>0</v>
      </c>
      <c r="BI125" s="50">
        <f t="shared" ca="1" si="63"/>
        <v>3.4816594052244909E-13</v>
      </c>
      <c r="BJ125" s="140">
        <v>0</v>
      </c>
      <c r="BK125" s="140">
        <v>0</v>
      </c>
      <c r="BM125" s="78"/>
      <c r="BR125" s="75">
        <f t="shared" ca="1" si="33"/>
        <v>47087</v>
      </c>
      <c r="BS125" s="74">
        <f t="shared" ca="1" si="48"/>
        <v>11</v>
      </c>
      <c r="BT125" s="74">
        <f t="shared" ca="1" si="49"/>
        <v>0</v>
      </c>
      <c r="BU125" s="73" t="str">
        <f t="shared" ca="1" si="50"/>
        <v xml:space="preserve"> </v>
      </c>
      <c r="BW125" s="75">
        <f t="shared" ca="1" si="60"/>
        <v>47087</v>
      </c>
      <c r="BX125" s="74">
        <f t="shared" ca="1" si="61"/>
        <v>11</v>
      </c>
      <c r="BY125" s="74">
        <f t="shared" ca="1" si="51"/>
        <v>0</v>
      </c>
      <c r="BZ125" s="73" t="str">
        <f t="shared" ca="1" si="52"/>
        <v xml:space="preserve"> </v>
      </c>
      <c r="CB125" s="75">
        <f t="shared" ca="1" si="62"/>
        <v>47087</v>
      </c>
      <c r="CC125" s="74">
        <f t="shared" ca="1" si="53"/>
        <v>11</v>
      </c>
      <c r="CD125" s="74">
        <f t="shared" ca="1" si="54"/>
        <v>0</v>
      </c>
      <c r="CE125" s="73" t="str">
        <f t="shared" ca="1" si="55"/>
        <v xml:space="preserve"> </v>
      </c>
    </row>
    <row r="126" spans="1:83" x14ac:dyDescent="0.2">
      <c r="A126" s="38" t="str">
        <f t="shared" si="64"/>
        <v xml:space="preserve"> </v>
      </c>
      <c r="B126" s="108"/>
      <c r="C126" s="38"/>
      <c r="D126" s="137"/>
      <c r="E126" s="137"/>
      <c r="F126" s="137"/>
      <c r="G126" s="122"/>
      <c r="H126" s="137"/>
      <c r="I126" s="50"/>
      <c r="J126" s="50"/>
      <c r="K126" s="50"/>
      <c r="L126" s="38"/>
      <c r="M126" s="38"/>
      <c r="N126" s="38"/>
      <c r="O126" s="50"/>
      <c r="P126" s="218"/>
      <c r="Q126" s="50"/>
      <c r="R126" s="50"/>
      <c r="S126" s="38"/>
      <c r="T126" s="51"/>
      <c r="U126" s="65"/>
      <c r="V126" s="105"/>
      <c r="W126" s="66"/>
      <c r="X126" s="66"/>
      <c r="Y126" s="38"/>
      <c r="Z126" s="66">
        <f t="shared" si="34"/>
        <v>0</v>
      </c>
      <c r="AA126" s="67"/>
      <c r="AC126" s="41" t="e">
        <f>VLOOKUP(A126,'Input Sheet'!$A$2:$B$232,2,0)</f>
        <v>#N/A</v>
      </c>
      <c r="AD126" s="70"/>
      <c r="AI126" s="68"/>
      <c r="AL126" s="107">
        <f t="shared" ca="1" si="56"/>
        <v>0</v>
      </c>
      <c r="AM126" s="49">
        <f t="shared" ca="1" si="57"/>
        <v>47118</v>
      </c>
      <c r="AN126" s="137" t="str">
        <f t="shared" ca="1" si="43"/>
        <v xml:space="preserve"> </v>
      </c>
      <c r="AO126" s="107">
        <f t="shared" ca="1" si="44"/>
        <v>0</v>
      </c>
      <c r="AP126" s="143">
        <f t="shared" ca="1" si="36"/>
        <v>0</v>
      </c>
      <c r="AQ126" s="143">
        <f t="shared" ca="1" si="45"/>
        <v>0</v>
      </c>
      <c r="AR126" s="49" t="str">
        <f t="shared" ca="1" si="37"/>
        <v xml:space="preserve"> </v>
      </c>
      <c r="AS126" s="107">
        <f t="shared" ca="1" si="38"/>
        <v>0</v>
      </c>
      <c r="AT126" s="107">
        <f t="shared" ca="1" si="39"/>
        <v>0</v>
      </c>
      <c r="AU126" s="107"/>
      <c r="AV126" s="107">
        <f ca="1">MAX(SUM($AQ$6:AQ126)-SUM($AT$6:AT126),0)</f>
        <v>0</v>
      </c>
      <c r="AW126" s="107">
        <f t="shared" ca="1" si="58"/>
        <v>0</v>
      </c>
      <c r="AX126" s="107">
        <v>0</v>
      </c>
      <c r="AY126" s="138" t="str">
        <f t="shared" ca="1" si="40"/>
        <v xml:space="preserve"> </v>
      </c>
      <c r="AZ126" s="107">
        <f t="shared" ca="1" si="41"/>
        <v>0</v>
      </c>
      <c r="BA126" s="107">
        <f ca="1">IF(AZ126=1,(SUM($AW$6:AW126,$AX$6:AX126)-SUM($BA$6:BA125)),0)</f>
        <v>0</v>
      </c>
      <c r="BB126" s="107"/>
      <c r="BC126" s="107">
        <f ca="1">AV126+SUM($AW$6:AW126)+SUM($AX$6:AX126)-SUM($BA$6:BA126)</f>
        <v>0</v>
      </c>
      <c r="BD126" s="107">
        <f t="shared" ca="1" si="46"/>
        <v>0</v>
      </c>
      <c r="BE126" s="51">
        <f ca="1">'PiT PD Structure'!J166</f>
        <v>1.2967658280125249E-3</v>
      </c>
      <c r="BF126" s="139">
        <f t="shared" ca="1" si="59"/>
        <v>0.45</v>
      </c>
      <c r="BG126" s="51">
        <f t="shared" ca="1" si="47"/>
        <v>1</v>
      </c>
      <c r="BH126" s="50">
        <f t="shared" ca="1" si="42"/>
        <v>0</v>
      </c>
      <c r="BI126" s="50">
        <f t="shared" ca="1" si="63"/>
        <v>3.4816594052244909E-13</v>
      </c>
      <c r="BJ126" s="140">
        <v>0</v>
      </c>
      <c r="BK126" s="140">
        <v>0</v>
      </c>
      <c r="BM126" s="78"/>
      <c r="BR126" s="75">
        <f t="shared" ca="1" si="33"/>
        <v>47118</v>
      </c>
      <c r="BS126" s="74">
        <f t="shared" ca="1" si="48"/>
        <v>12</v>
      </c>
      <c r="BT126" s="74">
        <f t="shared" ca="1" si="49"/>
        <v>0</v>
      </c>
      <c r="BU126" s="73" t="str">
        <f t="shared" ca="1" si="50"/>
        <v xml:space="preserve"> </v>
      </c>
      <c r="BW126" s="75">
        <f t="shared" ca="1" si="60"/>
        <v>47118</v>
      </c>
      <c r="BX126" s="74">
        <f t="shared" ca="1" si="61"/>
        <v>12</v>
      </c>
      <c r="BY126" s="74">
        <f t="shared" ca="1" si="51"/>
        <v>0</v>
      </c>
      <c r="BZ126" s="73" t="str">
        <f t="shared" ca="1" si="52"/>
        <v xml:space="preserve"> </v>
      </c>
      <c r="CB126" s="75">
        <f t="shared" ca="1" si="62"/>
        <v>47118</v>
      </c>
      <c r="CC126" s="74">
        <f t="shared" ca="1" si="53"/>
        <v>12</v>
      </c>
      <c r="CD126" s="74">
        <f t="shared" ca="1" si="54"/>
        <v>0</v>
      </c>
      <c r="CE126" s="73" t="str">
        <f t="shared" ca="1" si="55"/>
        <v xml:space="preserve"> </v>
      </c>
    </row>
    <row r="127" spans="1:83" x14ac:dyDescent="0.2">
      <c r="A127" s="38" t="str">
        <f t="shared" si="64"/>
        <v xml:space="preserve"> </v>
      </c>
      <c r="B127" s="108"/>
      <c r="C127" s="38"/>
      <c r="D127" s="137"/>
      <c r="E127" s="137"/>
      <c r="F127" s="137"/>
      <c r="G127" s="122"/>
      <c r="H127" s="137"/>
      <c r="I127" s="50"/>
      <c r="J127" s="50"/>
      <c r="K127" s="50"/>
      <c r="L127" s="38"/>
      <c r="M127" s="38"/>
      <c r="N127" s="38"/>
      <c r="O127" s="50"/>
      <c r="P127" s="218"/>
      <c r="Q127" s="50"/>
      <c r="R127" s="50"/>
      <c r="S127" s="38"/>
      <c r="T127" s="51"/>
      <c r="U127" s="65"/>
      <c r="V127" s="105"/>
      <c r="W127" s="66"/>
      <c r="X127" s="66"/>
      <c r="Y127" s="38"/>
      <c r="Z127" s="66">
        <f t="shared" si="34"/>
        <v>0</v>
      </c>
      <c r="AA127" s="67"/>
      <c r="AC127" s="41" t="e">
        <f>VLOOKUP(A127,'Input Sheet'!$A$2:$B$232,2,0)</f>
        <v>#N/A</v>
      </c>
      <c r="AD127" s="70"/>
      <c r="AI127" s="68"/>
      <c r="AL127" s="107">
        <f t="shared" ca="1" si="56"/>
        <v>0</v>
      </c>
      <c r="AM127" s="49">
        <f t="shared" ca="1" si="57"/>
        <v>47149</v>
      </c>
      <c r="AN127" s="137" t="str">
        <f t="shared" ca="1" si="43"/>
        <v xml:space="preserve"> </v>
      </c>
      <c r="AO127" s="107">
        <f t="shared" ca="1" si="44"/>
        <v>0</v>
      </c>
      <c r="AP127" s="143">
        <f t="shared" ca="1" si="36"/>
        <v>0</v>
      </c>
      <c r="AQ127" s="143">
        <f t="shared" ca="1" si="45"/>
        <v>0</v>
      </c>
      <c r="AR127" s="49" t="str">
        <f t="shared" ca="1" si="37"/>
        <v xml:space="preserve"> </v>
      </c>
      <c r="AS127" s="107">
        <f t="shared" ca="1" si="38"/>
        <v>0</v>
      </c>
      <c r="AT127" s="107">
        <f t="shared" ca="1" si="39"/>
        <v>0</v>
      </c>
      <c r="AU127" s="107"/>
      <c r="AV127" s="107">
        <f ca="1">MAX(SUM($AQ$6:AQ127)-SUM($AT$6:AT127),0)</f>
        <v>0</v>
      </c>
      <c r="AW127" s="107">
        <f t="shared" ca="1" si="58"/>
        <v>0</v>
      </c>
      <c r="AX127" s="107">
        <v>0</v>
      </c>
      <c r="AY127" s="138" t="str">
        <f t="shared" ca="1" si="40"/>
        <v xml:space="preserve"> </v>
      </c>
      <c r="AZ127" s="107">
        <f t="shared" ca="1" si="41"/>
        <v>0</v>
      </c>
      <c r="BA127" s="107">
        <f ca="1">IF(AZ127=1,(SUM($AW$6:AW127,$AX$6:AX127)-SUM($BA$6:BA126)),0)</f>
        <v>0</v>
      </c>
      <c r="BB127" s="107"/>
      <c r="BC127" s="107">
        <f ca="1">AV127+SUM($AW$6:AW127)+SUM($AX$6:AX127)-SUM($BA$6:BA127)</f>
        <v>0</v>
      </c>
      <c r="BD127" s="107">
        <f t="shared" ca="1" si="46"/>
        <v>0</v>
      </c>
      <c r="BE127" s="51">
        <f ca="1">'PiT PD Structure'!J167</f>
        <v>6.2720190995513292E-5</v>
      </c>
      <c r="BF127" s="139">
        <f t="shared" ca="1" si="59"/>
        <v>0.45</v>
      </c>
      <c r="BG127" s="51">
        <f t="shared" ca="1" si="47"/>
        <v>1</v>
      </c>
      <c r="BH127" s="50">
        <f t="shared" ca="1" si="42"/>
        <v>0</v>
      </c>
      <c r="BI127" s="50">
        <f t="shared" ca="1" si="63"/>
        <v>3.4816594052244909E-13</v>
      </c>
      <c r="BJ127" s="140">
        <v>0</v>
      </c>
      <c r="BK127" s="140">
        <v>0</v>
      </c>
      <c r="BM127" s="78"/>
      <c r="BR127" s="75">
        <f t="shared" ca="1" si="33"/>
        <v>47149</v>
      </c>
      <c r="BS127" s="74">
        <f t="shared" ca="1" si="48"/>
        <v>1</v>
      </c>
      <c r="BT127" s="74">
        <f t="shared" ca="1" si="49"/>
        <v>0</v>
      </c>
      <c r="BU127" s="73" t="str">
        <f t="shared" ca="1" si="50"/>
        <v xml:space="preserve"> </v>
      </c>
      <c r="BW127" s="75">
        <f t="shared" ca="1" si="60"/>
        <v>47149</v>
      </c>
      <c r="BX127" s="74">
        <f t="shared" ca="1" si="61"/>
        <v>1</v>
      </c>
      <c r="BY127" s="74">
        <f t="shared" ca="1" si="51"/>
        <v>0</v>
      </c>
      <c r="BZ127" s="73" t="str">
        <f t="shared" ca="1" si="52"/>
        <v xml:space="preserve"> </v>
      </c>
      <c r="CB127" s="75">
        <f t="shared" ca="1" si="62"/>
        <v>47149</v>
      </c>
      <c r="CC127" s="74">
        <f t="shared" ca="1" si="53"/>
        <v>1</v>
      </c>
      <c r="CD127" s="74">
        <f t="shared" ca="1" si="54"/>
        <v>0</v>
      </c>
      <c r="CE127" s="73" t="str">
        <f t="shared" ca="1" si="55"/>
        <v xml:space="preserve"> </v>
      </c>
    </row>
    <row r="128" spans="1:83" x14ac:dyDescent="0.2">
      <c r="A128" s="38" t="str">
        <f t="shared" si="64"/>
        <v xml:space="preserve"> </v>
      </c>
      <c r="B128" s="108"/>
      <c r="C128" s="38"/>
      <c r="D128" s="137"/>
      <c r="E128" s="137"/>
      <c r="F128" s="137"/>
      <c r="G128" s="122"/>
      <c r="H128" s="137"/>
      <c r="I128" s="50"/>
      <c r="J128" s="50"/>
      <c r="K128" s="50"/>
      <c r="L128" s="38"/>
      <c r="M128" s="38"/>
      <c r="N128" s="38"/>
      <c r="O128" s="50"/>
      <c r="P128" s="218"/>
      <c r="Q128" s="50"/>
      <c r="R128" s="50"/>
      <c r="S128" s="38"/>
      <c r="T128" s="51"/>
      <c r="U128" s="65"/>
      <c r="V128" s="105"/>
      <c r="W128" s="66"/>
      <c r="X128" s="66"/>
      <c r="Y128" s="38"/>
      <c r="Z128" s="66">
        <f t="shared" si="34"/>
        <v>0</v>
      </c>
      <c r="AA128" s="67"/>
      <c r="AC128" s="41" t="e">
        <f>VLOOKUP(A128,'Input Sheet'!$A$2:$B$232,2,0)</f>
        <v>#N/A</v>
      </c>
      <c r="AD128" s="70"/>
      <c r="AI128" s="68"/>
      <c r="AL128" s="107">
        <f t="shared" ca="1" si="56"/>
        <v>0</v>
      </c>
      <c r="AM128" s="49">
        <f t="shared" ca="1" si="57"/>
        <v>47177</v>
      </c>
      <c r="AN128" s="137" t="str">
        <f t="shared" ca="1" si="43"/>
        <v xml:space="preserve"> </v>
      </c>
      <c r="AO128" s="107">
        <f t="shared" ca="1" si="44"/>
        <v>0</v>
      </c>
      <c r="AP128" s="143">
        <f t="shared" ca="1" si="36"/>
        <v>0</v>
      </c>
      <c r="AQ128" s="143">
        <f t="shared" ca="1" si="45"/>
        <v>0</v>
      </c>
      <c r="AR128" s="49" t="str">
        <f t="shared" ca="1" si="37"/>
        <v xml:space="preserve"> </v>
      </c>
      <c r="AS128" s="107">
        <f t="shared" ca="1" si="38"/>
        <v>0</v>
      </c>
      <c r="AT128" s="107">
        <f t="shared" ca="1" si="39"/>
        <v>0</v>
      </c>
      <c r="AU128" s="107"/>
      <c r="AV128" s="107">
        <f ca="1">MAX(SUM($AQ$6:AQ128)-SUM($AT$6:AT128),0)</f>
        <v>0</v>
      </c>
      <c r="AW128" s="107">
        <f t="shared" ca="1" si="58"/>
        <v>0</v>
      </c>
      <c r="AX128" s="107">
        <v>0</v>
      </c>
      <c r="AY128" s="138" t="str">
        <f t="shared" ca="1" si="40"/>
        <v xml:space="preserve"> </v>
      </c>
      <c r="AZ128" s="107">
        <f t="shared" ca="1" si="41"/>
        <v>0</v>
      </c>
      <c r="BA128" s="107">
        <f ca="1">IF(AZ128=1,(SUM($AW$6:AW128,$AX$6:AX128)-SUM($BA$6:BA127)),0)</f>
        <v>0</v>
      </c>
      <c r="BB128" s="107"/>
      <c r="BC128" s="107">
        <f ca="1">AV128+SUM($AW$6:AW128)+SUM($AX$6:AX128)-SUM($BA$6:BA128)</f>
        <v>0</v>
      </c>
      <c r="BD128" s="107">
        <f t="shared" ca="1" si="46"/>
        <v>0</v>
      </c>
      <c r="BE128" s="51">
        <f ca="1">'PiT PD Structure'!J168</f>
        <v>6.2716209298430137E-5</v>
      </c>
      <c r="BF128" s="139">
        <f t="shared" ca="1" si="59"/>
        <v>0.45</v>
      </c>
      <c r="BG128" s="51">
        <f t="shared" ca="1" si="47"/>
        <v>1</v>
      </c>
      <c r="BH128" s="50">
        <f t="shared" ca="1" si="42"/>
        <v>0</v>
      </c>
      <c r="BI128" s="50">
        <f t="shared" ca="1" si="63"/>
        <v>3.4816594052244909E-13</v>
      </c>
      <c r="BJ128" s="140">
        <v>0</v>
      </c>
      <c r="BK128" s="140">
        <v>0</v>
      </c>
      <c r="BM128" s="78"/>
      <c r="BR128" s="75">
        <f t="shared" ca="1" si="33"/>
        <v>47177</v>
      </c>
      <c r="BS128" s="74">
        <f t="shared" ca="1" si="48"/>
        <v>2</v>
      </c>
      <c r="BT128" s="74">
        <f t="shared" ca="1" si="49"/>
        <v>0</v>
      </c>
      <c r="BU128" s="73" t="str">
        <f t="shared" ca="1" si="50"/>
        <v xml:space="preserve"> </v>
      </c>
      <c r="BW128" s="75">
        <f t="shared" ca="1" si="60"/>
        <v>47177</v>
      </c>
      <c r="BX128" s="74">
        <f t="shared" ca="1" si="61"/>
        <v>2</v>
      </c>
      <c r="BY128" s="74">
        <f t="shared" ca="1" si="51"/>
        <v>0</v>
      </c>
      <c r="BZ128" s="73" t="str">
        <f t="shared" ca="1" si="52"/>
        <v xml:space="preserve"> </v>
      </c>
      <c r="CB128" s="75">
        <f t="shared" ca="1" si="62"/>
        <v>47177</v>
      </c>
      <c r="CC128" s="74">
        <f t="shared" ca="1" si="53"/>
        <v>2</v>
      </c>
      <c r="CD128" s="74">
        <f t="shared" ca="1" si="54"/>
        <v>0</v>
      </c>
      <c r="CE128" s="73" t="str">
        <f t="shared" ca="1" si="55"/>
        <v xml:space="preserve"> </v>
      </c>
    </row>
    <row r="129" spans="1:83" x14ac:dyDescent="0.2">
      <c r="A129" s="38" t="str">
        <f t="shared" si="64"/>
        <v xml:space="preserve"> </v>
      </c>
      <c r="B129" s="108"/>
      <c r="C129" s="38"/>
      <c r="D129" s="137"/>
      <c r="E129" s="137"/>
      <c r="F129" s="137"/>
      <c r="G129" s="122"/>
      <c r="H129" s="137"/>
      <c r="I129" s="50"/>
      <c r="J129" s="50"/>
      <c r="K129" s="50"/>
      <c r="L129" s="38"/>
      <c r="M129" s="38"/>
      <c r="N129" s="38"/>
      <c r="O129" s="50"/>
      <c r="P129" s="218"/>
      <c r="Q129" s="50"/>
      <c r="R129" s="50"/>
      <c r="S129" s="38"/>
      <c r="T129" s="51"/>
      <c r="U129" s="65"/>
      <c r="V129" s="105"/>
      <c r="W129" s="66"/>
      <c r="X129" s="66"/>
      <c r="Y129" s="38"/>
      <c r="Z129" s="66">
        <f t="shared" si="34"/>
        <v>0</v>
      </c>
      <c r="AA129" s="67"/>
      <c r="AC129" s="41" t="e">
        <f>VLOOKUP(A129,'Input Sheet'!$A$2:$B$232,2,0)</f>
        <v>#N/A</v>
      </c>
      <c r="AD129" s="70"/>
      <c r="AI129" s="68"/>
      <c r="AL129" s="107">
        <f t="shared" ca="1" si="56"/>
        <v>0</v>
      </c>
      <c r="AM129" s="49">
        <f t="shared" ca="1" si="57"/>
        <v>47208</v>
      </c>
      <c r="AN129" s="137" t="str">
        <f t="shared" ca="1" si="43"/>
        <v xml:space="preserve"> </v>
      </c>
      <c r="AO129" s="107">
        <f t="shared" ca="1" si="44"/>
        <v>0</v>
      </c>
      <c r="AP129" s="143">
        <f t="shared" ca="1" si="36"/>
        <v>0</v>
      </c>
      <c r="AQ129" s="143">
        <f t="shared" ca="1" si="45"/>
        <v>0</v>
      </c>
      <c r="AR129" s="49" t="str">
        <f t="shared" ca="1" si="37"/>
        <v xml:space="preserve"> </v>
      </c>
      <c r="AS129" s="107">
        <f t="shared" ca="1" si="38"/>
        <v>0</v>
      </c>
      <c r="AT129" s="107">
        <f t="shared" ca="1" si="39"/>
        <v>0</v>
      </c>
      <c r="AU129" s="107"/>
      <c r="AV129" s="107">
        <f ca="1">MAX(SUM($AQ$6:AQ129)-SUM($AT$6:AT129),0)</f>
        <v>0</v>
      </c>
      <c r="AW129" s="107">
        <f t="shared" ca="1" si="58"/>
        <v>0</v>
      </c>
      <c r="AX129" s="107">
        <v>0</v>
      </c>
      <c r="AY129" s="138" t="str">
        <f t="shared" ca="1" si="40"/>
        <v xml:space="preserve"> </v>
      </c>
      <c r="AZ129" s="107">
        <f t="shared" ca="1" si="41"/>
        <v>0</v>
      </c>
      <c r="BA129" s="107">
        <f ca="1">IF(AZ129=1,(SUM($AW$6:AW129,$AX$6:AX129)-SUM($BA$6:BA128)),0)</f>
        <v>0</v>
      </c>
      <c r="BB129" s="107"/>
      <c r="BC129" s="107">
        <f ca="1">AV129+SUM($AW$6:AW129)+SUM($AX$6:AX129)-SUM($BA$6:BA129)</f>
        <v>0</v>
      </c>
      <c r="BD129" s="107">
        <f t="shared" ca="1" si="46"/>
        <v>0</v>
      </c>
      <c r="BE129" s="51">
        <f ca="1">'PiT PD Structure'!J169</f>
        <v>6.271222785392272E-5</v>
      </c>
      <c r="BF129" s="139">
        <f t="shared" ca="1" si="59"/>
        <v>0.45</v>
      </c>
      <c r="BG129" s="51">
        <f t="shared" ca="1" si="47"/>
        <v>1</v>
      </c>
      <c r="BH129" s="50">
        <f t="shared" ca="1" si="42"/>
        <v>0</v>
      </c>
      <c r="BI129" s="50">
        <f t="shared" ca="1" si="63"/>
        <v>3.4816594052244909E-13</v>
      </c>
      <c r="BJ129" s="140">
        <v>0</v>
      </c>
      <c r="BK129" s="140">
        <v>0</v>
      </c>
      <c r="BM129" s="78"/>
      <c r="BR129" s="75">
        <f t="shared" ca="1" si="33"/>
        <v>47208</v>
      </c>
      <c r="BS129" s="74">
        <f t="shared" ca="1" si="48"/>
        <v>3</v>
      </c>
      <c r="BT129" s="74">
        <f t="shared" ca="1" si="49"/>
        <v>0</v>
      </c>
      <c r="BU129" s="73" t="str">
        <f t="shared" ca="1" si="50"/>
        <v xml:space="preserve"> </v>
      </c>
      <c r="BW129" s="75">
        <f t="shared" ca="1" si="60"/>
        <v>47208</v>
      </c>
      <c r="BX129" s="74">
        <f t="shared" ca="1" si="61"/>
        <v>3</v>
      </c>
      <c r="BY129" s="74">
        <f t="shared" ca="1" si="51"/>
        <v>0</v>
      </c>
      <c r="BZ129" s="73" t="str">
        <f t="shared" ca="1" si="52"/>
        <v xml:space="preserve"> </v>
      </c>
      <c r="CB129" s="75">
        <f t="shared" ca="1" si="62"/>
        <v>47208</v>
      </c>
      <c r="CC129" s="74">
        <f t="shared" ca="1" si="53"/>
        <v>3</v>
      </c>
      <c r="CD129" s="74">
        <f t="shared" ca="1" si="54"/>
        <v>0</v>
      </c>
      <c r="CE129" s="73" t="str">
        <f t="shared" ca="1" si="55"/>
        <v xml:space="preserve"> </v>
      </c>
    </row>
    <row r="130" spans="1:83" x14ac:dyDescent="0.2">
      <c r="A130" s="38" t="str">
        <f t="shared" si="64"/>
        <v xml:space="preserve"> </v>
      </c>
      <c r="B130" s="108"/>
      <c r="C130" s="38"/>
      <c r="D130" s="137"/>
      <c r="E130" s="137"/>
      <c r="F130" s="137"/>
      <c r="G130" s="122"/>
      <c r="H130" s="137"/>
      <c r="I130" s="50"/>
      <c r="J130" s="50"/>
      <c r="K130" s="50"/>
      <c r="L130" s="38"/>
      <c r="M130" s="38"/>
      <c r="N130" s="38"/>
      <c r="O130" s="50"/>
      <c r="P130" s="218"/>
      <c r="Q130" s="50"/>
      <c r="R130" s="50"/>
      <c r="S130" s="38"/>
      <c r="T130" s="51"/>
      <c r="U130" s="65"/>
      <c r="V130" s="105"/>
      <c r="W130" s="66"/>
      <c r="X130" s="66"/>
      <c r="Y130" s="38"/>
      <c r="Z130" s="66">
        <f t="shared" si="34"/>
        <v>0</v>
      </c>
      <c r="AA130" s="67"/>
      <c r="AC130" s="41" t="e">
        <f>VLOOKUP(A130,'Input Sheet'!$A$2:$B$232,2,0)</f>
        <v>#N/A</v>
      </c>
      <c r="AD130" s="70"/>
      <c r="AI130" s="68"/>
      <c r="AL130" s="107">
        <f t="shared" ca="1" si="56"/>
        <v>0</v>
      </c>
      <c r="AM130" s="49">
        <f t="shared" ca="1" si="57"/>
        <v>47238</v>
      </c>
      <c r="AN130" s="137" t="str">
        <f t="shared" ca="1" si="43"/>
        <v xml:space="preserve"> </v>
      </c>
      <c r="AO130" s="107">
        <f t="shared" ca="1" si="44"/>
        <v>0</v>
      </c>
      <c r="AP130" s="143">
        <f t="shared" ca="1" si="36"/>
        <v>0</v>
      </c>
      <c r="AQ130" s="143">
        <f t="shared" ca="1" si="45"/>
        <v>0</v>
      </c>
      <c r="AR130" s="49" t="str">
        <f t="shared" ca="1" si="37"/>
        <v xml:space="preserve"> </v>
      </c>
      <c r="AS130" s="107">
        <f t="shared" ca="1" si="38"/>
        <v>0</v>
      </c>
      <c r="AT130" s="107">
        <f t="shared" ca="1" si="39"/>
        <v>0</v>
      </c>
      <c r="AU130" s="107"/>
      <c r="AV130" s="107">
        <f ca="1">MAX(SUM($AQ$6:AQ130)-SUM($AT$6:AT130),0)</f>
        <v>0</v>
      </c>
      <c r="AW130" s="107">
        <f t="shared" ca="1" si="58"/>
        <v>0</v>
      </c>
      <c r="AX130" s="107">
        <v>0</v>
      </c>
      <c r="AY130" s="138" t="str">
        <f t="shared" ca="1" si="40"/>
        <v xml:space="preserve"> </v>
      </c>
      <c r="AZ130" s="107">
        <f t="shared" ca="1" si="41"/>
        <v>0</v>
      </c>
      <c r="BA130" s="107">
        <f ca="1">IF(AZ130=1,(SUM($AW$6:AW130,$AX$6:AX130)-SUM($BA$6:BA129)),0)</f>
        <v>0</v>
      </c>
      <c r="BB130" s="107"/>
      <c r="BC130" s="107">
        <f ca="1">AV130+SUM($AW$6:AW130)+SUM($AX$6:AX130)-SUM($BA$6:BA130)</f>
        <v>0</v>
      </c>
      <c r="BD130" s="107">
        <f t="shared" ca="1" si="46"/>
        <v>0</v>
      </c>
      <c r="BE130" s="51">
        <f ca="1">'PiT PD Structure'!J170</f>
        <v>6.270824666243513E-5</v>
      </c>
      <c r="BF130" s="139">
        <f t="shared" ca="1" si="59"/>
        <v>0.45</v>
      </c>
      <c r="BG130" s="51">
        <f t="shared" ca="1" si="47"/>
        <v>1</v>
      </c>
      <c r="BH130" s="50">
        <f t="shared" ca="1" si="42"/>
        <v>0</v>
      </c>
      <c r="BI130" s="50">
        <f t="shared" ca="1" si="63"/>
        <v>3.4816594052244909E-13</v>
      </c>
      <c r="BJ130" s="140">
        <v>0</v>
      </c>
      <c r="BK130" s="140">
        <v>0</v>
      </c>
      <c r="BM130" s="78"/>
      <c r="BR130" s="75">
        <f t="shared" ca="1" si="33"/>
        <v>47238</v>
      </c>
      <c r="BS130" s="74">
        <f t="shared" ca="1" si="48"/>
        <v>4</v>
      </c>
      <c r="BT130" s="74">
        <f t="shared" ca="1" si="49"/>
        <v>0</v>
      </c>
      <c r="BU130" s="73" t="str">
        <f t="shared" ca="1" si="50"/>
        <v xml:space="preserve"> </v>
      </c>
      <c r="BW130" s="75">
        <f t="shared" ca="1" si="60"/>
        <v>47238</v>
      </c>
      <c r="BX130" s="74">
        <f t="shared" ca="1" si="61"/>
        <v>4</v>
      </c>
      <c r="BY130" s="74">
        <f t="shared" ca="1" si="51"/>
        <v>0</v>
      </c>
      <c r="BZ130" s="73" t="str">
        <f t="shared" ca="1" si="52"/>
        <v xml:space="preserve"> </v>
      </c>
      <c r="CB130" s="75">
        <f t="shared" ca="1" si="62"/>
        <v>47238</v>
      </c>
      <c r="CC130" s="74">
        <f t="shared" ca="1" si="53"/>
        <v>4</v>
      </c>
      <c r="CD130" s="74">
        <f t="shared" ca="1" si="54"/>
        <v>0</v>
      </c>
      <c r="CE130" s="73" t="str">
        <f t="shared" ca="1" si="55"/>
        <v xml:space="preserve"> </v>
      </c>
    </row>
    <row r="131" spans="1:83" x14ac:dyDescent="0.2">
      <c r="A131" s="38" t="str">
        <f t="shared" si="64"/>
        <v xml:space="preserve"> </v>
      </c>
      <c r="B131" s="108"/>
      <c r="C131" s="38"/>
      <c r="D131" s="137"/>
      <c r="E131" s="137"/>
      <c r="F131" s="137"/>
      <c r="G131" s="122"/>
      <c r="H131" s="137"/>
      <c r="I131" s="50"/>
      <c r="J131" s="50"/>
      <c r="K131" s="50"/>
      <c r="L131" s="38"/>
      <c r="M131" s="38"/>
      <c r="N131" s="38"/>
      <c r="O131" s="50"/>
      <c r="P131" s="218"/>
      <c r="Q131" s="50"/>
      <c r="R131" s="50"/>
      <c r="S131" s="38"/>
      <c r="T131" s="51"/>
      <c r="U131" s="65"/>
      <c r="V131" s="105"/>
      <c r="W131" s="66"/>
      <c r="X131" s="66"/>
      <c r="Y131" s="38"/>
      <c r="Z131" s="66">
        <f t="shared" si="34"/>
        <v>0</v>
      </c>
      <c r="AA131" s="67"/>
      <c r="AC131" s="41" t="e">
        <f>VLOOKUP(A131,'Input Sheet'!$A$2:$B$232,2,0)</f>
        <v>#N/A</v>
      </c>
      <c r="AD131" s="70"/>
      <c r="AI131" s="68"/>
      <c r="AL131" s="107">
        <f t="shared" ca="1" si="56"/>
        <v>0</v>
      </c>
      <c r="AM131" s="49">
        <f t="shared" ca="1" si="57"/>
        <v>47269</v>
      </c>
      <c r="AN131" s="137" t="str">
        <f t="shared" ca="1" si="43"/>
        <v xml:space="preserve"> </v>
      </c>
      <c r="AO131" s="107">
        <f t="shared" ca="1" si="44"/>
        <v>0</v>
      </c>
      <c r="AP131" s="143">
        <f t="shared" ca="1" si="36"/>
        <v>0</v>
      </c>
      <c r="AQ131" s="143">
        <f t="shared" ca="1" si="45"/>
        <v>0</v>
      </c>
      <c r="AR131" s="49" t="str">
        <f t="shared" ca="1" si="37"/>
        <v xml:space="preserve"> </v>
      </c>
      <c r="AS131" s="107">
        <f t="shared" ca="1" si="38"/>
        <v>0</v>
      </c>
      <c r="AT131" s="107">
        <f t="shared" ca="1" si="39"/>
        <v>0</v>
      </c>
      <c r="AU131" s="107"/>
      <c r="AV131" s="107">
        <f ca="1">MAX(SUM($AQ$6:AQ131)-SUM($AT$6:AT131),0)</f>
        <v>0</v>
      </c>
      <c r="AW131" s="107">
        <f t="shared" ca="1" si="58"/>
        <v>0</v>
      </c>
      <c r="AX131" s="107">
        <v>0</v>
      </c>
      <c r="AY131" s="138" t="str">
        <f t="shared" ca="1" si="40"/>
        <v xml:space="preserve"> </v>
      </c>
      <c r="AZ131" s="107">
        <f t="shared" ca="1" si="41"/>
        <v>0</v>
      </c>
      <c r="BA131" s="107">
        <f ca="1">IF(AZ131=1,(SUM($AW$6:AW131,$AX$6:AX131)-SUM($BA$6:BA130)),0)</f>
        <v>0</v>
      </c>
      <c r="BB131" s="107"/>
      <c r="BC131" s="107">
        <f ca="1">AV131+SUM($AW$6:AW131)+SUM($AX$6:AX131)-SUM($BA$6:BA131)</f>
        <v>0</v>
      </c>
      <c r="BD131" s="107">
        <f t="shared" ca="1" si="46"/>
        <v>0</v>
      </c>
      <c r="BE131" s="51">
        <f ca="1">'PiT PD Structure'!J171</f>
        <v>6.2704265723523278E-5</v>
      </c>
      <c r="BF131" s="139">
        <f t="shared" ca="1" si="59"/>
        <v>0.45</v>
      </c>
      <c r="BG131" s="51">
        <f t="shared" ca="1" si="47"/>
        <v>1</v>
      </c>
      <c r="BH131" s="50">
        <f t="shared" ca="1" si="42"/>
        <v>0</v>
      </c>
      <c r="BI131" s="50">
        <f t="shared" ca="1" si="63"/>
        <v>3.4816594052244909E-13</v>
      </c>
      <c r="BJ131" s="140">
        <v>0</v>
      </c>
      <c r="BK131" s="140">
        <v>0</v>
      </c>
      <c r="BM131" s="78"/>
      <c r="BR131" s="75">
        <f t="shared" ref="BR131:BR194" ca="1" si="65">EOMONTH(BR130,1)</f>
        <v>47269</v>
      </c>
      <c r="BS131" s="74">
        <f t="shared" ca="1" si="48"/>
        <v>5</v>
      </c>
      <c r="BT131" s="74">
        <f t="shared" ca="1" si="49"/>
        <v>0</v>
      </c>
      <c r="BU131" s="73" t="str">
        <f t="shared" ca="1" si="50"/>
        <v xml:space="preserve"> </v>
      </c>
      <c r="BW131" s="75">
        <f t="shared" ca="1" si="60"/>
        <v>47269</v>
      </c>
      <c r="BX131" s="74">
        <f t="shared" ca="1" si="61"/>
        <v>5</v>
      </c>
      <c r="BY131" s="74">
        <f t="shared" ca="1" si="51"/>
        <v>0</v>
      </c>
      <c r="BZ131" s="73" t="str">
        <f t="shared" ca="1" si="52"/>
        <v xml:space="preserve"> </v>
      </c>
      <c r="CB131" s="75">
        <f t="shared" ca="1" si="62"/>
        <v>47269</v>
      </c>
      <c r="CC131" s="74">
        <f t="shared" ca="1" si="53"/>
        <v>5</v>
      </c>
      <c r="CD131" s="74">
        <f t="shared" ca="1" si="54"/>
        <v>0</v>
      </c>
      <c r="CE131" s="73" t="str">
        <f t="shared" ca="1" si="55"/>
        <v xml:space="preserve"> </v>
      </c>
    </row>
    <row r="132" spans="1:83" x14ac:dyDescent="0.2">
      <c r="A132" s="38" t="str">
        <f t="shared" si="64"/>
        <v xml:space="preserve"> </v>
      </c>
      <c r="B132" s="108"/>
      <c r="C132" s="38"/>
      <c r="D132" s="137"/>
      <c r="E132" s="137"/>
      <c r="F132" s="137"/>
      <c r="G132" s="122"/>
      <c r="H132" s="137"/>
      <c r="I132" s="50"/>
      <c r="J132" s="50"/>
      <c r="K132" s="50"/>
      <c r="L132" s="38"/>
      <c r="M132" s="38"/>
      <c r="N132" s="38"/>
      <c r="O132" s="50"/>
      <c r="P132" s="218"/>
      <c r="Q132" s="50"/>
      <c r="R132" s="50"/>
      <c r="S132" s="38"/>
      <c r="T132" s="51"/>
      <c r="U132" s="65"/>
      <c r="V132" s="105"/>
      <c r="W132" s="66"/>
      <c r="X132" s="66"/>
      <c r="Y132" s="38"/>
      <c r="Z132" s="66">
        <f t="shared" si="34"/>
        <v>0</v>
      </c>
      <c r="AA132" s="67"/>
      <c r="AC132" s="41" t="e">
        <f>VLOOKUP(A132,'Input Sheet'!$A$2:$B$232,2,0)</f>
        <v>#N/A</v>
      </c>
      <c r="AD132" s="70"/>
      <c r="AI132" s="68"/>
      <c r="AL132" s="107">
        <f t="shared" ca="1" si="56"/>
        <v>0</v>
      </c>
      <c r="AM132" s="49">
        <f t="shared" ca="1" si="57"/>
        <v>47299</v>
      </c>
      <c r="AN132" s="137" t="str">
        <f t="shared" ca="1" si="43"/>
        <v xml:space="preserve"> </v>
      </c>
      <c r="AO132" s="107">
        <f t="shared" ca="1" si="44"/>
        <v>0</v>
      </c>
      <c r="AP132" s="143">
        <f t="shared" ca="1" si="36"/>
        <v>0</v>
      </c>
      <c r="AQ132" s="143">
        <f t="shared" ca="1" si="45"/>
        <v>0</v>
      </c>
      <c r="AR132" s="49" t="str">
        <f t="shared" ca="1" si="37"/>
        <v xml:space="preserve"> </v>
      </c>
      <c r="AS132" s="107">
        <f t="shared" ca="1" si="38"/>
        <v>0</v>
      </c>
      <c r="AT132" s="107">
        <f t="shared" ca="1" si="39"/>
        <v>0</v>
      </c>
      <c r="AU132" s="107"/>
      <c r="AV132" s="107">
        <f ca="1">MAX(SUM($AQ$6:AQ132)-SUM($AT$6:AT132),0)</f>
        <v>0</v>
      </c>
      <c r="AW132" s="107">
        <f t="shared" ca="1" si="58"/>
        <v>0</v>
      </c>
      <c r="AX132" s="107">
        <v>0</v>
      </c>
      <c r="AY132" s="138" t="str">
        <f t="shared" ca="1" si="40"/>
        <v xml:space="preserve"> </v>
      </c>
      <c r="AZ132" s="107">
        <f t="shared" ca="1" si="41"/>
        <v>0</v>
      </c>
      <c r="BA132" s="107">
        <f ca="1">IF(AZ132=1,(SUM($AW$6:AW132,$AX$6:AX132)-SUM($BA$6:BA131)),0)</f>
        <v>0</v>
      </c>
      <c r="BB132" s="107"/>
      <c r="BC132" s="107">
        <f ca="1">AV132+SUM($AW$6:AW132)+SUM($AX$6:AX132)-SUM($BA$6:BA132)</f>
        <v>0</v>
      </c>
      <c r="BD132" s="107">
        <f t="shared" ca="1" si="46"/>
        <v>0</v>
      </c>
      <c r="BE132" s="51">
        <f ca="1">'PiT PD Structure'!J172</f>
        <v>6.2700285037409209E-5</v>
      </c>
      <c r="BF132" s="139">
        <f t="shared" ca="1" si="59"/>
        <v>0.45</v>
      </c>
      <c r="BG132" s="51">
        <f t="shared" ca="1" si="47"/>
        <v>1</v>
      </c>
      <c r="BH132" s="50">
        <f t="shared" ca="1" si="42"/>
        <v>0</v>
      </c>
      <c r="BI132" s="50">
        <f t="shared" ca="1" si="63"/>
        <v>3.4816594052244909E-13</v>
      </c>
      <c r="BJ132" s="140">
        <v>0</v>
      </c>
      <c r="BK132" s="140">
        <v>0</v>
      </c>
      <c r="BM132" s="78"/>
      <c r="BR132" s="75">
        <f t="shared" ca="1" si="65"/>
        <v>47299</v>
      </c>
      <c r="BS132" s="74">
        <f t="shared" ca="1" si="48"/>
        <v>6</v>
      </c>
      <c r="BT132" s="74">
        <f t="shared" ca="1" si="49"/>
        <v>0</v>
      </c>
      <c r="BU132" s="73" t="str">
        <f t="shared" ca="1" si="50"/>
        <v xml:space="preserve"> </v>
      </c>
      <c r="BW132" s="75">
        <f t="shared" ca="1" si="60"/>
        <v>47299</v>
      </c>
      <c r="BX132" s="74">
        <f t="shared" ca="1" si="61"/>
        <v>6</v>
      </c>
      <c r="BY132" s="74">
        <f t="shared" ca="1" si="51"/>
        <v>0</v>
      </c>
      <c r="BZ132" s="73" t="str">
        <f t="shared" ca="1" si="52"/>
        <v xml:space="preserve"> </v>
      </c>
      <c r="CB132" s="75">
        <f t="shared" ca="1" si="62"/>
        <v>47299</v>
      </c>
      <c r="CC132" s="74">
        <f t="shared" ca="1" si="53"/>
        <v>6</v>
      </c>
      <c r="CD132" s="74">
        <f t="shared" ca="1" si="54"/>
        <v>0</v>
      </c>
      <c r="CE132" s="73" t="str">
        <f t="shared" ca="1" si="55"/>
        <v xml:space="preserve"> </v>
      </c>
    </row>
    <row r="133" spans="1:83" x14ac:dyDescent="0.2">
      <c r="A133" s="38" t="str">
        <f t="shared" si="64"/>
        <v xml:space="preserve"> </v>
      </c>
      <c r="B133" s="108"/>
      <c r="C133" s="38"/>
      <c r="D133" s="137"/>
      <c r="E133" s="137"/>
      <c r="F133" s="137"/>
      <c r="G133" s="122"/>
      <c r="H133" s="137"/>
      <c r="I133" s="50"/>
      <c r="J133" s="50"/>
      <c r="K133" s="50"/>
      <c r="L133" s="38"/>
      <c r="M133" s="38"/>
      <c r="N133" s="38"/>
      <c r="O133" s="50"/>
      <c r="P133" s="218"/>
      <c r="Q133" s="50"/>
      <c r="R133" s="50"/>
      <c r="S133" s="38"/>
      <c r="T133" s="51"/>
      <c r="U133" s="65"/>
      <c r="V133" s="105"/>
      <c r="W133" s="66"/>
      <c r="X133" s="66"/>
      <c r="Y133" s="38"/>
      <c r="Z133" s="66">
        <f t="shared" ref="Z133:Z196" si="66">IF(Y133="Stage 1",X133,IF(Y133="Stage 2",W133,O133))</f>
        <v>0</v>
      </c>
      <c r="AA133" s="67"/>
      <c r="AC133" s="41" t="e">
        <f>VLOOKUP(A133,'Input Sheet'!$A$2:$B$232,2,0)</f>
        <v>#N/A</v>
      </c>
      <c r="AD133" s="70"/>
      <c r="AI133" s="68"/>
      <c r="AL133" s="107">
        <f t="shared" ca="1" si="56"/>
        <v>0</v>
      </c>
      <c r="AM133" s="49">
        <f t="shared" ca="1" si="57"/>
        <v>47330</v>
      </c>
      <c r="AN133" s="137" t="str">
        <f t="shared" ca="1" si="43"/>
        <v xml:space="preserve"> </v>
      </c>
      <c r="AO133" s="107">
        <f t="shared" ca="1" si="44"/>
        <v>0</v>
      </c>
      <c r="AP133" s="143">
        <f t="shared" ca="1" si="36"/>
        <v>0</v>
      </c>
      <c r="AQ133" s="143">
        <f t="shared" ca="1" si="45"/>
        <v>0</v>
      </c>
      <c r="AR133" s="49" t="str">
        <f t="shared" ca="1" si="37"/>
        <v xml:space="preserve"> </v>
      </c>
      <c r="AS133" s="107">
        <f t="shared" ca="1" si="38"/>
        <v>0</v>
      </c>
      <c r="AT133" s="107">
        <f t="shared" ca="1" si="39"/>
        <v>0</v>
      </c>
      <c r="AU133" s="107"/>
      <c r="AV133" s="107">
        <f ca="1">MAX(SUM($AQ$6:AQ133)-SUM($AT$6:AT133),0)</f>
        <v>0</v>
      </c>
      <c r="AW133" s="107">
        <f t="shared" ca="1" si="58"/>
        <v>0</v>
      </c>
      <c r="AX133" s="107">
        <v>0</v>
      </c>
      <c r="AY133" s="138" t="str">
        <f t="shared" ca="1" si="40"/>
        <v xml:space="preserve"> </v>
      </c>
      <c r="AZ133" s="107">
        <f t="shared" ca="1" si="41"/>
        <v>0</v>
      </c>
      <c r="BA133" s="107">
        <f ca="1">IF(AZ133=1,(SUM($AW$6:AW133,$AX$6:AX133)-SUM($BA$6:BA132)),0)</f>
        <v>0</v>
      </c>
      <c r="BB133" s="107"/>
      <c r="BC133" s="107">
        <f ca="1">AV133+SUM($AW$6:AW133)+SUM($AX$6:AX133)-SUM($BA$6:BA133)</f>
        <v>0</v>
      </c>
      <c r="BD133" s="107">
        <f t="shared" ca="1" si="46"/>
        <v>0</v>
      </c>
      <c r="BE133" s="51">
        <f ca="1">'PiT PD Structure'!J173</f>
        <v>6.2696304603870878E-5</v>
      </c>
      <c r="BF133" s="139">
        <f t="shared" ca="1" si="59"/>
        <v>0.45</v>
      </c>
      <c r="BG133" s="51">
        <f t="shared" ca="1" si="47"/>
        <v>1</v>
      </c>
      <c r="BH133" s="50">
        <f t="shared" ca="1" si="42"/>
        <v>0</v>
      </c>
      <c r="BI133" s="50">
        <f t="shared" ca="1" si="63"/>
        <v>3.4816594052244909E-13</v>
      </c>
      <c r="BJ133" s="140">
        <v>0</v>
      </c>
      <c r="BK133" s="140">
        <v>0</v>
      </c>
      <c r="BM133" s="78"/>
      <c r="BR133" s="75">
        <f t="shared" ca="1" si="65"/>
        <v>47330</v>
      </c>
      <c r="BS133" s="74">
        <f t="shared" ca="1" si="48"/>
        <v>7</v>
      </c>
      <c r="BT133" s="74">
        <f t="shared" ca="1" si="49"/>
        <v>0</v>
      </c>
      <c r="BU133" s="73" t="str">
        <f t="shared" ca="1" si="50"/>
        <v xml:space="preserve"> </v>
      </c>
      <c r="BW133" s="75">
        <f t="shared" ca="1" si="60"/>
        <v>47330</v>
      </c>
      <c r="BX133" s="74">
        <f t="shared" ca="1" si="61"/>
        <v>7</v>
      </c>
      <c r="BY133" s="74">
        <f t="shared" ca="1" si="51"/>
        <v>0</v>
      </c>
      <c r="BZ133" s="73" t="str">
        <f t="shared" ca="1" si="52"/>
        <v xml:space="preserve"> </v>
      </c>
      <c r="CB133" s="75">
        <f t="shared" ca="1" si="62"/>
        <v>47330</v>
      </c>
      <c r="CC133" s="74">
        <f t="shared" ca="1" si="53"/>
        <v>7</v>
      </c>
      <c r="CD133" s="74">
        <f t="shared" ca="1" si="54"/>
        <v>0</v>
      </c>
      <c r="CE133" s="73" t="str">
        <f t="shared" ca="1" si="55"/>
        <v xml:space="preserve"> </v>
      </c>
    </row>
    <row r="134" spans="1:83" x14ac:dyDescent="0.2">
      <c r="A134" s="38" t="str">
        <f t="shared" si="64"/>
        <v xml:space="preserve"> </v>
      </c>
      <c r="B134" s="108"/>
      <c r="C134" s="38"/>
      <c r="D134" s="137"/>
      <c r="E134" s="137"/>
      <c r="F134" s="137"/>
      <c r="G134" s="122"/>
      <c r="H134" s="137"/>
      <c r="I134" s="50"/>
      <c r="J134" s="50"/>
      <c r="K134" s="50"/>
      <c r="L134" s="38"/>
      <c r="M134" s="38"/>
      <c r="N134" s="38"/>
      <c r="O134" s="50"/>
      <c r="P134" s="218"/>
      <c r="Q134" s="50"/>
      <c r="R134" s="50"/>
      <c r="S134" s="38"/>
      <c r="T134" s="51"/>
      <c r="U134" s="65"/>
      <c r="V134" s="105"/>
      <c r="W134" s="66"/>
      <c r="X134" s="66"/>
      <c r="Y134" s="38"/>
      <c r="Z134" s="66">
        <f t="shared" si="66"/>
        <v>0</v>
      </c>
      <c r="AA134" s="67"/>
      <c r="AC134" s="41" t="e">
        <f>VLOOKUP(A134,'Input Sheet'!$A$2:$B$232,2,0)</f>
        <v>#N/A</v>
      </c>
      <c r="AD134" s="70"/>
      <c r="AI134" s="68"/>
      <c r="AL134" s="107">
        <f t="shared" ca="1" si="56"/>
        <v>0</v>
      </c>
      <c r="AM134" s="49">
        <f t="shared" ca="1" si="57"/>
        <v>47361</v>
      </c>
      <c r="AN134" s="137" t="str">
        <f t="shared" ca="1" si="43"/>
        <v xml:space="preserve"> </v>
      </c>
      <c r="AO134" s="107">
        <f t="shared" ca="1" si="44"/>
        <v>0</v>
      </c>
      <c r="AP134" s="143">
        <f t="shared" ref="AP134:AP197" ca="1" si="67">AO134*$AV$2</f>
        <v>0</v>
      </c>
      <c r="AQ134" s="143">
        <f t="shared" ca="1" si="45"/>
        <v>0</v>
      </c>
      <c r="AR134" s="49" t="str">
        <f t="shared" ref="AR134:AR197" ca="1" si="68">BU134</f>
        <v xml:space="preserve"> </v>
      </c>
      <c r="AS134" s="107">
        <f t="shared" ref="AS134:AS197" ca="1" si="69">BT134</f>
        <v>0</v>
      </c>
      <c r="AT134" s="107">
        <f t="shared" ref="AT134:AT197" ca="1" si="70">AS134*$BI$2</f>
        <v>0</v>
      </c>
      <c r="AU134" s="107"/>
      <c r="AV134" s="107">
        <f ca="1">MAX(SUM($AQ$6:AQ134)-SUM($AT$6:AT134),0)</f>
        <v>0</v>
      </c>
      <c r="AW134" s="107">
        <f t="shared" ca="1" si="58"/>
        <v>0</v>
      </c>
      <c r="AX134" s="107">
        <v>0</v>
      </c>
      <c r="AY134" s="138" t="str">
        <f t="shared" ref="AY134:AY197" ca="1" si="71">BZ134</f>
        <v xml:space="preserve"> </v>
      </c>
      <c r="AZ134" s="107">
        <f t="shared" ref="AZ134:AZ197" ca="1" si="72">BY134</f>
        <v>0</v>
      </c>
      <c r="BA134" s="107">
        <f ca="1">IF(AZ134=1,(SUM($AW$6:AW134,$AX$6:AX134)-SUM($BA$6:BA133)),0)</f>
        <v>0</v>
      </c>
      <c r="BB134" s="107"/>
      <c r="BC134" s="107">
        <f ca="1">AV134+SUM($AW$6:AW134)+SUM($AX$6:AX134)-SUM($BA$6:BA134)</f>
        <v>0</v>
      </c>
      <c r="BD134" s="107">
        <f t="shared" ca="1" si="46"/>
        <v>0</v>
      </c>
      <c r="BE134" s="51">
        <f ca="1">'PiT PD Structure'!J174</f>
        <v>6.2692324423241352E-5</v>
      </c>
      <c r="BF134" s="139">
        <f t="shared" ca="1" si="59"/>
        <v>0.45</v>
      </c>
      <c r="BG134" s="51">
        <f t="shared" ca="1" si="47"/>
        <v>1</v>
      </c>
      <c r="BH134" s="50">
        <f t="shared" ref="BH134:BH197" ca="1" si="73">IF(AL134=0,0,BC134*BE134*BF134*BG134)</f>
        <v>0</v>
      </c>
      <c r="BI134" s="50">
        <f t="shared" ca="1" si="63"/>
        <v>3.4816594052244909E-13</v>
      </c>
      <c r="BJ134" s="140">
        <v>0</v>
      </c>
      <c r="BK134" s="140">
        <v>0</v>
      </c>
      <c r="BM134" s="78"/>
      <c r="BR134" s="75">
        <f t="shared" ca="1" si="65"/>
        <v>47361</v>
      </c>
      <c r="BS134" s="74">
        <f t="shared" ca="1" si="48"/>
        <v>8</v>
      </c>
      <c r="BT134" s="74">
        <f t="shared" ca="1" si="49"/>
        <v>0</v>
      </c>
      <c r="BU134" s="73" t="str">
        <f t="shared" ca="1" si="50"/>
        <v xml:space="preserve"> </v>
      </c>
      <c r="BW134" s="75">
        <f t="shared" ca="1" si="60"/>
        <v>47361</v>
      </c>
      <c r="BX134" s="74">
        <f t="shared" ca="1" si="61"/>
        <v>8</v>
      </c>
      <c r="BY134" s="74">
        <f t="shared" ca="1" si="51"/>
        <v>0</v>
      </c>
      <c r="BZ134" s="73" t="str">
        <f t="shared" ca="1" si="52"/>
        <v xml:space="preserve"> </v>
      </c>
      <c r="CB134" s="75">
        <f t="shared" ca="1" si="62"/>
        <v>47361</v>
      </c>
      <c r="CC134" s="74">
        <f t="shared" ca="1" si="53"/>
        <v>8</v>
      </c>
      <c r="CD134" s="74">
        <f t="shared" ca="1" si="54"/>
        <v>0</v>
      </c>
      <c r="CE134" s="73" t="str">
        <f t="shared" ca="1" si="55"/>
        <v xml:space="preserve"> </v>
      </c>
    </row>
    <row r="135" spans="1:83" x14ac:dyDescent="0.2">
      <c r="A135" s="38" t="str">
        <f t="shared" si="64"/>
        <v xml:space="preserve"> </v>
      </c>
      <c r="B135" s="108"/>
      <c r="C135" s="38"/>
      <c r="D135" s="137"/>
      <c r="E135" s="137"/>
      <c r="F135" s="137"/>
      <c r="G135" s="122"/>
      <c r="H135" s="137"/>
      <c r="I135" s="50"/>
      <c r="J135" s="50"/>
      <c r="K135" s="50"/>
      <c r="L135" s="38"/>
      <c r="M135" s="38"/>
      <c r="N135" s="38"/>
      <c r="O135" s="50"/>
      <c r="P135" s="218"/>
      <c r="Q135" s="50"/>
      <c r="R135" s="50"/>
      <c r="S135" s="38"/>
      <c r="T135" s="51"/>
      <c r="U135" s="65"/>
      <c r="V135" s="105"/>
      <c r="W135" s="66"/>
      <c r="X135" s="66"/>
      <c r="Y135" s="38"/>
      <c r="Z135" s="66">
        <f t="shared" si="66"/>
        <v>0</v>
      </c>
      <c r="AA135" s="67"/>
      <c r="AC135" s="41" t="e">
        <f>VLOOKUP(A135,'Input Sheet'!$A$2:$B$232,2,0)</f>
        <v>#N/A</v>
      </c>
      <c r="AD135" s="70"/>
      <c r="AI135" s="68"/>
      <c r="AL135" s="107">
        <f t="shared" ca="1" si="56"/>
        <v>0</v>
      </c>
      <c r="AM135" s="49">
        <f t="shared" ca="1" si="57"/>
        <v>47391</v>
      </c>
      <c r="AN135" s="137" t="str">
        <f t="shared" ref="AN135:AN198" ca="1" si="74">CE135</f>
        <v xml:space="preserve"> </v>
      </c>
      <c r="AO135" s="107">
        <f t="shared" ref="AO135:AO198" ca="1" si="75">IF(EOMONTH(AM135,0)=EOMONTH($AN$2,12),1,0)</f>
        <v>0</v>
      </c>
      <c r="AP135" s="143">
        <f t="shared" ca="1" si="67"/>
        <v>0</v>
      </c>
      <c r="AQ135" s="143">
        <f t="shared" ref="AQ135:AQ198" ca="1" si="76">IF(AND(AP135&gt;0,AM135&lt;=$AR$2),AQ134+AP135,0)</f>
        <v>0</v>
      </c>
      <c r="AR135" s="49" t="str">
        <f t="shared" ca="1" si="68"/>
        <v xml:space="preserve"> </v>
      </c>
      <c r="AS135" s="107">
        <f t="shared" ca="1" si="69"/>
        <v>0</v>
      </c>
      <c r="AT135" s="107">
        <f t="shared" ca="1" si="70"/>
        <v>0</v>
      </c>
      <c r="AU135" s="107"/>
      <c r="AV135" s="107">
        <f ca="1">MAX(SUM($AQ$6:AQ135)-SUM($AT$6:AT135),0)</f>
        <v>0</v>
      </c>
      <c r="AW135" s="107">
        <f t="shared" ca="1" si="58"/>
        <v>0</v>
      </c>
      <c r="AX135" s="107">
        <v>0</v>
      </c>
      <c r="AY135" s="138" t="str">
        <f t="shared" ca="1" si="71"/>
        <v xml:space="preserve"> </v>
      </c>
      <c r="AZ135" s="107">
        <f t="shared" ca="1" si="72"/>
        <v>0</v>
      </c>
      <c r="BA135" s="107">
        <f ca="1">IF(AZ135=1,(SUM($AW$6:AW135,$AX$6:AX135)-SUM($BA$6:BA134)),0)</f>
        <v>0</v>
      </c>
      <c r="BB135" s="107"/>
      <c r="BC135" s="107">
        <f ca="1">AV135+SUM($AW$6:AW135)+SUM($AX$6:AX135)-SUM($BA$6:BA135)</f>
        <v>0</v>
      </c>
      <c r="BD135" s="107">
        <f t="shared" ref="BD135:BD198" ca="1" si="77">IF(AL135&gt;0,AM135-AM134,0)</f>
        <v>0</v>
      </c>
      <c r="BE135" s="51">
        <f ca="1">'PiT PD Structure'!J175</f>
        <v>6.2688344495076542E-5</v>
      </c>
      <c r="BF135" s="139">
        <f t="shared" ca="1" si="59"/>
        <v>0.45</v>
      </c>
      <c r="BG135" s="51">
        <f t="shared" ref="BG135:BG198" ca="1" si="78">1/(1+$BE$2)^(BD135/360)</f>
        <v>1</v>
      </c>
      <c r="BH135" s="50">
        <f t="shared" ca="1" si="73"/>
        <v>0</v>
      </c>
      <c r="BI135" s="50">
        <f t="shared" ca="1" si="63"/>
        <v>3.4816594052244909E-13</v>
      </c>
      <c r="BJ135" s="140">
        <v>0</v>
      </c>
      <c r="BK135" s="140">
        <v>0</v>
      </c>
      <c r="BM135" s="78"/>
      <c r="BR135" s="75">
        <f t="shared" ca="1" si="65"/>
        <v>47391</v>
      </c>
      <c r="BS135" s="74">
        <f t="shared" ref="BS135:BS198" ca="1" si="79">MONTH(BR135)</f>
        <v>9</v>
      </c>
      <c r="BT135" s="74">
        <f t="shared" ref="BT135:BT198" ca="1" si="80">IF(EOMONTH(BR135,0)&gt;EOMONTH($AR$2,0),0,IF(EOMONTH(BR135,0)&gt;=EOMONTH($AO$2,0),(IF($BS$3=1,IF(MONTH($AO$2)=BS135,1,0),IF($BS$3=2,IF(OR(MONTH($AO$2)=BS135,MONTH($AO$2)+6=BS135,MONTH($AO$2)-6=BS135),1,0),IF($BS$3=4,IF(OR(MONTH($AO$2)=BS135,MONTH($AO$2)+3=BS135,MONTH($AO$2)+6=BS135,MONTH($AO$2)+9=BS135,MONTH($AO$2)-9=BS135,MONTH($AO$2)-3=BS135,MONTH($AO$2)-6=BS135),1,0),IF($BS$3=6,IF(OR(MONTH($AO$2)=BS135,MONTH($AO$2)+2=BS135,MONTH($AO$2)+4=BS135,MONTH($AO$2)+6=BS135,MONTH($AO$2)+8=BS135,MONTH($AO$2)+10=BS135,MONTH($AO$2)-2=BS135,MONTH($AO$2)-4=BS135,MONTH($AO$2)-6=BS135,MONTH($AO$2)-8=BS135,MONTH($AO$2)-10=BS135),1,0),IF($BS$3=12,1,IF(AND($BS$3=0,EOMONTH(BR135,0)=EOMONTH($AR$2,0)),1,0))))))),0))</f>
        <v>0</v>
      </c>
      <c r="BU135" s="73" t="str">
        <f t="shared" ref="BU135:BU198" ca="1" si="81">IF(BT135=1,BR135," ")</f>
        <v xml:space="preserve"> </v>
      </c>
      <c r="BW135" s="75">
        <f t="shared" ca="1" si="60"/>
        <v>47391</v>
      </c>
      <c r="BX135" s="74">
        <f t="shared" ca="1" si="61"/>
        <v>9</v>
      </c>
      <c r="BY135" s="74">
        <f t="shared" ref="BY135:BY198" ca="1" si="82">IF(EOMONTH(BW135,0)&gt;EOMONTH($AR$2,0),0,IF(EOMONTH(BW135,0)&gt;=EOMONTH($AP$2,0),(IF($BX$3=1,IF(MONTH($AP$2)=BX135,1,0),IF($BX$3=2,IF(OR(MONTH($AP$2)=BX135,MONTH($AP$2)+6=BX135,MONTH($AP$2)-6=BX135),1,0),IF($BX$3=4,IF(OR(MONTH($AP$2)=BX135,MONTH($AP$2)+3=BX135,MONTH($AP$2)+6=BX135,MONTH($AP$2)+9=BX135,MONTH($AP$2)-9=BX135,MONTH($AP$2)-3=BX135,MONTH($AP$2)-6=BX135),1,0),IF($BX$3=6,IF(OR(MONTH($AP$2)=BX135,MONTH($AP$2)+2=BX135,MONTH($AP$2)+4=BX135,MONTH($AP$2)+6=BX135,MONTH($AP$2)+8=BX135,MONTH($AP$2)+10=BX135,MONTH($AP$2)-2=BX135,MONTH($AP$2)-4=BX135,MONTH($AP$2)-6=BX135,MONTH($AP$2)-8=BX135,MONTH($AP$2)-10=BX135),1,0),IF($BX$3=12,1,IF(AND($BX$3=0,EOMONTH(BW135,0)=EOMONTH($AR$2,0)),1,0))))))),0))</f>
        <v>0</v>
      </c>
      <c r="BZ135" s="73" t="str">
        <f t="shared" ref="BZ135:BZ198" ca="1" si="83">IF(BY135=1,BW135," ")</f>
        <v xml:space="preserve"> </v>
      </c>
      <c r="CB135" s="75">
        <f t="shared" ca="1" si="62"/>
        <v>47391</v>
      </c>
      <c r="CC135" s="74">
        <f t="shared" ref="CC135:CC198" ca="1" si="84">MONTH(CB135)</f>
        <v>9</v>
      </c>
      <c r="CD135" s="74">
        <f t="shared" ref="CD135:CD198" ca="1" si="85">IF(EOMONTH(CB135,0)&gt;EOMONTH($AR$2,0),0,IF(EOMONTH(BR135,0)&gt;=EOMONTH($AO$2,0),IF($CC$3=1,IF(MONTH($AO$2)=CC135,1,0),IF($CC$3=2,IF(OR(MONTH($AO$2)=CC135,MONTH($AO$2)+6=CC135),1,0),IF($CC$3=4,IF(OR(MONTH($AO$2)=CC135,MONTH($AO$2)+3=CC135,MONTH($AO$2)+6=CC135,MONTH($AO$2)+9=CC135,MONTH($AO$2)-9=CC135,MONTH($AO$2)-3=CC135,MONTH($AO$2)-6=CC135),1,0),IF($CC$3=6,IF(OR(MONTH($AO$2)=CC135,MONTH($AO$2)+2=CC135,MONTH($AO$2)+4=CC135,MONTH($AO$2)+6=CC135,MONTH($AO$2)+8=CC135,MONTH($AO$2)+10=CC135,MONTH($AO$2)-2=CC135,MONTH($AO$2)-4=CC135,MONTH($AO$2)-6=CC135,MONTH($AO$2)-8=CC135,MONTH($AO$2)-10=CC135),1,0),IF($CC$3=12,1,IF(AND($CC$3=0,EOMONTH(CB135,0)=EOMONTH($AR$2,0)),1,0)))))),0))</f>
        <v>0</v>
      </c>
      <c r="CE135" s="73" t="str">
        <f t="shared" ref="CE135:CE198" ca="1" si="86">IF(CD135=1,CB135," ")</f>
        <v xml:space="preserve"> </v>
      </c>
    </row>
    <row r="136" spans="1:83" x14ac:dyDescent="0.2">
      <c r="A136" s="38" t="str">
        <f t="shared" si="64"/>
        <v xml:space="preserve"> </v>
      </c>
      <c r="B136" s="108"/>
      <c r="C136" s="38"/>
      <c r="D136" s="137"/>
      <c r="E136" s="137"/>
      <c r="F136" s="137"/>
      <c r="G136" s="122"/>
      <c r="H136" s="137"/>
      <c r="I136" s="50"/>
      <c r="J136" s="50"/>
      <c r="K136" s="50"/>
      <c r="L136" s="38"/>
      <c r="M136" s="38"/>
      <c r="N136" s="38"/>
      <c r="O136" s="50"/>
      <c r="P136" s="218"/>
      <c r="Q136" s="50"/>
      <c r="R136" s="50"/>
      <c r="S136" s="38"/>
      <c r="T136" s="51"/>
      <c r="U136" s="65"/>
      <c r="V136" s="105"/>
      <c r="W136" s="66"/>
      <c r="X136" s="66"/>
      <c r="Y136" s="38"/>
      <c r="Z136" s="66">
        <f t="shared" si="66"/>
        <v>0</v>
      </c>
      <c r="AA136" s="67"/>
      <c r="AC136" s="41" t="e">
        <f>VLOOKUP(A136,'Input Sheet'!$A$2:$B$232,2,0)</f>
        <v>#N/A</v>
      </c>
      <c r="AD136" s="70"/>
      <c r="AI136" s="68"/>
      <c r="AL136" s="107">
        <f t="shared" ref="AL136:AL199" ca="1" si="87">IF(AM136&lt;=$AR$2,AL135+1,0)</f>
        <v>0</v>
      </c>
      <c r="AM136" s="49">
        <f t="shared" ref="AM136:AM199" ca="1" si="88">EOMONTH(AM135,1)</f>
        <v>47422</v>
      </c>
      <c r="AN136" s="137" t="str">
        <f t="shared" ca="1" si="74"/>
        <v xml:space="preserve"> </v>
      </c>
      <c r="AO136" s="107">
        <f t="shared" ca="1" si="75"/>
        <v>0</v>
      </c>
      <c r="AP136" s="143">
        <f t="shared" ca="1" si="67"/>
        <v>0</v>
      </c>
      <c r="AQ136" s="143">
        <f t="shared" ca="1" si="76"/>
        <v>0</v>
      </c>
      <c r="AR136" s="49" t="str">
        <f t="shared" ca="1" si="68"/>
        <v xml:space="preserve"> </v>
      </c>
      <c r="AS136" s="107">
        <f t="shared" ca="1" si="69"/>
        <v>0</v>
      </c>
      <c r="AT136" s="107">
        <f t="shared" ca="1" si="70"/>
        <v>0</v>
      </c>
      <c r="AU136" s="107"/>
      <c r="AV136" s="107">
        <f ca="1">MAX(SUM($AQ$6:AQ136)-SUM($AT$6:AT136),0)</f>
        <v>0</v>
      </c>
      <c r="AW136" s="107">
        <f t="shared" ref="AW136:AW199" ca="1" si="89">IFERROR(IF(AND(AV135&gt;0,AM136&lt;=$AR$2),(AV135*($AZ$2*(DATEDIF(AM136,$AR$2,"d")/365)))/(DATEDIF(AM136,$AR$2,"m")),0),0)</f>
        <v>0</v>
      </c>
      <c r="AX136" s="107">
        <v>0</v>
      </c>
      <c r="AY136" s="138" t="str">
        <f t="shared" ca="1" si="71"/>
        <v xml:space="preserve"> </v>
      </c>
      <c r="AZ136" s="107">
        <f t="shared" ca="1" si="72"/>
        <v>0</v>
      </c>
      <c r="BA136" s="107">
        <f ca="1">IF(AZ136=1,(SUM($AW$6:AW136,$AX$6:AX136)-SUM($BA$6:BA135)),0)</f>
        <v>0</v>
      </c>
      <c r="BB136" s="107"/>
      <c r="BC136" s="107">
        <f ca="1">AV136+SUM($AW$6:AW136)+SUM($AX$6:AX136)-SUM($BA$6:BA136)</f>
        <v>0</v>
      </c>
      <c r="BD136" s="107">
        <f t="shared" ca="1" si="77"/>
        <v>0</v>
      </c>
      <c r="BE136" s="51">
        <f ca="1">'PiT PD Structure'!J176</f>
        <v>6.2684364819820537E-5</v>
      </c>
      <c r="BF136" s="139">
        <f t="shared" ref="BF136:BF199" ca="1" si="90">BF135</f>
        <v>0.45</v>
      </c>
      <c r="BG136" s="51">
        <f t="shared" ca="1" si="78"/>
        <v>1</v>
      </c>
      <c r="BH136" s="50">
        <f t="shared" ca="1" si="73"/>
        <v>0</v>
      </c>
      <c r="BI136" s="50">
        <f t="shared" ca="1" si="63"/>
        <v>3.4816594052244909E-13</v>
      </c>
      <c r="BJ136" s="140">
        <v>0</v>
      </c>
      <c r="BK136" s="140">
        <v>0</v>
      </c>
      <c r="BM136" s="78"/>
      <c r="BR136" s="75">
        <f t="shared" ca="1" si="65"/>
        <v>47422</v>
      </c>
      <c r="BS136" s="74">
        <f t="shared" ca="1" si="79"/>
        <v>10</v>
      </c>
      <c r="BT136" s="74">
        <f t="shared" ca="1" si="80"/>
        <v>0</v>
      </c>
      <c r="BU136" s="73" t="str">
        <f t="shared" ca="1" si="81"/>
        <v xml:space="preserve"> </v>
      </c>
      <c r="BW136" s="75">
        <f t="shared" ref="BW136:BW199" ca="1" si="91">EOMONTH(BR135,1)</f>
        <v>47422</v>
      </c>
      <c r="BX136" s="74">
        <f t="shared" ref="BX136:BX199" ca="1" si="92">MONTH(BR136)</f>
        <v>10</v>
      </c>
      <c r="BY136" s="74">
        <f t="shared" ca="1" si="82"/>
        <v>0</v>
      </c>
      <c r="BZ136" s="73" t="str">
        <f t="shared" ca="1" si="83"/>
        <v xml:space="preserve"> </v>
      </c>
      <c r="CB136" s="75">
        <f t="shared" ref="CB136:CB199" ca="1" si="93">EOMONTH(CB135,1)</f>
        <v>47422</v>
      </c>
      <c r="CC136" s="74">
        <f t="shared" ca="1" si="84"/>
        <v>10</v>
      </c>
      <c r="CD136" s="74">
        <f t="shared" ca="1" si="85"/>
        <v>0</v>
      </c>
      <c r="CE136" s="73" t="str">
        <f t="shared" ca="1" si="86"/>
        <v xml:space="preserve"> </v>
      </c>
    </row>
    <row r="137" spans="1:83" x14ac:dyDescent="0.2">
      <c r="A137" s="38" t="str">
        <f t="shared" si="64"/>
        <v xml:space="preserve"> </v>
      </c>
      <c r="B137" s="108"/>
      <c r="C137" s="38"/>
      <c r="D137" s="137"/>
      <c r="E137" s="137"/>
      <c r="F137" s="137"/>
      <c r="G137" s="122"/>
      <c r="H137" s="137"/>
      <c r="I137" s="50"/>
      <c r="J137" s="50"/>
      <c r="K137" s="50"/>
      <c r="L137" s="38"/>
      <c r="M137" s="38"/>
      <c r="N137" s="38"/>
      <c r="O137" s="50"/>
      <c r="P137" s="218"/>
      <c r="Q137" s="50"/>
      <c r="R137" s="50"/>
      <c r="S137" s="38"/>
      <c r="T137" s="51"/>
      <c r="U137" s="65"/>
      <c r="V137" s="105"/>
      <c r="W137" s="66"/>
      <c r="X137" s="66"/>
      <c r="Y137" s="38"/>
      <c r="Z137" s="66">
        <f t="shared" si="66"/>
        <v>0</v>
      </c>
      <c r="AA137" s="67"/>
      <c r="AC137" s="41" t="e">
        <f>VLOOKUP(A137,'Input Sheet'!$A$2:$B$232,2,0)</f>
        <v>#N/A</v>
      </c>
      <c r="AD137" s="70"/>
      <c r="AI137" s="68"/>
      <c r="AL137" s="107">
        <f t="shared" ca="1" si="87"/>
        <v>0</v>
      </c>
      <c r="AM137" s="49">
        <f t="shared" ca="1" si="88"/>
        <v>47452</v>
      </c>
      <c r="AN137" s="137" t="str">
        <f t="shared" ca="1" si="74"/>
        <v xml:space="preserve"> </v>
      </c>
      <c r="AO137" s="107">
        <f t="shared" ca="1" si="75"/>
        <v>0</v>
      </c>
      <c r="AP137" s="143">
        <f t="shared" ca="1" si="67"/>
        <v>0</v>
      </c>
      <c r="AQ137" s="143">
        <f t="shared" ca="1" si="76"/>
        <v>0</v>
      </c>
      <c r="AR137" s="49" t="str">
        <f t="shared" ca="1" si="68"/>
        <v xml:space="preserve"> </v>
      </c>
      <c r="AS137" s="107">
        <f t="shared" ca="1" si="69"/>
        <v>0</v>
      </c>
      <c r="AT137" s="107">
        <f t="shared" ca="1" si="70"/>
        <v>0</v>
      </c>
      <c r="AU137" s="107"/>
      <c r="AV137" s="107">
        <f ca="1">MAX(SUM($AQ$6:AQ137)-SUM($AT$6:AT137),0)</f>
        <v>0</v>
      </c>
      <c r="AW137" s="107">
        <f t="shared" ca="1" si="89"/>
        <v>0</v>
      </c>
      <c r="AX137" s="107">
        <v>0</v>
      </c>
      <c r="AY137" s="138" t="str">
        <f t="shared" ca="1" si="71"/>
        <v xml:space="preserve"> </v>
      </c>
      <c r="AZ137" s="107">
        <f t="shared" ca="1" si="72"/>
        <v>0</v>
      </c>
      <c r="BA137" s="107">
        <f ca="1">IF(AZ137=1,(SUM($AW$6:AW137,$AX$6:AX137)-SUM($BA$6:BA136)),0)</f>
        <v>0</v>
      </c>
      <c r="BB137" s="107"/>
      <c r="BC137" s="107">
        <f ca="1">AV137+SUM($AW$6:AW137)+SUM($AX$6:AX137)-SUM($BA$6:BA137)</f>
        <v>0</v>
      </c>
      <c r="BD137" s="107">
        <f t="shared" ca="1" si="77"/>
        <v>0</v>
      </c>
      <c r="BE137" s="51">
        <f ca="1">'PiT PD Structure'!J177</f>
        <v>6.2680385396807203E-5</v>
      </c>
      <c r="BF137" s="139">
        <f t="shared" ca="1" si="90"/>
        <v>0.45</v>
      </c>
      <c r="BG137" s="51">
        <f t="shared" ca="1" si="78"/>
        <v>1</v>
      </c>
      <c r="BH137" s="50">
        <f t="shared" ca="1" si="73"/>
        <v>0</v>
      </c>
      <c r="BI137" s="50">
        <f t="shared" ref="BI137:BI200" ca="1" si="94">BI136-BH136</f>
        <v>3.4816594052244909E-13</v>
      </c>
      <c r="BJ137" s="140">
        <v>0</v>
      </c>
      <c r="BK137" s="140">
        <v>0</v>
      </c>
      <c r="BM137" s="78"/>
      <c r="BR137" s="75">
        <f t="shared" ca="1" si="65"/>
        <v>47452</v>
      </c>
      <c r="BS137" s="74">
        <f t="shared" ca="1" si="79"/>
        <v>11</v>
      </c>
      <c r="BT137" s="74">
        <f t="shared" ca="1" si="80"/>
        <v>0</v>
      </c>
      <c r="BU137" s="73" t="str">
        <f t="shared" ca="1" si="81"/>
        <v xml:space="preserve"> </v>
      </c>
      <c r="BW137" s="75">
        <f t="shared" ca="1" si="91"/>
        <v>47452</v>
      </c>
      <c r="BX137" s="74">
        <f t="shared" ca="1" si="92"/>
        <v>11</v>
      </c>
      <c r="BY137" s="74">
        <f t="shared" ca="1" si="82"/>
        <v>0</v>
      </c>
      <c r="BZ137" s="73" t="str">
        <f t="shared" ca="1" si="83"/>
        <v xml:space="preserve"> </v>
      </c>
      <c r="CB137" s="75">
        <f t="shared" ca="1" si="93"/>
        <v>47452</v>
      </c>
      <c r="CC137" s="74">
        <f t="shared" ca="1" si="84"/>
        <v>11</v>
      </c>
      <c r="CD137" s="74">
        <f t="shared" ca="1" si="85"/>
        <v>0</v>
      </c>
      <c r="CE137" s="73" t="str">
        <f t="shared" ca="1" si="86"/>
        <v xml:space="preserve"> </v>
      </c>
    </row>
    <row r="138" spans="1:83" x14ac:dyDescent="0.2">
      <c r="A138" s="38" t="str">
        <f t="shared" ref="A138:A146" si="95">IF(B138=0," ",A137+1)</f>
        <v xml:space="preserve"> </v>
      </c>
      <c r="B138" s="108"/>
      <c r="C138" s="38"/>
      <c r="D138" s="137"/>
      <c r="E138" s="137"/>
      <c r="F138" s="137"/>
      <c r="G138" s="122"/>
      <c r="H138" s="137"/>
      <c r="I138" s="50"/>
      <c r="J138" s="50"/>
      <c r="K138" s="50"/>
      <c r="L138" s="38"/>
      <c r="M138" s="38"/>
      <c r="N138" s="38"/>
      <c r="O138" s="50"/>
      <c r="P138" s="218"/>
      <c r="Q138" s="50"/>
      <c r="R138" s="50"/>
      <c r="S138" s="38"/>
      <c r="T138" s="51"/>
      <c r="U138" s="65"/>
      <c r="V138" s="105"/>
      <c r="W138" s="66"/>
      <c r="X138" s="66"/>
      <c r="Y138" s="38"/>
      <c r="Z138" s="66">
        <f t="shared" si="66"/>
        <v>0</v>
      </c>
      <c r="AA138" s="67"/>
      <c r="AC138" s="41" t="e">
        <f>VLOOKUP(A138,'Input Sheet'!$A$2:$B$232,2,0)</f>
        <v>#N/A</v>
      </c>
      <c r="AD138" s="70"/>
      <c r="AI138" s="68"/>
      <c r="AL138" s="107">
        <f t="shared" ca="1" si="87"/>
        <v>0</v>
      </c>
      <c r="AM138" s="49">
        <f t="shared" ca="1" si="88"/>
        <v>47483</v>
      </c>
      <c r="AN138" s="137" t="str">
        <f t="shared" ca="1" si="74"/>
        <v xml:space="preserve"> </v>
      </c>
      <c r="AO138" s="107">
        <f t="shared" ca="1" si="75"/>
        <v>0</v>
      </c>
      <c r="AP138" s="143">
        <f t="shared" ca="1" si="67"/>
        <v>0</v>
      </c>
      <c r="AQ138" s="143">
        <f t="shared" ca="1" si="76"/>
        <v>0</v>
      </c>
      <c r="AR138" s="49" t="str">
        <f t="shared" ca="1" si="68"/>
        <v xml:space="preserve"> </v>
      </c>
      <c r="AS138" s="107">
        <f t="shared" ca="1" si="69"/>
        <v>0</v>
      </c>
      <c r="AT138" s="107">
        <f t="shared" ca="1" si="70"/>
        <v>0</v>
      </c>
      <c r="AU138" s="107"/>
      <c r="AV138" s="107">
        <f ca="1">MAX(SUM($AQ$6:AQ138)-SUM($AT$6:AT138),0)</f>
        <v>0</v>
      </c>
      <c r="AW138" s="107">
        <f t="shared" ca="1" si="89"/>
        <v>0</v>
      </c>
      <c r="AX138" s="107">
        <v>0</v>
      </c>
      <c r="AY138" s="138" t="str">
        <f t="shared" ca="1" si="71"/>
        <v xml:space="preserve"> </v>
      </c>
      <c r="AZ138" s="107">
        <f t="shared" ca="1" si="72"/>
        <v>0</v>
      </c>
      <c r="BA138" s="107">
        <f ca="1">IF(AZ138=1,(SUM($AW$6:AW138,$AX$6:AX138)-SUM($BA$6:BA137)),0)</f>
        <v>0</v>
      </c>
      <c r="BB138" s="107"/>
      <c r="BC138" s="107">
        <f ca="1">AV138+SUM($AW$6:AW138)+SUM($AX$6:AX138)-SUM($BA$6:BA138)</f>
        <v>0</v>
      </c>
      <c r="BD138" s="107">
        <f t="shared" ca="1" si="77"/>
        <v>0</v>
      </c>
      <c r="BE138" s="51">
        <f ca="1">'PiT PD Structure'!J178</f>
        <v>1.4590920664452334E-3</v>
      </c>
      <c r="BF138" s="139">
        <f t="shared" ca="1" si="90"/>
        <v>0.45</v>
      </c>
      <c r="BG138" s="51">
        <f t="shared" ca="1" si="78"/>
        <v>1</v>
      </c>
      <c r="BH138" s="50">
        <f t="shared" ca="1" si="73"/>
        <v>0</v>
      </c>
      <c r="BI138" s="50">
        <f t="shared" ca="1" si="94"/>
        <v>3.4816594052244909E-13</v>
      </c>
      <c r="BJ138" s="140">
        <v>0</v>
      </c>
      <c r="BK138" s="140">
        <v>0</v>
      </c>
      <c r="BM138" s="78"/>
      <c r="BR138" s="75">
        <f t="shared" ca="1" si="65"/>
        <v>47483</v>
      </c>
      <c r="BS138" s="74">
        <f t="shared" ca="1" si="79"/>
        <v>12</v>
      </c>
      <c r="BT138" s="74">
        <f t="shared" ca="1" si="80"/>
        <v>0</v>
      </c>
      <c r="BU138" s="73" t="str">
        <f t="shared" ca="1" si="81"/>
        <v xml:space="preserve"> </v>
      </c>
      <c r="BW138" s="75">
        <f t="shared" ca="1" si="91"/>
        <v>47483</v>
      </c>
      <c r="BX138" s="74">
        <f t="shared" ca="1" si="92"/>
        <v>12</v>
      </c>
      <c r="BY138" s="74">
        <f t="shared" ca="1" si="82"/>
        <v>0</v>
      </c>
      <c r="BZ138" s="73" t="str">
        <f t="shared" ca="1" si="83"/>
        <v xml:space="preserve"> </v>
      </c>
      <c r="CB138" s="75">
        <f t="shared" ca="1" si="93"/>
        <v>47483</v>
      </c>
      <c r="CC138" s="74">
        <f t="shared" ca="1" si="84"/>
        <v>12</v>
      </c>
      <c r="CD138" s="74">
        <f t="shared" ca="1" si="85"/>
        <v>0</v>
      </c>
      <c r="CE138" s="73" t="str">
        <f t="shared" ca="1" si="86"/>
        <v xml:space="preserve"> </v>
      </c>
    </row>
    <row r="139" spans="1:83" x14ac:dyDescent="0.2">
      <c r="A139" s="38" t="str">
        <f t="shared" si="95"/>
        <v xml:space="preserve"> </v>
      </c>
      <c r="B139" s="108"/>
      <c r="C139" s="38"/>
      <c r="D139" s="137"/>
      <c r="E139" s="137"/>
      <c r="F139" s="137"/>
      <c r="G139" s="122"/>
      <c r="H139" s="137"/>
      <c r="I139" s="50"/>
      <c r="J139" s="50"/>
      <c r="K139" s="50"/>
      <c r="L139" s="38"/>
      <c r="M139" s="38"/>
      <c r="N139" s="38"/>
      <c r="O139" s="50"/>
      <c r="P139" s="218"/>
      <c r="Q139" s="50"/>
      <c r="R139" s="50"/>
      <c r="S139" s="38"/>
      <c r="T139" s="51"/>
      <c r="U139" s="65"/>
      <c r="V139" s="105"/>
      <c r="W139" s="66"/>
      <c r="X139" s="66"/>
      <c r="Y139" s="38"/>
      <c r="Z139" s="66">
        <f t="shared" si="66"/>
        <v>0</v>
      </c>
      <c r="AA139" s="67"/>
      <c r="AC139" s="41" t="e">
        <f>VLOOKUP(A139,'Input Sheet'!$A$2:$B$232,2,0)</f>
        <v>#N/A</v>
      </c>
      <c r="AD139" s="70"/>
      <c r="AI139" s="68"/>
      <c r="AL139" s="107">
        <f t="shared" ca="1" si="87"/>
        <v>0</v>
      </c>
      <c r="AM139" s="49">
        <f t="shared" ca="1" si="88"/>
        <v>47514</v>
      </c>
      <c r="AN139" s="137" t="str">
        <f t="shared" ca="1" si="74"/>
        <v xml:space="preserve"> </v>
      </c>
      <c r="AO139" s="107">
        <f t="shared" ca="1" si="75"/>
        <v>0</v>
      </c>
      <c r="AP139" s="143">
        <f t="shared" ca="1" si="67"/>
        <v>0</v>
      </c>
      <c r="AQ139" s="143">
        <f t="shared" ca="1" si="76"/>
        <v>0</v>
      </c>
      <c r="AR139" s="49" t="str">
        <f t="shared" ca="1" si="68"/>
        <v xml:space="preserve"> </v>
      </c>
      <c r="AS139" s="107">
        <f t="shared" ca="1" si="69"/>
        <v>0</v>
      </c>
      <c r="AT139" s="107">
        <f t="shared" ca="1" si="70"/>
        <v>0</v>
      </c>
      <c r="AU139" s="107"/>
      <c r="AV139" s="107">
        <f ca="1">MAX(SUM($AQ$6:AQ139)-SUM($AT$6:AT139),0)</f>
        <v>0</v>
      </c>
      <c r="AW139" s="107">
        <f t="shared" ca="1" si="89"/>
        <v>0</v>
      </c>
      <c r="AX139" s="107">
        <v>0</v>
      </c>
      <c r="AY139" s="138" t="str">
        <f t="shared" ca="1" si="71"/>
        <v xml:space="preserve"> </v>
      </c>
      <c r="AZ139" s="107">
        <f t="shared" ca="1" si="72"/>
        <v>0</v>
      </c>
      <c r="BA139" s="107">
        <f ca="1">IF(AZ139=1,(SUM($AW$6:AW139,$AX$6:AX139)-SUM($BA$6:BA138)),0)</f>
        <v>0</v>
      </c>
      <c r="BB139" s="107"/>
      <c r="BC139" s="107">
        <f ca="1">AV139+SUM($AW$6:AW139)+SUM($AX$6:AX139)-SUM($BA$6:BA139)</f>
        <v>0</v>
      </c>
      <c r="BD139" s="107">
        <f t="shared" ca="1" si="77"/>
        <v>0</v>
      </c>
      <c r="BE139" s="51">
        <f ca="1">'PiT PD Structure'!J179</f>
        <v>6.7909032208435249E-5</v>
      </c>
      <c r="BF139" s="139">
        <f t="shared" ca="1" si="90"/>
        <v>0.45</v>
      </c>
      <c r="BG139" s="51">
        <f t="shared" ca="1" si="78"/>
        <v>1</v>
      </c>
      <c r="BH139" s="50">
        <f t="shared" ca="1" si="73"/>
        <v>0</v>
      </c>
      <c r="BI139" s="50">
        <f t="shared" ca="1" si="94"/>
        <v>3.4816594052244909E-13</v>
      </c>
      <c r="BJ139" s="140">
        <v>0</v>
      </c>
      <c r="BK139" s="140">
        <v>0</v>
      </c>
      <c r="BM139" s="78"/>
      <c r="BR139" s="75">
        <f t="shared" ca="1" si="65"/>
        <v>47514</v>
      </c>
      <c r="BS139" s="74">
        <f t="shared" ca="1" si="79"/>
        <v>1</v>
      </c>
      <c r="BT139" s="74">
        <f t="shared" ca="1" si="80"/>
        <v>0</v>
      </c>
      <c r="BU139" s="73" t="str">
        <f t="shared" ca="1" si="81"/>
        <v xml:space="preserve"> </v>
      </c>
      <c r="BW139" s="75">
        <f t="shared" ca="1" si="91"/>
        <v>47514</v>
      </c>
      <c r="BX139" s="74">
        <f t="shared" ca="1" si="92"/>
        <v>1</v>
      </c>
      <c r="BY139" s="74">
        <f t="shared" ca="1" si="82"/>
        <v>0</v>
      </c>
      <c r="BZ139" s="73" t="str">
        <f t="shared" ca="1" si="83"/>
        <v xml:space="preserve"> </v>
      </c>
      <c r="CB139" s="75">
        <f t="shared" ca="1" si="93"/>
        <v>47514</v>
      </c>
      <c r="CC139" s="74">
        <f t="shared" ca="1" si="84"/>
        <v>1</v>
      </c>
      <c r="CD139" s="74">
        <f t="shared" ca="1" si="85"/>
        <v>0</v>
      </c>
      <c r="CE139" s="73" t="str">
        <f t="shared" ca="1" si="86"/>
        <v xml:space="preserve"> </v>
      </c>
    </row>
    <row r="140" spans="1:83" x14ac:dyDescent="0.2">
      <c r="A140" s="38" t="str">
        <f t="shared" si="95"/>
        <v xml:space="preserve"> </v>
      </c>
      <c r="B140" s="108"/>
      <c r="C140" s="38"/>
      <c r="D140" s="137"/>
      <c r="E140" s="137"/>
      <c r="F140" s="137"/>
      <c r="G140" s="122"/>
      <c r="H140" s="137"/>
      <c r="I140" s="50"/>
      <c r="J140" s="50"/>
      <c r="K140" s="50"/>
      <c r="L140" s="38"/>
      <c r="M140" s="38"/>
      <c r="N140" s="38"/>
      <c r="O140" s="50"/>
      <c r="P140" s="218"/>
      <c r="Q140" s="50"/>
      <c r="R140" s="50"/>
      <c r="S140" s="38"/>
      <c r="T140" s="51"/>
      <c r="U140" s="65"/>
      <c r="V140" s="105"/>
      <c r="W140" s="66"/>
      <c r="X140" s="66"/>
      <c r="Y140" s="38"/>
      <c r="Z140" s="66">
        <f t="shared" si="66"/>
        <v>0</v>
      </c>
      <c r="AA140" s="67"/>
      <c r="AC140" s="41" t="e">
        <f>VLOOKUP(A140,'Input Sheet'!$A$2:$B$232,2,0)</f>
        <v>#N/A</v>
      </c>
      <c r="AD140" s="70"/>
      <c r="AI140" s="68"/>
      <c r="AL140" s="107">
        <f t="shared" ca="1" si="87"/>
        <v>0</v>
      </c>
      <c r="AM140" s="49">
        <f t="shared" ca="1" si="88"/>
        <v>47542</v>
      </c>
      <c r="AN140" s="137" t="str">
        <f t="shared" ca="1" si="74"/>
        <v xml:space="preserve"> </v>
      </c>
      <c r="AO140" s="107">
        <f t="shared" ca="1" si="75"/>
        <v>0</v>
      </c>
      <c r="AP140" s="143">
        <f t="shared" ca="1" si="67"/>
        <v>0</v>
      </c>
      <c r="AQ140" s="143">
        <f t="shared" ca="1" si="76"/>
        <v>0</v>
      </c>
      <c r="AR140" s="49" t="str">
        <f t="shared" ca="1" si="68"/>
        <v xml:space="preserve"> </v>
      </c>
      <c r="AS140" s="107">
        <f t="shared" ca="1" si="69"/>
        <v>0</v>
      </c>
      <c r="AT140" s="107">
        <f t="shared" ca="1" si="70"/>
        <v>0</v>
      </c>
      <c r="AU140" s="107"/>
      <c r="AV140" s="107">
        <f ca="1">MAX(SUM($AQ$6:AQ140)-SUM($AT$6:AT140),0)</f>
        <v>0</v>
      </c>
      <c r="AW140" s="107">
        <f t="shared" ca="1" si="89"/>
        <v>0</v>
      </c>
      <c r="AX140" s="107">
        <v>0</v>
      </c>
      <c r="AY140" s="138" t="str">
        <f t="shared" ca="1" si="71"/>
        <v xml:space="preserve"> </v>
      </c>
      <c r="AZ140" s="107">
        <f t="shared" ca="1" si="72"/>
        <v>0</v>
      </c>
      <c r="BA140" s="107">
        <f ca="1">IF(AZ140=1,(SUM($AW$6:AW140,$AX$6:AX140)-SUM($BA$6:BA139)),0)</f>
        <v>0</v>
      </c>
      <c r="BB140" s="107"/>
      <c r="BC140" s="107">
        <f ca="1">AV140+SUM($AW$6:AW140)+SUM($AX$6:AX140)-SUM($BA$6:BA140)</f>
        <v>0</v>
      </c>
      <c r="BD140" s="107">
        <f t="shared" ca="1" si="77"/>
        <v>0</v>
      </c>
      <c r="BE140" s="51">
        <f ca="1">'PiT PD Structure'!J180</f>
        <v>6.7904354273840006E-5</v>
      </c>
      <c r="BF140" s="139">
        <f t="shared" ca="1" si="90"/>
        <v>0.45</v>
      </c>
      <c r="BG140" s="51">
        <f t="shared" ca="1" si="78"/>
        <v>1</v>
      </c>
      <c r="BH140" s="50">
        <f t="shared" ca="1" si="73"/>
        <v>0</v>
      </c>
      <c r="BI140" s="50">
        <f t="shared" ca="1" si="94"/>
        <v>3.4816594052244909E-13</v>
      </c>
      <c r="BJ140" s="140">
        <v>0</v>
      </c>
      <c r="BK140" s="140">
        <v>0</v>
      </c>
      <c r="BM140" s="78"/>
      <c r="BR140" s="75">
        <f t="shared" ca="1" si="65"/>
        <v>47542</v>
      </c>
      <c r="BS140" s="74">
        <f t="shared" ca="1" si="79"/>
        <v>2</v>
      </c>
      <c r="BT140" s="74">
        <f t="shared" ca="1" si="80"/>
        <v>0</v>
      </c>
      <c r="BU140" s="73" t="str">
        <f t="shared" ca="1" si="81"/>
        <v xml:space="preserve"> </v>
      </c>
      <c r="BW140" s="75">
        <f t="shared" ca="1" si="91"/>
        <v>47542</v>
      </c>
      <c r="BX140" s="74">
        <f t="shared" ca="1" si="92"/>
        <v>2</v>
      </c>
      <c r="BY140" s="74">
        <f t="shared" ca="1" si="82"/>
        <v>0</v>
      </c>
      <c r="BZ140" s="73" t="str">
        <f t="shared" ca="1" si="83"/>
        <v xml:space="preserve"> </v>
      </c>
      <c r="CB140" s="75">
        <f t="shared" ca="1" si="93"/>
        <v>47542</v>
      </c>
      <c r="CC140" s="74">
        <f t="shared" ca="1" si="84"/>
        <v>2</v>
      </c>
      <c r="CD140" s="74">
        <f t="shared" ca="1" si="85"/>
        <v>0</v>
      </c>
      <c r="CE140" s="73" t="str">
        <f t="shared" ca="1" si="86"/>
        <v xml:space="preserve"> </v>
      </c>
    </row>
    <row r="141" spans="1:83" x14ac:dyDescent="0.2">
      <c r="A141" s="38" t="str">
        <f t="shared" si="95"/>
        <v xml:space="preserve"> </v>
      </c>
      <c r="B141" s="108"/>
      <c r="C141" s="38"/>
      <c r="D141" s="137"/>
      <c r="E141" s="137"/>
      <c r="F141" s="137"/>
      <c r="G141" s="122"/>
      <c r="H141" s="137"/>
      <c r="I141" s="50"/>
      <c r="J141" s="50"/>
      <c r="K141" s="50"/>
      <c r="L141" s="38"/>
      <c r="M141" s="38"/>
      <c r="N141" s="38"/>
      <c r="O141" s="50"/>
      <c r="P141" s="218"/>
      <c r="Q141" s="50"/>
      <c r="R141" s="50"/>
      <c r="S141" s="38"/>
      <c r="T141" s="51"/>
      <c r="U141" s="65"/>
      <c r="V141" s="105"/>
      <c r="W141" s="66"/>
      <c r="X141" s="66"/>
      <c r="Y141" s="38"/>
      <c r="Z141" s="66">
        <f t="shared" si="66"/>
        <v>0</v>
      </c>
      <c r="AA141" s="67"/>
      <c r="AC141" s="41" t="e">
        <f>VLOOKUP(A141,'Input Sheet'!$A$2:$B$232,2,0)</f>
        <v>#N/A</v>
      </c>
      <c r="AD141" s="70"/>
      <c r="AI141" s="68"/>
      <c r="AL141" s="107">
        <f t="shared" ca="1" si="87"/>
        <v>0</v>
      </c>
      <c r="AM141" s="49">
        <f t="shared" ca="1" si="88"/>
        <v>47573</v>
      </c>
      <c r="AN141" s="137" t="str">
        <f t="shared" ca="1" si="74"/>
        <v xml:space="preserve"> </v>
      </c>
      <c r="AO141" s="107">
        <f t="shared" ca="1" si="75"/>
        <v>0</v>
      </c>
      <c r="AP141" s="143">
        <f t="shared" ca="1" si="67"/>
        <v>0</v>
      </c>
      <c r="AQ141" s="143">
        <f t="shared" ca="1" si="76"/>
        <v>0</v>
      </c>
      <c r="AR141" s="49" t="str">
        <f t="shared" ca="1" si="68"/>
        <v xml:space="preserve"> </v>
      </c>
      <c r="AS141" s="107">
        <f t="shared" ca="1" si="69"/>
        <v>0</v>
      </c>
      <c r="AT141" s="107">
        <f t="shared" ca="1" si="70"/>
        <v>0</v>
      </c>
      <c r="AU141" s="107"/>
      <c r="AV141" s="107">
        <f ca="1">MAX(SUM($AQ$6:AQ141)-SUM($AT$6:AT141),0)</f>
        <v>0</v>
      </c>
      <c r="AW141" s="107">
        <f t="shared" ca="1" si="89"/>
        <v>0</v>
      </c>
      <c r="AX141" s="107">
        <v>0</v>
      </c>
      <c r="AY141" s="138" t="str">
        <f t="shared" ca="1" si="71"/>
        <v xml:space="preserve"> </v>
      </c>
      <c r="AZ141" s="107">
        <f t="shared" ca="1" si="72"/>
        <v>0</v>
      </c>
      <c r="BA141" s="107">
        <f ca="1">IF(AZ141=1,(SUM($AW$6:AW141,$AX$6:AX141)-SUM($BA$6:BA140)),0)</f>
        <v>0</v>
      </c>
      <c r="BB141" s="107"/>
      <c r="BC141" s="107">
        <f ca="1">AV141+SUM($AW$6:AW141)+SUM($AX$6:AX141)-SUM($BA$6:BA141)</f>
        <v>0</v>
      </c>
      <c r="BD141" s="107">
        <f t="shared" ca="1" si="77"/>
        <v>0</v>
      </c>
      <c r="BE141" s="51">
        <f ca="1">'PiT PD Structure'!J181</f>
        <v>6.7899676661320463E-5</v>
      </c>
      <c r="BF141" s="139">
        <f t="shared" ca="1" si="90"/>
        <v>0.45</v>
      </c>
      <c r="BG141" s="51">
        <f t="shared" ca="1" si="78"/>
        <v>1</v>
      </c>
      <c r="BH141" s="50">
        <f t="shared" ca="1" si="73"/>
        <v>0</v>
      </c>
      <c r="BI141" s="50">
        <f t="shared" ca="1" si="94"/>
        <v>3.4816594052244909E-13</v>
      </c>
      <c r="BJ141" s="140">
        <v>0</v>
      </c>
      <c r="BK141" s="140">
        <v>0</v>
      </c>
      <c r="BM141" s="78"/>
      <c r="BR141" s="75">
        <f t="shared" ca="1" si="65"/>
        <v>47573</v>
      </c>
      <c r="BS141" s="74">
        <f t="shared" ca="1" si="79"/>
        <v>3</v>
      </c>
      <c r="BT141" s="74">
        <f t="shared" ca="1" si="80"/>
        <v>0</v>
      </c>
      <c r="BU141" s="73" t="str">
        <f t="shared" ca="1" si="81"/>
        <v xml:space="preserve"> </v>
      </c>
      <c r="BW141" s="75">
        <f t="shared" ca="1" si="91"/>
        <v>47573</v>
      </c>
      <c r="BX141" s="74">
        <f t="shared" ca="1" si="92"/>
        <v>3</v>
      </c>
      <c r="BY141" s="74">
        <f t="shared" ca="1" si="82"/>
        <v>0</v>
      </c>
      <c r="BZ141" s="73" t="str">
        <f t="shared" ca="1" si="83"/>
        <v xml:space="preserve"> </v>
      </c>
      <c r="CB141" s="75">
        <f t="shared" ca="1" si="93"/>
        <v>47573</v>
      </c>
      <c r="CC141" s="74">
        <f t="shared" ca="1" si="84"/>
        <v>3</v>
      </c>
      <c r="CD141" s="74">
        <f t="shared" ca="1" si="85"/>
        <v>0</v>
      </c>
      <c r="CE141" s="73" t="str">
        <f t="shared" ca="1" si="86"/>
        <v xml:space="preserve"> </v>
      </c>
    </row>
    <row r="142" spans="1:83" x14ac:dyDescent="0.2">
      <c r="A142" s="38" t="str">
        <f t="shared" si="95"/>
        <v xml:space="preserve"> </v>
      </c>
      <c r="B142" s="108"/>
      <c r="C142" s="38"/>
      <c r="D142" s="137"/>
      <c r="E142" s="137"/>
      <c r="F142" s="137"/>
      <c r="G142" s="122"/>
      <c r="H142" s="137"/>
      <c r="I142" s="50"/>
      <c r="J142" s="50"/>
      <c r="K142" s="50"/>
      <c r="L142" s="38"/>
      <c r="M142" s="38"/>
      <c r="N142" s="38"/>
      <c r="O142" s="50"/>
      <c r="P142" s="218"/>
      <c r="Q142" s="50"/>
      <c r="R142" s="50"/>
      <c r="S142" s="38"/>
      <c r="T142" s="51"/>
      <c r="U142" s="65"/>
      <c r="V142" s="105"/>
      <c r="W142" s="66"/>
      <c r="X142" s="66"/>
      <c r="Y142" s="38"/>
      <c r="Z142" s="66">
        <f t="shared" si="66"/>
        <v>0</v>
      </c>
      <c r="AA142" s="67"/>
      <c r="AC142" s="41" t="e">
        <f>VLOOKUP(A142,'Input Sheet'!$A$2:$B$232,2,0)</f>
        <v>#N/A</v>
      </c>
      <c r="AD142" s="70"/>
      <c r="AI142" s="68"/>
      <c r="AL142" s="107">
        <f t="shared" ca="1" si="87"/>
        <v>0</v>
      </c>
      <c r="AM142" s="49">
        <f t="shared" ca="1" si="88"/>
        <v>47603</v>
      </c>
      <c r="AN142" s="137" t="str">
        <f t="shared" ca="1" si="74"/>
        <v xml:space="preserve"> </v>
      </c>
      <c r="AO142" s="107">
        <f t="shared" ca="1" si="75"/>
        <v>0</v>
      </c>
      <c r="AP142" s="143">
        <f t="shared" ca="1" si="67"/>
        <v>0</v>
      </c>
      <c r="AQ142" s="143">
        <f t="shared" ca="1" si="76"/>
        <v>0</v>
      </c>
      <c r="AR142" s="49" t="str">
        <f t="shared" ca="1" si="68"/>
        <v xml:space="preserve"> </v>
      </c>
      <c r="AS142" s="107">
        <f t="shared" ca="1" si="69"/>
        <v>0</v>
      </c>
      <c r="AT142" s="107">
        <f t="shared" ca="1" si="70"/>
        <v>0</v>
      </c>
      <c r="AU142" s="107"/>
      <c r="AV142" s="107">
        <f ca="1">MAX(SUM($AQ$6:AQ142)-SUM($AT$6:AT142),0)</f>
        <v>0</v>
      </c>
      <c r="AW142" s="107">
        <f t="shared" ca="1" si="89"/>
        <v>0</v>
      </c>
      <c r="AX142" s="107">
        <v>0</v>
      </c>
      <c r="AY142" s="138" t="str">
        <f t="shared" ca="1" si="71"/>
        <v xml:space="preserve"> </v>
      </c>
      <c r="AZ142" s="107">
        <f t="shared" ca="1" si="72"/>
        <v>0</v>
      </c>
      <c r="BA142" s="107">
        <f ca="1">IF(AZ142=1,(SUM($AW$6:AW142,$AX$6:AX142)-SUM($BA$6:BA141)),0)</f>
        <v>0</v>
      </c>
      <c r="BB142" s="107"/>
      <c r="BC142" s="107">
        <f ca="1">AV142+SUM($AW$6:AW142)+SUM($AX$6:AX142)-SUM($BA$6:BA142)</f>
        <v>0</v>
      </c>
      <c r="BD142" s="107">
        <f t="shared" ca="1" si="77"/>
        <v>0</v>
      </c>
      <c r="BE142" s="51">
        <f ca="1">'PiT PD Structure'!J182</f>
        <v>6.7894999371098663E-5</v>
      </c>
      <c r="BF142" s="139">
        <f t="shared" ca="1" si="90"/>
        <v>0.45</v>
      </c>
      <c r="BG142" s="51">
        <f t="shared" ca="1" si="78"/>
        <v>1</v>
      </c>
      <c r="BH142" s="50">
        <f t="shared" ca="1" si="73"/>
        <v>0</v>
      </c>
      <c r="BI142" s="50">
        <f t="shared" ca="1" si="94"/>
        <v>3.4816594052244909E-13</v>
      </c>
      <c r="BJ142" s="140">
        <v>0</v>
      </c>
      <c r="BK142" s="140">
        <v>0</v>
      </c>
      <c r="BM142" s="78"/>
      <c r="BR142" s="75">
        <f t="shared" ca="1" si="65"/>
        <v>47603</v>
      </c>
      <c r="BS142" s="74">
        <f t="shared" ca="1" si="79"/>
        <v>4</v>
      </c>
      <c r="BT142" s="74">
        <f t="shared" ca="1" si="80"/>
        <v>0</v>
      </c>
      <c r="BU142" s="73" t="str">
        <f t="shared" ca="1" si="81"/>
        <v xml:space="preserve"> </v>
      </c>
      <c r="BW142" s="75">
        <f t="shared" ca="1" si="91"/>
        <v>47603</v>
      </c>
      <c r="BX142" s="74">
        <f t="shared" ca="1" si="92"/>
        <v>4</v>
      </c>
      <c r="BY142" s="74">
        <f t="shared" ca="1" si="82"/>
        <v>0</v>
      </c>
      <c r="BZ142" s="73" t="str">
        <f t="shared" ca="1" si="83"/>
        <v xml:space="preserve"> </v>
      </c>
      <c r="CB142" s="75">
        <f t="shared" ca="1" si="93"/>
        <v>47603</v>
      </c>
      <c r="CC142" s="74">
        <f t="shared" ca="1" si="84"/>
        <v>4</v>
      </c>
      <c r="CD142" s="74">
        <f t="shared" ca="1" si="85"/>
        <v>0</v>
      </c>
      <c r="CE142" s="73" t="str">
        <f t="shared" ca="1" si="86"/>
        <v xml:space="preserve"> </v>
      </c>
    </row>
    <row r="143" spans="1:83" x14ac:dyDescent="0.2">
      <c r="A143" s="38" t="str">
        <f t="shared" si="95"/>
        <v xml:space="preserve"> </v>
      </c>
      <c r="B143" s="108"/>
      <c r="C143" s="38"/>
      <c r="D143" s="137"/>
      <c r="E143" s="137"/>
      <c r="F143" s="137"/>
      <c r="G143" s="122"/>
      <c r="H143" s="137"/>
      <c r="I143" s="50"/>
      <c r="J143" s="50"/>
      <c r="K143" s="50"/>
      <c r="L143" s="38"/>
      <c r="M143" s="38"/>
      <c r="N143" s="38"/>
      <c r="O143" s="50"/>
      <c r="P143" s="218"/>
      <c r="Q143" s="50"/>
      <c r="R143" s="50"/>
      <c r="S143" s="38"/>
      <c r="T143" s="51"/>
      <c r="U143" s="65"/>
      <c r="V143" s="105"/>
      <c r="W143" s="66"/>
      <c r="X143" s="66"/>
      <c r="Y143" s="38"/>
      <c r="Z143" s="66">
        <f t="shared" si="66"/>
        <v>0</v>
      </c>
      <c r="AA143" s="67"/>
      <c r="AC143" s="41" t="e">
        <f>VLOOKUP(A143,'Input Sheet'!$A$2:$B$232,2,0)</f>
        <v>#N/A</v>
      </c>
      <c r="AD143" s="70"/>
      <c r="AI143" s="68"/>
      <c r="AL143" s="107">
        <f t="shared" ca="1" si="87"/>
        <v>0</v>
      </c>
      <c r="AM143" s="49">
        <f t="shared" ca="1" si="88"/>
        <v>47634</v>
      </c>
      <c r="AN143" s="137" t="str">
        <f t="shared" ca="1" si="74"/>
        <v xml:space="preserve"> </v>
      </c>
      <c r="AO143" s="107">
        <f t="shared" ca="1" si="75"/>
        <v>0</v>
      </c>
      <c r="AP143" s="143">
        <f t="shared" ca="1" si="67"/>
        <v>0</v>
      </c>
      <c r="AQ143" s="143">
        <f t="shared" ca="1" si="76"/>
        <v>0</v>
      </c>
      <c r="AR143" s="49" t="str">
        <f t="shared" ca="1" si="68"/>
        <v xml:space="preserve"> </v>
      </c>
      <c r="AS143" s="107">
        <f t="shared" ca="1" si="69"/>
        <v>0</v>
      </c>
      <c r="AT143" s="107">
        <f t="shared" ca="1" si="70"/>
        <v>0</v>
      </c>
      <c r="AU143" s="107"/>
      <c r="AV143" s="107">
        <f ca="1">MAX(SUM($AQ$6:AQ143)-SUM($AT$6:AT143),0)</f>
        <v>0</v>
      </c>
      <c r="AW143" s="107">
        <f t="shared" ca="1" si="89"/>
        <v>0</v>
      </c>
      <c r="AX143" s="107">
        <v>0</v>
      </c>
      <c r="AY143" s="138" t="str">
        <f t="shared" ca="1" si="71"/>
        <v xml:space="preserve"> </v>
      </c>
      <c r="AZ143" s="107">
        <f t="shared" ca="1" si="72"/>
        <v>0</v>
      </c>
      <c r="BA143" s="107">
        <f ca="1">IF(AZ143=1,(SUM($AW$6:AW143,$AX$6:AX143)-SUM($BA$6:BA142)),0)</f>
        <v>0</v>
      </c>
      <c r="BB143" s="107"/>
      <c r="BC143" s="107">
        <f ca="1">AV143+SUM($AW$6:AW143)+SUM($AX$6:AX143)-SUM($BA$6:BA143)</f>
        <v>0</v>
      </c>
      <c r="BD143" s="107">
        <f t="shared" ca="1" si="77"/>
        <v>0</v>
      </c>
      <c r="BE143" s="51">
        <f ca="1">'PiT PD Structure'!J183</f>
        <v>6.7890322403063585E-5</v>
      </c>
      <c r="BF143" s="139">
        <f t="shared" ca="1" si="90"/>
        <v>0.45</v>
      </c>
      <c r="BG143" s="51">
        <f t="shared" ca="1" si="78"/>
        <v>1</v>
      </c>
      <c r="BH143" s="50">
        <f t="shared" ca="1" si="73"/>
        <v>0</v>
      </c>
      <c r="BI143" s="50">
        <f t="shared" ca="1" si="94"/>
        <v>3.4816594052244909E-13</v>
      </c>
      <c r="BJ143" s="140">
        <v>0</v>
      </c>
      <c r="BK143" s="140">
        <v>0</v>
      </c>
      <c r="BM143" s="78"/>
      <c r="BR143" s="75">
        <f t="shared" ca="1" si="65"/>
        <v>47634</v>
      </c>
      <c r="BS143" s="74">
        <f t="shared" ca="1" si="79"/>
        <v>5</v>
      </c>
      <c r="BT143" s="74">
        <f t="shared" ca="1" si="80"/>
        <v>0</v>
      </c>
      <c r="BU143" s="73" t="str">
        <f t="shared" ca="1" si="81"/>
        <v xml:space="preserve"> </v>
      </c>
      <c r="BW143" s="75">
        <f t="shared" ca="1" si="91"/>
        <v>47634</v>
      </c>
      <c r="BX143" s="74">
        <f t="shared" ca="1" si="92"/>
        <v>5</v>
      </c>
      <c r="BY143" s="74">
        <f t="shared" ca="1" si="82"/>
        <v>0</v>
      </c>
      <c r="BZ143" s="73" t="str">
        <f t="shared" ca="1" si="83"/>
        <v xml:space="preserve"> </v>
      </c>
      <c r="CB143" s="75">
        <f t="shared" ca="1" si="93"/>
        <v>47634</v>
      </c>
      <c r="CC143" s="74">
        <f t="shared" ca="1" si="84"/>
        <v>5</v>
      </c>
      <c r="CD143" s="74">
        <f t="shared" ca="1" si="85"/>
        <v>0</v>
      </c>
      <c r="CE143" s="73" t="str">
        <f t="shared" ca="1" si="86"/>
        <v xml:space="preserve"> </v>
      </c>
    </row>
    <row r="144" spans="1:83" x14ac:dyDescent="0.2">
      <c r="A144" s="38" t="str">
        <f t="shared" si="95"/>
        <v xml:space="preserve"> </v>
      </c>
      <c r="B144" s="108"/>
      <c r="C144" s="38"/>
      <c r="D144" s="137"/>
      <c r="E144" s="137"/>
      <c r="F144" s="137"/>
      <c r="G144" s="122"/>
      <c r="H144" s="137"/>
      <c r="I144" s="50"/>
      <c r="J144" s="50"/>
      <c r="K144" s="50"/>
      <c r="L144" s="38"/>
      <c r="M144" s="38"/>
      <c r="N144" s="38"/>
      <c r="O144" s="50"/>
      <c r="P144" s="218"/>
      <c r="Q144" s="50"/>
      <c r="R144" s="50"/>
      <c r="S144" s="38"/>
      <c r="T144" s="51"/>
      <c r="U144" s="65"/>
      <c r="V144" s="105"/>
      <c r="W144" s="66"/>
      <c r="X144" s="66"/>
      <c r="Y144" s="38"/>
      <c r="Z144" s="66">
        <f t="shared" si="66"/>
        <v>0</v>
      </c>
      <c r="AA144" s="67"/>
      <c r="AC144" s="41" t="e">
        <f>VLOOKUP(A144,'Input Sheet'!$A$2:$B$232,2,0)</f>
        <v>#N/A</v>
      </c>
      <c r="AD144" s="70"/>
      <c r="AI144" s="68"/>
      <c r="AL144" s="107">
        <f t="shared" ca="1" si="87"/>
        <v>0</v>
      </c>
      <c r="AM144" s="49">
        <f t="shared" ca="1" si="88"/>
        <v>47664</v>
      </c>
      <c r="AN144" s="137" t="str">
        <f t="shared" ca="1" si="74"/>
        <v xml:space="preserve"> </v>
      </c>
      <c r="AO144" s="107">
        <f t="shared" ca="1" si="75"/>
        <v>0</v>
      </c>
      <c r="AP144" s="143">
        <f t="shared" ca="1" si="67"/>
        <v>0</v>
      </c>
      <c r="AQ144" s="143">
        <f t="shared" ca="1" si="76"/>
        <v>0</v>
      </c>
      <c r="AR144" s="49" t="str">
        <f t="shared" ca="1" si="68"/>
        <v xml:space="preserve"> </v>
      </c>
      <c r="AS144" s="107">
        <f t="shared" ca="1" si="69"/>
        <v>0</v>
      </c>
      <c r="AT144" s="107">
        <f t="shared" ca="1" si="70"/>
        <v>0</v>
      </c>
      <c r="AU144" s="107"/>
      <c r="AV144" s="107">
        <f ca="1">MAX(SUM($AQ$6:AQ144)-SUM($AT$6:AT144),0)</f>
        <v>0</v>
      </c>
      <c r="AW144" s="107">
        <f t="shared" ca="1" si="89"/>
        <v>0</v>
      </c>
      <c r="AX144" s="107">
        <v>0</v>
      </c>
      <c r="AY144" s="138" t="str">
        <f t="shared" ca="1" si="71"/>
        <v xml:space="preserve"> </v>
      </c>
      <c r="AZ144" s="107">
        <f t="shared" ca="1" si="72"/>
        <v>0</v>
      </c>
      <c r="BA144" s="107">
        <f ca="1">IF(AZ144=1,(SUM($AW$6:AW144,$AX$6:AX144)-SUM($BA$6:BA143)),0)</f>
        <v>0</v>
      </c>
      <c r="BB144" s="107"/>
      <c r="BC144" s="107">
        <f ca="1">AV144+SUM($AW$6:AW144)+SUM($AX$6:AX144)-SUM($BA$6:BA144)</f>
        <v>0</v>
      </c>
      <c r="BD144" s="107">
        <f t="shared" ca="1" si="77"/>
        <v>0</v>
      </c>
      <c r="BE144" s="51">
        <f ca="1">'PiT PD Structure'!J184</f>
        <v>6.7885645757104207E-5</v>
      </c>
      <c r="BF144" s="139">
        <f t="shared" ca="1" si="90"/>
        <v>0.45</v>
      </c>
      <c r="BG144" s="51">
        <f t="shared" ca="1" si="78"/>
        <v>1</v>
      </c>
      <c r="BH144" s="50">
        <f t="shared" ca="1" si="73"/>
        <v>0</v>
      </c>
      <c r="BI144" s="50">
        <f t="shared" ca="1" si="94"/>
        <v>3.4816594052244909E-13</v>
      </c>
      <c r="BJ144" s="140">
        <v>0</v>
      </c>
      <c r="BK144" s="140">
        <v>0</v>
      </c>
      <c r="BM144" s="78"/>
      <c r="BR144" s="75">
        <f t="shared" ca="1" si="65"/>
        <v>47664</v>
      </c>
      <c r="BS144" s="74">
        <f t="shared" ca="1" si="79"/>
        <v>6</v>
      </c>
      <c r="BT144" s="74">
        <f t="shared" ca="1" si="80"/>
        <v>0</v>
      </c>
      <c r="BU144" s="73" t="str">
        <f t="shared" ca="1" si="81"/>
        <v xml:space="preserve"> </v>
      </c>
      <c r="BW144" s="75">
        <f t="shared" ca="1" si="91"/>
        <v>47664</v>
      </c>
      <c r="BX144" s="74">
        <f t="shared" ca="1" si="92"/>
        <v>6</v>
      </c>
      <c r="BY144" s="74">
        <f t="shared" ca="1" si="82"/>
        <v>0</v>
      </c>
      <c r="BZ144" s="73" t="str">
        <f t="shared" ca="1" si="83"/>
        <v xml:space="preserve"> </v>
      </c>
      <c r="CB144" s="75">
        <f t="shared" ca="1" si="93"/>
        <v>47664</v>
      </c>
      <c r="CC144" s="74">
        <f t="shared" ca="1" si="84"/>
        <v>6</v>
      </c>
      <c r="CD144" s="74">
        <f t="shared" ca="1" si="85"/>
        <v>0</v>
      </c>
      <c r="CE144" s="73" t="str">
        <f t="shared" ca="1" si="86"/>
        <v xml:space="preserve"> </v>
      </c>
    </row>
    <row r="145" spans="1:83" x14ac:dyDescent="0.2">
      <c r="A145" s="38" t="str">
        <f t="shared" si="95"/>
        <v xml:space="preserve"> </v>
      </c>
      <c r="B145" s="108"/>
      <c r="C145" s="38"/>
      <c r="D145" s="137"/>
      <c r="E145" s="137"/>
      <c r="F145" s="137"/>
      <c r="G145" s="122"/>
      <c r="H145" s="137"/>
      <c r="I145" s="50"/>
      <c r="J145" s="50"/>
      <c r="K145" s="50"/>
      <c r="L145" s="38"/>
      <c r="M145" s="38"/>
      <c r="N145" s="38"/>
      <c r="O145" s="50"/>
      <c r="P145" s="218"/>
      <c r="Q145" s="50"/>
      <c r="R145" s="50"/>
      <c r="S145" s="38"/>
      <c r="T145" s="51"/>
      <c r="U145" s="65"/>
      <c r="V145" s="105"/>
      <c r="W145" s="66"/>
      <c r="X145" s="66"/>
      <c r="Y145" s="38"/>
      <c r="Z145" s="66">
        <f t="shared" si="66"/>
        <v>0</v>
      </c>
      <c r="AA145" s="67"/>
      <c r="AC145" s="41" t="e">
        <f>VLOOKUP(A145,'Input Sheet'!$A$2:$B$232,2,0)</f>
        <v>#N/A</v>
      </c>
      <c r="AD145" s="70"/>
      <c r="AI145" s="68"/>
      <c r="AL145" s="107">
        <f t="shared" ca="1" si="87"/>
        <v>0</v>
      </c>
      <c r="AM145" s="49">
        <f t="shared" ca="1" si="88"/>
        <v>47695</v>
      </c>
      <c r="AN145" s="137" t="str">
        <f t="shared" ca="1" si="74"/>
        <v xml:space="preserve"> </v>
      </c>
      <c r="AO145" s="107">
        <f t="shared" ca="1" si="75"/>
        <v>0</v>
      </c>
      <c r="AP145" s="143">
        <f t="shared" ca="1" si="67"/>
        <v>0</v>
      </c>
      <c r="AQ145" s="143">
        <f t="shared" ca="1" si="76"/>
        <v>0</v>
      </c>
      <c r="AR145" s="49" t="str">
        <f t="shared" ca="1" si="68"/>
        <v xml:space="preserve"> </v>
      </c>
      <c r="AS145" s="107">
        <f t="shared" ca="1" si="69"/>
        <v>0</v>
      </c>
      <c r="AT145" s="107">
        <f t="shared" ca="1" si="70"/>
        <v>0</v>
      </c>
      <c r="AU145" s="107"/>
      <c r="AV145" s="107">
        <f ca="1">MAX(SUM($AQ$6:AQ145)-SUM($AT$6:AT145),0)</f>
        <v>0</v>
      </c>
      <c r="AW145" s="107">
        <f t="shared" ca="1" si="89"/>
        <v>0</v>
      </c>
      <c r="AX145" s="107">
        <v>0</v>
      </c>
      <c r="AY145" s="138" t="str">
        <f t="shared" ca="1" si="71"/>
        <v xml:space="preserve"> </v>
      </c>
      <c r="AZ145" s="107">
        <f t="shared" ca="1" si="72"/>
        <v>0</v>
      </c>
      <c r="BA145" s="107">
        <f ca="1">IF(AZ145=1,(SUM($AW$6:AW145,$AX$6:AX145)-SUM($BA$6:BA144)),0)</f>
        <v>0</v>
      </c>
      <c r="BB145" s="107"/>
      <c r="BC145" s="107">
        <f ca="1">AV145+SUM($AW$6:AW145)+SUM($AX$6:AX145)-SUM($BA$6:BA145)</f>
        <v>0</v>
      </c>
      <c r="BD145" s="107">
        <f t="shared" ca="1" si="77"/>
        <v>0</v>
      </c>
      <c r="BE145" s="51">
        <f ca="1">'PiT PD Structure'!J185</f>
        <v>6.7880969433442573E-5</v>
      </c>
      <c r="BF145" s="139">
        <f t="shared" ca="1" si="90"/>
        <v>0.45</v>
      </c>
      <c r="BG145" s="51">
        <f t="shared" ca="1" si="78"/>
        <v>1</v>
      </c>
      <c r="BH145" s="50">
        <f t="shared" ca="1" si="73"/>
        <v>0</v>
      </c>
      <c r="BI145" s="50">
        <f t="shared" ca="1" si="94"/>
        <v>3.4816594052244909E-13</v>
      </c>
      <c r="BJ145" s="140">
        <v>0</v>
      </c>
      <c r="BK145" s="140">
        <v>0</v>
      </c>
      <c r="BM145" s="78"/>
      <c r="BR145" s="75">
        <f t="shared" ca="1" si="65"/>
        <v>47695</v>
      </c>
      <c r="BS145" s="74">
        <f t="shared" ca="1" si="79"/>
        <v>7</v>
      </c>
      <c r="BT145" s="74">
        <f t="shared" ca="1" si="80"/>
        <v>0</v>
      </c>
      <c r="BU145" s="73" t="str">
        <f t="shared" ca="1" si="81"/>
        <v xml:space="preserve"> </v>
      </c>
      <c r="BW145" s="75">
        <f t="shared" ca="1" si="91"/>
        <v>47695</v>
      </c>
      <c r="BX145" s="74">
        <f t="shared" ca="1" si="92"/>
        <v>7</v>
      </c>
      <c r="BY145" s="74">
        <f t="shared" ca="1" si="82"/>
        <v>0</v>
      </c>
      <c r="BZ145" s="73" t="str">
        <f t="shared" ca="1" si="83"/>
        <v xml:space="preserve"> </v>
      </c>
      <c r="CB145" s="75">
        <f t="shared" ca="1" si="93"/>
        <v>47695</v>
      </c>
      <c r="CC145" s="74">
        <f t="shared" ca="1" si="84"/>
        <v>7</v>
      </c>
      <c r="CD145" s="74">
        <f t="shared" ca="1" si="85"/>
        <v>0</v>
      </c>
      <c r="CE145" s="73" t="str">
        <f t="shared" ca="1" si="86"/>
        <v xml:space="preserve"> </v>
      </c>
    </row>
    <row r="146" spans="1:83" x14ac:dyDescent="0.2">
      <c r="A146" s="38" t="str">
        <f t="shared" si="95"/>
        <v xml:space="preserve"> </v>
      </c>
      <c r="B146" s="108"/>
      <c r="C146" s="38"/>
      <c r="D146" s="137"/>
      <c r="E146" s="137"/>
      <c r="F146" s="137"/>
      <c r="G146" s="122"/>
      <c r="H146" s="137"/>
      <c r="I146" s="50"/>
      <c r="J146" s="50"/>
      <c r="K146" s="50"/>
      <c r="L146" s="38"/>
      <c r="M146" s="38"/>
      <c r="N146" s="38"/>
      <c r="O146" s="50"/>
      <c r="P146" s="218"/>
      <c r="Q146" s="50"/>
      <c r="R146" s="50"/>
      <c r="S146" s="38"/>
      <c r="T146" s="51"/>
      <c r="U146" s="65"/>
      <c r="V146" s="105"/>
      <c r="W146" s="66"/>
      <c r="X146" s="66"/>
      <c r="Y146" s="38"/>
      <c r="Z146" s="66">
        <f t="shared" si="66"/>
        <v>0</v>
      </c>
      <c r="AA146" s="67"/>
      <c r="AC146" s="41" t="e">
        <f>VLOOKUP(A146,'Input Sheet'!$A$2:$B$232,2,0)</f>
        <v>#N/A</v>
      </c>
      <c r="AD146" s="70"/>
      <c r="AI146" s="68"/>
      <c r="AL146" s="107">
        <f t="shared" ca="1" si="87"/>
        <v>0</v>
      </c>
      <c r="AM146" s="49">
        <f t="shared" ca="1" si="88"/>
        <v>47726</v>
      </c>
      <c r="AN146" s="137" t="str">
        <f t="shared" ca="1" si="74"/>
        <v xml:space="preserve"> </v>
      </c>
      <c r="AO146" s="107">
        <f t="shared" ca="1" si="75"/>
        <v>0</v>
      </c>
      <c r="AP146" s="143">
        <f t="shared" ca="1" si="67"/>
        <v>0</v>
      </c>
      <c r="AQ146" s="143">
        <f t="shared" ca="1" si="76"/>
        <v>0</v>
      </c>
      <c r="AR146" s="49" t="str">
        <f t="shared" ca="1" si="68"/>
        <v xml:space="preserve"> </v>
      </c>
      <c r="AS146" s="107">
        <f t="shared" ca="1" si="69"/>
        <v>0</v>
      </c>
      <c r="AT146" s="107">
        <f t="shared" ca="1" si="70"/>
        <v>0</v>
      </c>
      <c r="AU146" s="107"/>
      <c r="AV146" s="107">
        <f ca="1">MAX(SUM($AQ$6:AQ146)-SUM($AT$6:AT146),0)</f>
        <v>0</v>
      </c>
      <c r="AW146" s="107">
        <f t="shared" ca="1" si="89"/>
        <v>0</v>
      </c>
      <c r="AX146" s="107">
        <v>0</v>
      </c>
      <c r="AY146" s="138" t="str">
        <f t="shared" ca="1" si="71"/>
        <v xml:space="preserve"> </v>
      </c>
      <c r="AZ146" s="107">
        <f t="shared" ca="1" si="72"/>
        <v>0</v>
      </c>
      <c r="BA146" s="107">
        <f ca="1">IF(AZ146=1,(SUM($AW$6:AW146,$AX$6:AX146)-SUM($BA$6:BA145)),0)</f>
        <v>0</v>
      </c>
      <c r="BB146" s="107"/>
      <c r="BC146" s="107">
        <f ca="1">AV146+SUM($AW$6:AW146)+SUM($AX$6:AX146)-SUM($BA$6:BA146)</f>
        <v>0</v>
      </c>
      <c r="BD146" s="107">
        <f t="shared" ca="1" si="77"/>
        <v>0</v>
      </c>
      <c r="BE146" s="51">
        <f ca="1">'PiT PD Structure'!J186</f>
        <v>6.7876293431856638E-5</v>
      </c>
      <c r="BF146" s="139">
        <f t="shared" ca="1" si="90"/>
        <v>0.45</v>
      </c>
      <c r="BG146" s="51">
        <f t="shared" ca="1" si="78"/>
        <v>1</v>
      </c>
      <c r="BH146" s="50">
        <f t="shared" ca="1" si="73"/>
        <v>0</v>
      </c>
      <c r="BI146" s="50">
        <f t="shared" ca="1" si="94"/>
        <v>3.4816594052244909E-13</v>
      </c>
      <c r="BJ146" s="140">
        <v>0</v>
      </c>
      <c r="BK146" s="140">
        <v>0</v>
      </c>
      <c r="BM146" s="78"/>
      <c r="BR146" s="75">
        <f t="shared" ca="1" si="65"/>
        <v>47726</v>
      </c>
      <c r="BS146" s="74">
        <f t="shared" ca="1" si="79"/>
        <v>8</v>
      </c>
      <c r="BT146" s="74">
        <f t="shared" ca="1" si="80"/>
        <v>0</v>
      </c>
      <c r="BU146" s="73" t="str">
        <f t="shared" ca="1" si="81"/>
        <v xml:space="preserve"> </v>
      </c>
      <c r="BW146" s="75">
        <f t="shared" ca="1" si="91"/>
        <v>47726</v>
      </c>
      <c r="BX146" s="74">
        <f t="shared" ca="1" si="92"/>
        <v>8</v>
      </c>
      <c r="BY146" s="74">
        <f t="shared" ca="1" si="82"/>
        <v>0</v>
      </c>
      <c r="BZ146" s="73" t="str">
        <f t="shared" ca="1" si="83"/>
        <v xml:space="preserve"> </v>
      </c>
      <c r="CB146" s="75">
        <f t="shared" ca="1" si="93"/>
        <v>47726</v>
      </c>
      <c r="CC146" s="74">
        <f t="shared" ca="1" si="84"/>
        <v>8</v>
      </c>
      <c r="CD146" s="74">
        <f t="shared" ca="1" si="85"/>
        <v>0</v>
      </c>
      <c r="CE146" s="73" t="str">
        <f t="shared" ca="1" si="86"/>
        <v xml:space="preserve"> </v>
      </c>
    </row>
    <row r="147" spans="1:83" x14ac:dyDescent="0.2">
      <c r="A147" s="38" t="str">
        <f t="shared" ref="A147:A201" si="96">IF(B147=0," ",A146+1)</f>
        <v xml:space="preserve"> </v>
      </c>
      <c r="B147" s="108"/>
      <c r="C147" s="38"/>
      <c r="D147" s="137"/>
      <c r="E147" s="137"/>
      <c r="F147" s="137"/>
      <c r="G147" s="122"/>
      <c r="H147" s="137"/>
      <c r="I147" s="50"/>
      <c r="J147" s="50"/>
      <c r="K147" s="50"/>
      <c r="L147" s="38"/>
      <c r="M147" s="38"/>
      <c r="N147" s="38"/>
      <c r="O147" s="50"/>
      <c r="P147" s="218"/>
      <c r="Q147" s="50"/>
      <c r="R147" s="50"/>
      <c r="S147" s="38"/>
      <c r="T147" s="51"/>
      <c r="U147" s="65"/>
      <c r="V147" s="105"/>
      <c r="W147" s="66"/>
      <c r="X147" s="66"/>
      <c r="Y147" s="38"/>
      <c r="Z147" s="66">
        <f t="shared" si="66"/>
        <v>0</v>
      </c>
      <c r="AA147" s="67"/>
      <c r="AC147" s="41" t="e">
        <f>VLOOKUP(A147,'Input Sheet'!$A$2:$B$232,2,0)</f>
        <v>#N/A</v>
      </c>
      <c r="AD147" s="70"/>
      <c r="AI147" s="68"/>
      <c r="AL147" s="107">
        <f t="shared" ca="1" si="87"/>
        <v>0</v>
      </c>
      <c r="AM147" s="49">
        <f t="shared" ca="1" si="88"/>
        <v>47756</v>
      </c>
      <c r="AN147" s="137" t="str">
        <f t="shared" ca="1" si="74"/>
        <v xml:space="preserve"> </v>
      </c>
      <c r="AO147" s="107">
        <f t="shared" ca="1" si="75"/>
        <v>0</v>
      </c>
      <c r="AP147" s="143">
        <f t="shared" ca="1" si="67"/>
        <v>0</v>
      </c>
      <c r="AQ147" s="143">
        <f t="shared" ca="1" si="76"/>
        <v>0</v>
      </c>
      <c r="AR147" s="49" t="str">
        <f t="shared" ca="1" si="68"/>
        <v xml:space="preserve"> </v>
      </c>
      <c r="AS147" s="107">
        <f t="shared" ca="1" si="69"/>
        <v>0</v>
      </c>
      <c r="AT147" s="107">
        <f t="shared" ca="1" si="70"/>
        <v>0</v>
      </c>
      <c r="AU147" s="107"/>
      <c r="AV147" s="107">
        <f ca="1">MAX(SUM($AQ$6:AQ147)-SUM($AT$6:AT147),0)</f>
        <v>0</v>
      </c>
      <c r="AW147" s="107">
        <f t="shared" ca="1" si="89"/>
        <v>0</v>
      </c>
      <c r="AX147" s="107">
        <v>0</v>
      </c>
      <c r="AY147" s="138" t="str">
        <f t="shared" ca="1" si="71"/>
        <v xml:space="preserve"> </v>
      </c>
      <c r="AZ147" s="107">
        <f t="shared" ca="1" si="72"/>
        <v>0</v>
      </c>
      <c r="BA147" s="107">
        <f ca="1">IF(AZ147=1,(SUM($AW$6:AW147,$AX$6:AX147)-SUM($BA$6:BA146)),0)</f>
        <v>0</v>
      </c>
      <c r="BB147" s="107"/>
      <c r="BC147" s="107">
        <f ca="1">AV147+SUM($AW$6:AW147)+SUM($AX$6:AX147)-SUM($BA$6:BA147)</f>
        <v>0</v>
      </c>
      <c r="BD147" s="107">
        <f t="shared" ca="1" si="77"/>
        <v>0</v>
      </c>
      <c r="BE147" s="51">
        <f ca="1">'PiT PD Structure'!J187</f>
        <v>6.787161775223538E-5</v>
      </c>
      <c r="BF147" s="139">
        <f t="shared" ca="1" si="90"/>
        <v>0.45</v>
      </c>
      <c r="BG147" s="51">
        <f t="shared" ca="1" si="78"/>
        <v>1</v>
      </c>
      <c r="BH147" s="50">
        <f t="shared" ca="1" si="73"/>
        <v>0</v>
      </c>
      <c r="BI147" s="50">
        <f t="shared" ca="1" si="94"/>
        <v>3.4816594052244909E-13</v>
      </c>
      <c r="BJ147" s="140">
        <v>0</v>
      </c>
      <c r="BK147" s="140">
        <v>0</v>
      </c>
      <c r="BM147" s="78"/>
      <c r="BR147" s="75">
        <f t="shared" ca="1" si="65"/>
        <v>47756</v>
      </c>
      <c r="BS147" s="74">
        <f t="shared" ca="1" si="79"/>
        <v>9</v>
      </c>
      <c r="BT147" s="74">
        <f t="shared" ca="1" si="80"/>
        <v>0</v>
      </c>
      <c r="BU147" s="73" t="str">
        <f t="shared" ca="1" si="81"/>
        <v xml:space="preserve"> </v>
      </c>
      <c r="BW147" s="75">
        <f t="shared" ca="1" si="91"/>
        <v>47756</v>
      </c>
      <c r="BX147" s="74">
        <f t="shared" ca="1" si="92"/>
        <v>9</v>
      </c>
      <c r="BY147" s="74">
        <f t="shared" ca="1" si="82"/>
        <v>0</v>
      </c>
      <c r="BZ147" s="73" t="str">
        <f t="shared" ca="1" si="83"/>
        <v xml:space="preserve"> </v>
      </c>
      <c r="CB147" s="75">
        <f t="shared" ca="1" si="93"/>
        <v>47756</v>
      </c>
      <c r="CC147" s="74">
        <f t="shared" ca="1" si="84"/>
        <v>9</v>
      </c>
      <c r="CD147" s="74">
        <f t="shared" ca="1" si="85"/>
        <v>0</v>
      </c>
      <c r="CE147" s="73" t="str">
        <f t="shared" ca="1" si="86"/>
        <v xml:space="preserve"> </v>
      </c>
    </row>
    <row r="148" spans="1:83" x14ac:dyDescent="0.2">
      <c r="A148" s="38" t="str">
        <f t="shared" si="96"/>
        <v xml:space="preserve"> </v>
      </c>
      <c r="B148" s="108"/>
      <c r="C148" s="38"/>
      <c r="D148" s="137"/>
      <c r="E148" s="137"/>
      <c r="F148" s="137"/>
      <c r="G148" s="122"/>
      <c r="H148" s="137"/>
      <c r="I148" s="50"/>
      <c r="J148" s="50"/>
      <c r="K148" s="50"/>
      <c r="L148" s="38"/>
      <c r="M148" s="38"/>
      <c r="N148" s="38"/>
      <c r="O148" s="50"/>
      <c r="P148" s="218"/>
      <c r="Q148" s="50"/>
      <c r="R148" s="50"/>
      <c r="S148" s="38"/>
      <c r="T148" s="51"/>
      <c r="U148" s="65"/>
      <c r="V148" s="105"/>
      <c r="W148" s="66"/>
      <c r="X148" s="66"/>
      <c r="Y148" s="38"/>
      <c r="Z148" s="66">
        <f t="shared" si="66"/>
        <v>0</v>
      </c>
      <c r="AA148" s="67"/>
      <c r="AC148" s="41" t="e">
        <f>VLOOKUP(A148,'Input Sheet'!$A$2:$B$232,2,0)</f>
        <v>#N/A</v>
      </c>
      <c r="AD148" s="70"/>
      <c r="AI148" s="68"/>
      <c r="AL148" s="107">
        <f t="shared" ca="1" si="87"/>
        <v>0</v>
      </c>
      <c r="AM148" s="49">
        <f t="shared" ca="1" si="88"/>
        <v>47787</v>
      </c>
      <c r="AN148" s="137" t="str">
        <f t="shared" ca="1" si="74"/>
        <v xml:space="preserve"> </v>
      </c>
      <c r="AO148" s="107">
        <f t="shared" ca="1" si="75"/>
        <v>0</v>
      </c>
      <c r="AP148" s="143">
        <f t="shared" ca="1" si="67"/>
        <v>0</v>
      </c>
      <c r="AQ148" s="143">
        <f t="shared" ca="1" si="76"/>
        <v>0</v>
      </c>
      <c r="AR148" s="49" t="str">
        <f t="shared" ca="1" si="68"/>
        <v xml:space="preserve"> </v>
      </c>
      <c r="AS148" s="107">
        <f t="shared" ca="1" si="69"/>
        <v>0</v>
      </c>
      <c r="AT148" s="107">
        <f t="shared" ca="1" si="70"/>
        <v>0</v>
      </c>
      <c r="AU148" s="107"/>
      <c r="AV148" s="107">
        <f ca="1">MAX(SUM($AQ$6:AQ148)-SUM($AT$6:AT148),0)</f>
        <v>0</v>
      </c>
      <c r="AW148" s="107">
        <f t="shared" ca="1" si="89"/>
        <v>0</v>
      </c>
      <c r="AX148" s="107">
        <v>0</v>
      </c>
      <c r="AY148" s="138" t="str">
        <f t="shared" ca="1" si="71"/>
        <v xml:space="preserve"> </v>
      </c>
      <c r="AZ148" s="107">
        <f t="shared" ca="1" si="72"/>
        <v>0</v>
      </c>
      <c r="BA148" s="107">
        <f ca="1">IF(AZ148=1,(SUM($AW$6:AW148,$AX$6:AX148)-SUM($BA$6:BA147)),0)</f>
        <v>0</v>
      </c>
      <c r="BB148" s="107"/>
      <c r="BC148" s="107">
        <f ca="1">AV148+SUM($AW$6:AW148)+SUM($AX$6:AX148)-SUM($BA$6:BA148)</f>
        <v>0</v>
      </c>
      <c r="BD148" s="107">
        <f t="shared" ca="1" si="77"/>
        <v>0</v>
      </c>
      <c r="BE148" s="51">
        <f ca="1">'PiT PD Structure'!J188</f>
        <v>6.7866942395022889E-5</v>
      </c>
      <c r="BF148" s="139">
        <f t="shared" ca="1" si="90"/>
        <v>0.45</v>
      </c>
      <c r="BG148" s="51">
        <f t="shared" ca="1" si="78"/>
        <v>1</v>
      </c>
      <c r="BH148" s="50">
        <f t="shared" ca="1" si="73"/>
        <v>0</v>
      </c>
      <c r="BI148" s="50">
        <f t="shared" ca="1" si="94"/>
        <v>3.4816594052244909E-13</v>
      </c>
      <c r="BJ148" s="140">
        <v>0</v>
      </c>
      <c r="BK148" s="140">
        <v>0</v>
      </c>
      <c r="BM148" s="78"/>
      <c r="BR148" s="75">
        <f t="shared" ca="1" si="65"/>
        <v>47787</v>
      </c>
      <c r="BS148" s="74">
        <f t="shared" ca="1" si="79"/>
        <v>10</v>
      </c>
      <c r="BT148" s="74">
        <f t="shared" ca="1" si="80"/>
        <v>0</v>
      </c>
      <c r="BU148" s="73" t="str">
        <f t="shared" ca="1" si="81"/>
        <v xml:space="preserve"> </v>
      </c>
      <c r="BW148" s="75">
        <f t="shared" ca="1" si="91"/>
        <v>47787</v>
      </c>
      <c r="BX148" s="74">
        <f t="shared" ca="1" si="92"/>
        <v>10</v>
      </c>
      <c r="BY148" s="74">
        <f t="shared" ca="1" si="82"/>
        <v>0</v>
      </c>
      <c r="BZ148" s="73" t="str">
        <f t="shared" ca="1" si="83"/>
        <v xml:space="preserve"> </v>
      </c>
      <c r="CB148" s="75">
        <f t="shared" ca="1" si="93"/>
        <v>47787</v>
      </c>
      <c r="CC148" s="74">
        <f t="shared" ca="1" si="84"/>
        <v>10</v>
      </c>
      <c r="CD148" s="74">
        <f t="shared" ca="1" si="85"/>
        <v>0</v>
      </c>
      <c r="CE148" s="73" t="str">
        <f t="shared" ca="1" si="86"/>
        <v xml:space="preserve"> </v>
      </c>
    </row>
    <row r="149" spans="1:83" x14ac:dyDescent="0.2">
      <c r="A149" s="38" t="str">
        <f t="shared" si="96"/>
        <v xml:space="preserve"> </v>
      </c>
      <c r="B149" s="108"/>
      <c r="C149" s="38"/>
      <c r="D149" s="137"/>
      <c r="E149" s="137"/>
      <c r="F149" s="137"/>
      <c r="G149" s="122"/>
      <c r="H149" s="137"/>
      <c r="I149" s="50"/>
      <c r="J149" s="50"/>
      <c r="K149" s="50"/>
      <c r="L149" s="38"/>
      <c r="M149" s="38"/>
      <c r="N149" s="38"/>
      <c r="O149" s="50"/>
      <c r="P149" s="218"/>
      <c r="Q149" s="50"/>
      <c r="R149" s="50"/>
      <c r="S149" s="38"/>
      <c r="T149" s="51"/>
      <c r="U149" s="65"/>
      <c r="V149" s="105"/>
      <c r="W149" s="66"/>
      <c r="X149" s="66"/>
      <c r="Y149" s="38"/>
      <c r="Z149" s="66">
        <f t="shared" si="66"/>
        <v>0</v>
      </c>
      <c r="AA149" s="67"/>
      <c r="AC149" s="41" t="e">
        <f>VLOOKUP(A149,'Input Sheet'!$A$2:$B$232,2,0)</f>
        <v>#N/A</v>
      </c>
      <c r="AD149" s="70"/>
      <c r="AI149" s="68"/>
      <c r="AL149" s="107">
        <f t="shared" ca="1" si="87"/>
        <v>0</v>
      </c>
      <c r="AM149" s="49">
        <f t="shared" ca="1" si="88"/>
        <v>47817</v>
      </c>
      <c r="AN149" s="137" t="str">
        <f t="shared" ca="1" si="74"/>
        <v xml:space="preserve"> </v>
      </c>
      <c r="AO149" s="107">
        <f t="shared" ca="1" si="75"/>
        <v>0</v>
      </c>
      <c r="AP149" s="143">
        <f t="shared" ca="1" si="67"/>
        <v>0</v>
      </c>
      <c r="AQ149" s="143">
        <f t="shared" ca="1" si="76"/>
        <v>0</v>
      </c>
      <c r="AR149" s="49" t="str">
        <f t="shared" ca="1" si="68"/>
        <v xml:space="preserve"> </v>
      </c>
      <c r="AS149" s="107">
        <f t="shared" ca="1" si="69"/>
        <v>0</v>
      </c>
      <c r="AT149" s="107">
        <f t="shared" ca="1" si="70"/>
        <v>0</v>
      </c>
      <c r="AU149" s="107"/>
      <c r="AV149" s="107">
        <f ca="1">MAX(SUM($AQ$6:AQ149)-SUM($AT$6:AT149),0)</f>
        <v>0</v>
      </c>
      <c r="AW149" s="107">
        <f t="shared" ca="1" si="89"/>
        <v>0</v>
      </c>
      <c r="AX149" s="107">
        <v>0</v>
      </c>
      <c r="AY149" s="138" t="str">
        <f t="shared" ca="1" si="71"/>
        <v xml:space="preserve"> </v>
      </c>
      <c r="AZ149" s="107">
        <f t="shared" ca="1" si="72"/>
        <v>0</v>
      </c>
      <c r="BA149" s="107">
        <f ca="1">IF(AZ149=1,(SUM($AW$6:AW149,$AX$6:AX149)-SUM($BA$6:BA148)),0)</f>
        <v>0</v>
      </c>
      <c r="BB149" s="107"/>
      <c r="BC149" s="107">
        <f ca="1">AV149+SUM($AW$6:AW149)+SUM($AX$6:AX149)-SUM($BA$6:BA149)</f>
        <v>0</v>
      </c>
      <c r="BD149" s="107">
        <f t="shared" ca="1" si="77"/>
        <v>0</v>
      </c>
      <c r="BE149" s="51">
        <f ca="1">'PiT PD Structure'!J189</f>
        <v>6.7862267359442008E-5</v>
      </c>
      <c r="BF149" s="139">
        <f t="shared" ca="1" si="90"/>
        <v>0.45</v>
      </c>
      <c r="BG149" s="51">
        <f t="shared" ca="1" si="78"/>
        <v>1</v>
      </c>
      <c r="BH149" s="50">
        <f t="shared" ca="1" si="73"/>
        <v>0</v>
      </c>
      <c r="BI149" s="50">
        <f t="shared" ca="1" si="94"/>
        <v>3.4816594052244909E-13</v>
      </c>
      <c r="BJ149" s="140">
        <v>0</v>
      </c>
      <c r="BK149" s="140">
        <v>0</v>
      </c>
      <c r="BM149" s="78"/>
      <c r="BR149" s="75">
        <f t="shared" ca="1" si="65"/>
        <v>47817</v>
      </c>
      <c r="BS149" s="74">
        <f t="shared" ca="1" si="79"/>
        <v>11</v>
      </c>
      <c r="BT149" s="74">
        <f t="shared" ca="1" si="80"/>
        <v>0</v>
      </c>
      <c r="BU149" s="73" t="str">
        <f t="shared" ca="1" si="81"/>
        <v xml:space="preserve"> </v>
      </c>
      <c r="BW149" s="75">
        <f t="shared" ca="1" si="91"/>
        <v>47817</v>
      </c>
      <c r="BX149" s="74">
        <f t="shared" ca="1" si="92"/>
        <v>11</v>
      </c>
      <c r="BY149" s="74">
        <f t="shared" ca="1" si="82"/>
        <v>0</v>
      </c>
      <c r="BZ149" s="73" t="str">
        <f t="shared" ca="1" si="83"/>
        <v xml:space="preserve"> </v>
      </c>
      <c r="CB149" s="75">
        <f t="shared" ca="1" si="93"/>
        <v>47817</v>
      </c>
      <c r="CC149" s="74">
        <f t="shared" ca="1" si="84"/>
        <v>11</v>
      </c>
      <c r="CD149" s="74">
        <f t="shared" ca="1" si="85"/>
        <v>0</v>
      </c>
      <c r="CE149" s="73" t="str">
        <f t="shared" ca="1" si="86"/>
        <v xml:space="preserve"> </v>
      </c>
    </row>
    <row r="150" spans="1:83" x14ac:dyDescent="0.2">
      <c r="A150" s="38" t="str">
        <f t="shared" si="96"/>
        <v xml:space="preserve"> </v>
      </c>
      <c r="B150" s="108"/>
      <c r="C150" s="38"/>
      <c r="D150" s="137"/>
      <c r="E150" s="137"/>
      <c r="F150" s="137"/>
      <c r="G150" s="122"/>
      <c r="H150" s="137"/>
      <c r="I150" s="50"/>
      <c r="J150" s="50"/>
      <c r="K150" s="50"/>
      <c r="L150" s="38"/>
      <c r="M150" s="38"/>
      <c r="N150" s="38"/>
      <c r="O150" s="50"/>
      <c r="P150" s="218"/>
      <c r="Q150" s="50"/>
      <c r="R150" s="50"/>
      <c r="S150" s="38"/>
      <c r="T150" s="51"/>
      <c r="U150" s="65"/>
      <c r="V150" s="105"/>
      <c r="W150" s="66"/>
      <c r="X150" s="66"/>
      <c r="Y150" s="38"/>
      <c r="Z150" s="66">
        <f t="shared" si="66"/>
        <v>0</v>
      </c>
      <c r="AA150" s="67"/>
      <c r="AC150" s="41" t="e">
        <f>VLOOKUP(A150,'Input Sheet'!$A$2:$B$232,2,0)</f>
        <v>#N/A</v>
      </c>
      <c r="AD150" s="70"/>
      <c r="AI150" s="68"/>
      <c r="AL150" s="107">
        <f t="shared" ca="1" si="87"/>
        <v>0</v>
      </c>
      <c r="AM150" s="49">
        <f t="shared" ca="1" si="88"/>
        <v>47848</v>
      </c>
      <c r="AN150" s="137" t="str">
        <f t="shared" ca="1" si="74"/>
        <v xml:space="preserve"> </v>
      </c>
      <c r="AO150" s="107">
        <f t="shared" ca="1" si="75"/>
        <v>0</v>
      </c>
      <c r="AP150" s="143">
        <f t="shared" ca="1" si="67"/>
        <v>0</v>
      </c>
      <c r="AQ150" s="143">
        <f t="shared" ca="1" si="76"/>
        <v>0</v>
      </c>
      <c r="AR150" s="49" t="str">
        <f t="shared" ca="1" si="68"/>
        <v xml:space="preserve"> </v>
      </c>
      <c r="AS150" s="107">
        <f t="shared" ca="1" si="69"/>
        <v>0</v>
      </c>
      <c r="AT150" s="107">
        <f t="shared" ca="1" si="70"/>
        <v>0</v>
      </c>
      <c r="AU150" s="107"/>
      <c r="AV150" s="107">
        <f ca="1">MAX(SUM($AQ$6:AQ150)-SUM($AT$6:AT150),0)</f>
        <v>0</v>
      </c>
      <c r="AW150" s="107">
        <f t="shared" ca="1" si="89"/>
        <v>0</v>
      </c>
      <c r="AX150" s="107">
        <v>0</v>
      </c>
      <c r="AY150" s="138" t="str">
        <f t="shared" ca="1" si="71"/>
        <v xml:space="preserve"> </v>
      </c>
      <c r="AZ150" s="107">
        <f t="shared" ca="1" si="72"/>
        <v>0</v>
      </c>
      <c r="BA150" s="107">
        <f ca="1">IF(AZ150=1,(SUM($AW$6:AW150,$AX$6:AX150)-SUM($BA$6:BA149)),0)</f>
        <v>0</v>
      </c>
      <c r="BB150" s="107"/>
      <c r="BC150" s="107">
        <f ca="1">AV150+SUM($AW$6:AW150)+SUM($AX$6:AX150)-SUM($BA$6:BA150)</f>
        <v>0</v>
      </c>
      <c r="BD150" s="107">
        <f t="shared" ca="1" si="77"/>
        <v>0</v>
      </c>
      <c r="BE150" s="51">
        <f ca="1">'PiT PD Structure'!J190</f>
        <v>1.6268375050674244E-3</v>
      </c>
      <c r="BF150" s="139">
        <f t="shared" ca="1" si="90"/>
        <v>0.45</v>
      </c>
      <c r="BG150" s="51">
        <f t="shared" ca="1" si="78"/>
        <v>1</v>
      </c>
      <c r="BH150" s="50">
        <f t="shared" ca="1" si="73"/>
        <v>0</v>
      </c>
      <c r="BI150" s="50">
        <f t="shared" ca="1" si="94"/>
        <v>3.4816594052244909E-13</v>
      </c>
      <c r="BJ150" s="140">
        <v>0</v>
      </c>
      <c r="BK150" s="140">
        <v>0</v>
      </c>
      <c r="BM150" s="78"/>
      <c r="BR150" s="75">
        <f t="shared" ca="1" si="65"/>
        <v>47848</v>
      </c>
      <c r="BS150" s="74">
        <f t="shared" ca="1" si="79"/>
        <v>12</v>
      </c>
      <c r="BT150" s="74">
        <f t="shared" ca="1" si="80"/>
        <v>0</v>
      </c>
      <c r="BU150" s="73" t="str">
        <f t="shared" ca="1" si="81"/>
        <v xml:space="preserve"> </v>
      </c>
      <c r="BW150" s="75">
        <f t="shared" ca="1" si="91"/>
        <v>47848</v>
      </c>
      <c r="BX150" s="74">
        <f t="shared" ca="1" si="92"/>
        <v>12</v>
      </c>
      <c r="BY150" s="74">
        <f t="shared" ca="1" si="82"/>
        <v>0</v>
      </c>
      <c r="BZ150" s="73" t="str">
        <f t="shared" ca="1" si="83"/>
        <v xml:space="preserve"> </v>
      </c>
      <c r="CB150" s="75">
        <f t="shared" ca="1" si="93"/>
        <v>47848</v>
      </c>
      <c r="CC150" s="74">
        <f t="shared" ca="1" si="84"/>
        <v>12</v>
      </c>
      <c r="CD150" s="74">
        <f t="shared" ca="1" si="85"/>
        <v>0</v>
      </c>
      <c r="CE150" s="73" t="str">
        <f t="shared" ca="1" si="86"/>
        <v xml:space="preserve"> </v>
      </c>
    </row>
    <row r="151" spans="1:83" x14ac:dyDescent="0.2">
      <c r="A151" s="38" t="str">
        <f t="shared" si="96"/>
        <v xml:space="preserve"> </v>
      </c>
      <c r="B151" s="108"/>
      <c r="C151" s="38"/>
      <c r="D151" s="137"/>
      <c r="E151" s="137"/>
      <c r="F151" s="137"/>
      <c r="G151" s="122"/>
      <c r="H151" s="137"/>
      <c r="I151" s="50"/>
      <c r="J151" s="50"/>
      <c r="K151" s="50"/>
      <c r="L151" s="38"/>
      <c r="M151" s="38"/>
      <c r="N151" s="38"/>
      <c r="O151" s="50"/>
      <c r="P151" s="218"/>
      <c r="Q151" s="50"/>
      <c r="R151" s="50"/>
      <c r="S151" s="38"/>
      <c r="T151" s="51"/>
      <c r="U151" s="65"/>
      <c r="V151" s="105"/>
      <c r="W151" s="66"/>
      <c r="X151" s="66"/>
      <c r="Y151" s="38"/>
      <c r="Z151" s="66">
        <f t="shared" si="66"/>
        <v>0</v>
      </c>
      <c r="AA151" s="67"/>
      <c r="AC151" s="41" t="e">
        <f>VLOOKUP(A151,'Input Sheet'!$A$2:$B$232,2,0)</f>
        <v>#N/A</v>
      </c>
      <c r="AD151" s="70"/>
      <c r="AI151" s="68"/>
      <c r="AL151" s="107">
        <f t="shared" ca="1" si="87"/>
        <v>0</v>
      </c>
      <c r="AM151" s="49">
        <f t="shared" ca="1" si="88"/>
        <v>47879</v>
      </c>
      <c r="AN151" s="137" t="str">
        <f t="shared" ca="1" si="74"/>
        <v xml:space="preserve"> </v>
      </c>
      <c r="AO151" s="107">
        <f t="shared" ca="1" si="75"/>
        <v>0</v>
      </c>
      <c r="AP151" s="143">
        <f t="shared" ca="1" si="67"/>
        <v>0</v>
      </c>
      <c r="AQ151" s="143">
        <f t="shared" ca="1" si="76"/>
        <v>0</v>
      </c>
      <c r="AR151" s="49" t="str">
        <f t="shared" ca="1" si="68"/>
        <v xml:space="preserve"> </v>
      </c>
      <c r="AS151" s="107">
        <f t="shared" ca="1" si="69"/>
        <v>0</v>
      </c>
      <c r="AT151" s="107">
        <f t="shared" ca="1" si="70"/>
        <v>0</v>
      </c>
      <c r="AU151" s="107"/>
      <c r="AV151" s="107">
        <f ca="1">MAX(SUM($AQ$6:AQ151)-SUM($AT$6:AT151),0)</f>
        <v>0</v>
      </c>
      <c r="AW151" s="107">
        <f t="shared" ca="1" si="89"/>
        <v>0</v>
      </c>
      <c r="AX151" s="107">
        <v>0</v>
      </c>
      <c r="AY151" s="138" t="str">
        <f t="shared" ca="1" si="71"/>
        <v xml:space="preserve"> </v>
      </c>
      <c r="AZ151" s="107">
        <f t="shared" ca="1" si="72"/>
        <v>0</v>
      </c>
      <c r="BA151" s="107">
        <f ca="1">IF(AZ151=1,(SUM($AW$6:AW151,$AX$6:AX151)-SUM($BA$6:BA150)),0)</f>
        <v>0</v>
      </c>
      <c r="BB151" s="107"/>
      <c r="BC151" s="107">
        <f ca="1">AV151+SUM($AW$6:AW151)+SUM($AX$6:AX151)-SUM($BA$6:BA151)</f>
        <v>0</v>
      </c>
      <c r="BD151" s="107">
        <f t="shared" ca="1" si="77"/>
        <v>0</v>
      </c>
      <c r="BE151" s="51">
        <f ca="1">'PiT PD Structure'!J191</f>
        <v>7.3344909453543217E-5</v>
      </c>
      <c r="BF151" s="139">
        <f t="shared" ca="1" si="90"/>
        <v>0.45</v>
      </c>
      <c r="BG151" s="51">
        <f t="shared" ca="1" si="78"/>
        <v>1</v>
      </c>
      <c r="BH151" s="50">
        <f t="shared" ca="1" si="73"/>
        <v>0</v>
      </c>
      <c r="BI151" s="50">
        <f t="shared" ca="1" si="94"/>
        <v>3.4816594052244909E-13</v>
      </c>
      <c r="BJ151" s="140">
        <v>0</v>
      </c>
      <c r="BK151" s="140">
        <v>0</v>
      </c>
      <c r="BM151" s="78"/>
      <c r="BR151" s="75">
        <f t="shared" ca="1" si="65"/>
        <v>47879</v>
      </c>
      <c r="BS151" s="74">
        <f t="shared" ca="1" si="79"/>
        <v>1</v>
      </c>
      <c r="BT151" s="74">
        <f t="shared" ca="1" si="80"/>
        <v>0</v>
      </c>
      <c r="BU151" s="73" t="str">
        <f t="shared" ca="1" si="81"/>
        <v xml:space="preserve"> </v>
      </c>
      <c r="BW151" s="75">
        <f t="shared" ca="1" si="91"/>
        <v>47879</v>
      </c>
      <c r="BX151" s="74">
        <f t="shared" ca="1" si="92"/>
        <v>1</v>
      </c>
      <c r="BY151" s="74">
        <f t="shared" ca="1" si="82"/>
        <v>0</v>
      </c>
      <c r="BZ151" s="73" t="str">
        <f t="shared" ca="1" si="83"/>
        <v xml:space="preserve"> </v>
      </c>
      <c r="CB151" s="75">
        <f t="shared" ca="1" si="93"/>
        <v>47879</v>
      </c>
      <c r="CC151" s="74">
        <f t="shared" ca="1" si="84"/>
        <v>1</v>
      </c>
      <c r="CD151" s="74">
        <f t="shared" ca="1" si="85"/>
        <v>0</v>
      </c>
      <c r="CE151" s="73" t="str">
        <f t="shared" ca="1" si="86"/>
        <v xml:space="preserve"> </v>
      </c>
    </row>
    <row r="152" spans="1:83" x14ac:dyDescent="0.2">
      <c r="A152" s="38" t="str">
        <f t="shared" si="96"/>
        <v xml:space="preserve"> </v>
      </c>
      <c r="B152" s="108"/>
      <c r="C152" s="38"/>
      <c r="D152" s="137"/>
      <c r="E152" s="137"/>
      <c r="F152" s="137"/>
      <c r="G152" s="122"/>
      <c r="H152" s="137"/>
      <c r="I152" s="50"/>
      <c r="J152" s="50"/>
      <c r="K152" s="50"/>
      <c r="L152" s="38"/>
      <c r="M152" s="38"/>
      <c r="N152" s="38"/>
      <c r="O152" s="50"/>
      <c r="P152" s="218"/>
      <c r="Q152" s="50"/>
      <c r="R152" s="50"/>
      <c r="S152" s="38"/>
      <c r="T152" s="51"/>
      <c r="U152" s="65"/>
      <c r="V152" s="105"/>
      <c r="W152" s="66"/>
      <c r="X152" s="66"/>
      <c r="Y152" s="38"/>
      <c r="Z152" s="66">
        <f t="shared" si="66"/>
        <v>0</v>
      </c>
      <c r="AA152" s="67"/>
      <c r="AC152" s="41" t="e">
        <f>VLOOKUP(A152,'Input Sheet'!$A$2:$B$232,2,0)</f>
        <v>#N/A</v>
      </c>
      <c r="AD152" s="70"/>
      <c r="AI152" s="68"/>
      <c r="AL152" s="107">
        <f t="shared" ca="1" si="87"/>
        <v>0</v>
      </c>
      <c r="AM152" s="49">
        <f t="shared" ca="1" si="88"/>
        <v>47907</v>
      </c>
      <c r="AN152" s="137" t="str">
        <f t="shared" ca="1" si="74"/>
        <v xml:space="preserve"> </v>
      </c>
      <c r="AO152" s="107">
        <f t="shared" ca="1" si="75"/>
        <v>0</v>
      </c>
      <c r="AP152" s="143">
        <f t="shared" ca="1" si="67"/>
        <v>0</v>
      </c>
      <c r="AQ152" s="143">
        <f t="shared" ca="1" si="76"/>
        <v>0</v>
      </c>
      <c r="AR152" s="49" t="str">
        <f t="shared" ca="1" si="68"/>
        <v xml:space="preserve"> </v>
      </c>
      <c r="AS152" s="107">
        <f t="shared" ca="1" si="69"/>
        <v>0</v>
      </c>
      <c r="AT152" s="107">
        <f t="shared" ca="1" si="70"/>
        <v>0</v>
      </c>
      <c r="AU152" s="107"/>
      <c r="AV152" s="107">
        <f ca="1">MAX(SUM($AQ$6:AQ152)-SUM($AT$6:AT152),0)</f>
        <v>0</v>
      </c>
      <c r="AW152" s="107">
        <f t="shared" ca="1" si="89"/>
        <v>0</v>
      </c>
      <c r="AX152" s="107">
        <v>0</v>
      </c>
      <c r="AY152" s="138" t="str">
        <f t="shared" ca="1" si="71"/>
        <v xml:space="preserve"> </v>
      </c>
      <c r="AZ152" s="107">
        <f t="shared" ca="1" si="72"/>
        <v>0</v>
      </c>
      <c r="BA152" s="107">
        <f ca="1">IF(AZ152=1,(SUM($AW$6:AW152,$AX$6:AX152)-SUM($BA$6:BA151)),0)</f>
        <v>0</v>
      </c>
      <c r="BB152" s="107"/>
      <c r="BC152" s="107">
        <f ca="1">AV152+SUM($AW$6:AW152)+SUM($AX$6:AX152)-SUM($BA$6:BA152)</f>
        <v>0</v>
      </c>
      <c r="BD152" s="107">
        <f t="shared" ca="1" si="77"/>
        <v>0</v>
      </c>
      <c r="BE152" s="51">
        <f ca="1">'PiT PD Structure'!J192</f>
        <v>7.3339439470965218E-5</v>
      </c>
      <c r="BF152" s="139">
        <f t="shared" ca="1" si="90"/>
        <v>0.45</v>
      </c>
      <c r="BG152" s="51">
        <f t="shared" ca="1" si="78"/>
        <v>1</v>
      </c>
      <c r="BH152" s="50">
        <f t="shared" ca="1" si="73"/>
        <v>0</v>
      </c>
      <c r="BI152" s="50">
        <f t="shared" ca="1" si="94"/>
        <v>3.4816594052244909E-13</v>
      </c>
      <c r="BJ152" s="140">
        <v>0</v>
      </c>
      <c r="BK152" s="140">
        <v>0</v>
      </c>
      <c r="BM152" s="78"/>
      <c r="BR152" s="75">
        <f t="shared" ca="1" si="65"/>
        <v>47907</v>
      </c>
      <c r="BS152" s="74">
        <f t="shared" ca="1" si="79"/>
        <v>2</v>
      </c>
      <c r="BT152" s="74">
        <f t="shared" ca="1" si="80"/>
        <v>0</v>
      </c>
      <c r="BU152" s="73" t="str">
        <f t="shared" ca="1" si="81"/>
        <v xml:space="preserve"> </v>
      </c>
      <c r="BW152" s="75">
        <f t="shared" ca="1" si="91"/>
        <v>47907</v>
      </c>
      <c r="BX152" s="74">
        <f t="shared" ca="1" si="92"/>
        <v>2</v>
      </c>
      <c r="BY152" s="74">
        <f t="shared" ca="1" si="82"/>
        <v>0</v>
      </c>
      <c r="BZ152" s="73" t="str">
        <f t="shared" ca="1" si="83"/>
        <v xml:space="preserve"> </v>
      </c>
      <c r="CB152" s="75">
        <f t="shared" ca="1" si="93"/>
        <v>47907</v>
      </c>
      <c r="CC152" s="74">
        <f t="shared" ca="1" si="84"/>
        <v>2</v>
      </c>
      <c r="CD152" s="74">
        <f t="shared" ca="1" si="85"/>
        <v>0</v>
      </c>
      <c r="CE152" s="73" t="str">
        <f t="shared" ca="1" si="86"/>
        <v xml:space="preserve"> </v>
      </c>
    </row>
    <row r="153" spans="1:83" x14ac:dyDescent="0.2">
      <c r="A153" s="38" t="str">
        <f t="shared" si="96"/>
        <v xml:space="preserve"> </v>
      </c>
      <c r="B153" s="108"/>
      <c r="C153" s="38"/>
      <c r="D153" s="137"/>
      <c r="E153" s="137"/>
      <c r="F153" s="137"/>
      <c r="G153" s="122"/>
      <c r="H153" s="137"/>
      <c r="I153" s="50"/>
      <c r="J153" s="50"/>
      <c r="K153" s="50"/>
      <c r="L153" s="38"/>
      <c r="M153" s="38"/>
      <c r="N153" s="38"/>
      <c r="O153" s="50"/>
      <c r="P153" s="218"/>
      <c r="Q153" s="50"/>
      <c r="R153" s="50"/>
      <c r="S153" s="38"/>
      <c r="T153" s="51"/>
      <c r="U153" s="65"/>
      <c r="V153" s="105"/>
      <c r="W153" s="66"/>
      <c r="X153" s="66"/>
      <c r="Y153" s="38"/>
      <c r="Z153" s="66">
        <f t="shared" si="66"/>
        <v>0</v>
      </c>
      <c r="AA153" s="67"/>
      <c r="AC153" s="41" t="e">
        <f>VLOOKUP(A153,'Input Sheet'!$A$2:$B$232,2,0)</f>
        <v>#N/A</v>
      </c>
      <c r="AD153" s="70"/>
      <c r="AI153" s="68"/>
      <c r="AL153" s="107">
        <f t="shared" ca="1" si="87"/>
        <v>0</v>
      </c>
      <c r="AM153" s="49">
        <f t="shared" ca="1" si="88"/>
        <v>47938</v>
      </c>
      <c r="AN153" s="137" t="str">
        <f t="shared" ca="1" si="74"/>
        <v xml:space="preserve"> </v>
      </c>
      <c r="AO153" s="107">
        <f t="shared" ca="1" si="75"/>
        <v>0</v>
      </c>
      <c r="AP153" s="143">
        <f t="shared" ca="1" si="67"/>
        <v>0</v>
      </c>
      <c r="AQ153" s="143">
        <f t="shared" ca="1" si="76"/>
        <v>0</v>
      </c>
      <c r="AR153" s="49" t="str">
        <f t="shared" ca="1" si="68"/>
        <v xml:space="preserve"> </v>
      </c>
      <c r="AS153" s="107">
        <f t="shared" ca="1" si="69"/>
        <v>0</v>
      </c>
      <c r="AT153" s="107">
        <f t="shared" ca="1" si="70"/>
        <v>0</v>
      </c>
      <c r="AU153" s="107"/>
      <c r="AV153" s="107">
        <f ca="1">MAX(SUM($AQ$6:AQ153)-SUM($AT$6:AT153),0)</f>
        <v>0</v>
      </c>
      <c r="AW153" s="107">
        <f t="shared" ca="1" si="89"/>
        <v>0</v>
      </c>
      <c r="AX153" s="107">
        <v>0</v>
      </c>
      <c r="AY153" s="138" t="str">
        <f t="shared" ca="1" si="71"/>
        <v xml:space="preserve"> </v>
      </c>
      <c r="AZ153" s="107">
        <f t="shared" ca="1" si="72"/>
        <v>0</v>
      </c>
      <c r="BA153" s="107">
        <f ca="1">IF(AZ153=1,(SUM($AW$6:AW153,$AX$6:AX153)-SUM($BA$6:BA152)),0)</f>
        <v>0</v>
      </c>
      <c r="BB153" s="107"/>
      <c r="BC153" s="107">
        <f ca="1">AV153+SUM($AW$6:AW153)+SUM($AX$6:AX153)-SUM($BA$6:BA153)</f>
        <v>0</v>
      </c>
      <c r="BD153" s="107">
        <f t="shared" ca="1" si="77"/>
        <v>0</v>
      </c>
      <c r="BE153" s="51">
        <f ca="1">'PiT PD Structure'!J193</f>
        <v>7.333396989639418E-5</v>
      </c>
      <c r="BF153" s="139">
        <f t="shared" ca="1" si="90"/>
        <v>0.45</v>
      </c>
      <c r="BG153" s="51">
        <f t="shared" ca="1" si="78"/>
        <v>1</v>
      </c>
      <c r="BH153" s="50">
        <f t="shared" ca="1" si="73"/>
        <v>0</v>
      </c>
      <c r="BI153" s="50">
        <f t="shared" ca="1" si="94"/>
        <v>3.4816594052244909E-13</v>
      </c>
      <c r="BJ153" s="140">
        <v>0</v>
      </c>
      <c r="BK153" s="140">
        <v>0</v>
      </c>
      <c r="BM153" s="78"/>
      <c r="BR153" s="75">
        <f t="shared" ca="1" si="65"/>
        <v>47938</v>
      </c>
      <c r="BS153" s="74">
        <f t="shared" ca="1" si="79"/>
        <v>3</v>
      </c>
      <c r="BT153" s="74">
        <f t="shared" ca="1" si="80"/>
        <v>0</v>
      </c>
      <c r="BU153" s="73" t="str">
        <f t="shared" ca="1" si="81"/>
        <v xml:space="preserve"> </v>
      </c>
      <c r="BW153" s="75">
        <f t="shared" ca="1" si="91"/>
        <v>47938</v>
      </c>
      <c r="BX153" s="74">
        <f t="shared" ca="1" si="92"/>
        <v>3</v>
      </c>
      <c r="BY153" s="74">
        <f t="shared" ca="1" si="82"/>
        <v>0</v>
      </c>
      <c r="BZ153" s="73" t="str">
        <f t="shared" ca="1" si="83"/>
        <v xml:space="preserve"> </v>
      </c>
      <c r="CB153" s="75">
        <f t="shared" ca="1" si="93"/>
        <v>47938</v>
      </c>
      <c r="CC153" s="74">
        <f t="shared" ca="1" si="84"/>
        <v>3</v>
      </c>
      <c r="CD153" s="74">
        <f t="shared" ca="1" si="85"/>
        <v>0</v>
      </c>
      <c r="CE153" s="73" t="str">
        <f t="shared" ca="1" si="86"/>
        <v xml:space="preserve"> </v>
      </c>
    </row>
    <row r="154" spans="1:83" x14ac:dyDescent="0.2">
      <c r="A154" s="38" t="str">
        <f t="shared" si="96"/>
        <v xml:space="preserve"> </v>
      </c>
      <c r="B154" s="108"/>
      <c r="C154" s="38"/>
      <c r="D154" s="137"/>
      <c r="E154" s="137"/>
      <c r="F154" s="137"/>
      <c r="G154" s="122"/>
      <c r="H154" s="137"/>
      <c r="I154" s="50"/>
      <c r="J154" s="50"/>
      <c r="K154" s="50"/>
      <c r="L154" s="38"/>
      <c r="M154" s="38"/>
      <c r="N154" s="38"/>
      <c r="O154" s="50"/>
      <c r="P154" s="218"/>
      <c r="Q154" s="50"/>
      <c r="R154" s="50"/>
      <c r="S154" s="38"/>
      <c r="T154" s="51"/>
      <c r="U154" s="65"/>
      <c r="V154" s="105"/>
      <c r="W154" s="66"/>
      <c r="X154" s="66"/>
      <c r="Y154" s="38"/>
      <c r="Z154" s="66">
        <f t="shared" si="66"/>
        <v>0</v>
      </c>
      <c r="AA154" s="67"/>
      <c r="AC154" s="41" t="e">
        <f>VLOOKUP(A154,'Input Sheet'!$A$2:$B$232,2,0)</f>
        <v>#N/A</v>
      </c>
      <c r="AD154" s="70"/>
      <c r="AI154" s="68"/>
      <c r="AL154" s="107">
        <f t="shared" ca="1" si="87"/>
        <v>0</v>
      </c>
      <c r="AM154" s="49">
        <f t="shared" ca="1" si="88"/>
        <v>47968</v>
      </c>
      <c r="AN154" s="137" t="str">
        <f t="shared" ca="1" si="74"/>
        <v xml:space="preserve"> </v>
      </c>
      <c r="AO154" s="107">
        <f t="shared" ca="1" si="75"/>
        <v>0</v>
      </c>
      <c r="AP154" s="143">
        <f t="shared" ca="1" si="67"/>
        <v>0</v>
      </c>
      <c r="AQ154" s="143">
        <f t="shared" ca="1" si="76"/>
        <v>0</v>
      </c>
      <c r="AR154" s="49" t="str">
        <f t="shared" ca="1" si="68"/>
        <v xml:space="preserve"> </v>
      </c>
      <c r="AS154" s="107">
        <f t="shared" ca="1" si="69"/>
        <v>0</v>
      </c>
      <c r="AT154" s="107">
        <f t="shared" ca="1" si="70"/>
        <v>0</v>
      </c>
      <c r="AU154" s="107"/>
      <c r="AV154" s="107">
        <f ca="1">MAX(SUM($AQ$6:AQ154)-SUM($AT$6:AT154),0)</f>
        <v>0</v>
      </c>
      <c r="AW154" s="107">
        <f t="shared" ca="1" si="89"/>
        <v>0</v>
      </c>
      <c r="AX154" s="107">
        <v>0</v>
      </c>
      <c r="AY154" s="138" t="str">
        <f t="shared" ca="1" si="71"/>
        <v xml:space="preserve"> </v>
      </c>
      <c r="AZ154" s="107">
        <f t="shared" ca="1" si="72"/>
        <v>0</v>
      </c>
      <c r="BA154" s="107">
        <f ca="1">IF(AZ154=1,(SUM($AW$6:AW154,$AX$6:AX154)-SUM($BA$6:BA153)),0)</f>
        <v>0</v>
      </c>
      <c r="BB154" s="107"/>
      <c r="BC154" s="107">
        <f ca="1">AV154+SUM($AW$6:AW154)+SUM($AX$6:AX154)-SUM($BA$6:BA154)</f>
        <v>0</v>
      </c>
      <c r="BD154" s="107">
        <f t="shared" ca="1" si="77"/>
        <v>0</v>
      </c>
      <c r="BE154" s="51">
        <f ca="1">'PiT PD Structure'!J194</f>
        <v>7.3328500729719082E-5</v>
      </c>
      <c r="BF154" s="139">
        <f t="shared" ca="1" si="90"/>
        <v>0.45</v>
      </c>
      <c r="BG154" s="51">
        <f t="shared" ca="1" si="78"/>
        <v>1</v>
      </c>
      <c r="BH154" s="50">
        <f t="shared" ca="1" si="73"/>
        <v>0</v>
      </c>
      <c r="BI154" s="50">
        <f t="shared" ca="1" si="94"/>
        <v>3.4816594052244909E-13</v>
      </c>
      <c r="BJ154" s="140">
        <v>0</v>
      </c>
      <c r="BK154" s="140">
        <v>0</v>
      </c>
      <c r="BM154" s="78"/>
      <c r="BR154" s="75">
        <f t="shared" ca="1" si="65"/>
        <v>47968</v>
      </c>
      <c r="BS154" s="74">
        <f t="shared" ca="1" si="79"/>
        <v>4</v>
      </c>
      <c r="BT154" s="74">
        <f t="shared" ca="1" si="80"/>
        <v>0</v>
      </c>
      <c r="BU154" s="73" t="str">
        <f t="shared" ca="1" si="81"/>
        <v xml:space="preserve"> </v>
      </c>
      <c r="BW154" s="75">
        <f t="shared" ca="1" si="91"/>
        <v>47968</v>
      </c>
      <c r="BX154" s="74">
        <f t="shared" ca="1" si="92"/>
        <v>4</v>
      </c>
      <c r="BY154" s="74">
        <f t="shared" ca="1" si="82"/>
        <v>0</v>
      </c>
      <c r="BZ154" s="73" t="str">
        <f t="shared" ca="1" si="83"/>
        <v xml:space="preserve"> </v>
      </c>
      <c r="CB154" s="75">
        <f t="shared" ca="1" si="93"/>
        <v>47968</v>
      </c>
      <c r="CC154" s="74">
        <f t="shared" ca="1" si="84"/>
        <v>4</v>
      </c>
      <c r="CD154" s="74">
        <f t="shared" ca="1" si="85"/>
        <v>0</v>
      </c>
      <c r="CE154" s="73" t="str">
        <f t="shared" ca="1" si="86"/>
        <v xml:space="preserve"> </v>
      </c>
    </row>
    <row r="155" spans="1:83" x14ac:dyDescent="0.2">
      <c r="A155" s="38" t="str">
        <f t="shared" si="96"/>
        <v xml:space="preserve"> </v>
      </c>
      <c r="B155" s="108"/>
      <c r="C155" s="38"/>
      <c r="D155" s="137"/>
      <c r="E155" s="137"/>
      <c r="F155" s="137"/>
      <c r="G155" s="122"/>
      <c r="H155" s="137"/>
      <c r="I155" s="50"/>
      <c r="J155" s="50"/>
      <c r="K155" s="50"/>
      <c r="L155" s="38"/>
      <c r="M155" s="38"/>
      <c r="N155" s="38"/>
      <c r="O155" s="50"/>
      <c r="P155" s="218"/>
      <c r="Q155" s="50"/>
      <c r="R155" s="50"/>
      <c r="S155" s="38"/>
      <c r="T155" s="51"/>
      <c r="U155" s="65"/>
      <c r="V155" s="105"/>
      <c r="W155" s="66"/>
      <c r="X155" s="66"/>
      <c r="Y155" s="38"/>
      <c r="Z155" s="66">
        <f t="shared" si="66"/>
        <v>0</v>
      </c>
      <c r="AA155" s="67"/>
      <c r="AC155" s="41" t="e">
        <f>VLOOKUP(A155,'Input Sheet'!$A$2:$B$232,2,0)</f>
        <v>#N/A</v>
      </c>
      <c r="AD155" s="70"/>
      <c r="AI155" s="68"/>
      <c r="AL155" s="107">
        <f t="shared" ca="1" si="87"/>
        <v>0</v>
      </c>
      <c r="AM155" s="49">
        <f t="shared" ca="1" si="88"/>
        <v>47999</v>
      </c>
      <c r="AN155" s="137" t="str">
        <f t="shared" ca="1" si="74"/>
        <v xml:space="preserve"> </v>
      </c>
      <c r="AO155" s="107">
        <f t="shared" ca="1" si="75"/>
        <v>0</v>
      </c>
      <c r="AP155" s="143">
        <f t="shared" ca="1" si="67"/>
        <v>0</v>
      </c>
      <c r="AQ155" s="143">
        <f t="shared" ca="1" si="76"/>
        <v>0</v>
      </c>
      <c r="AR155" s="49" t="str">
        <f t="shared" ca="1" si="68"/>
        <v xml:space="preserve"> </v>
      </c>
      <c r="AS155" s="107">
        <f t="shared" ca="1" si="69"/>
        <v>0</v>
      </c>
      <c r="AT155" s="107">
        <f t="shared" ca="1" si="70"/>
        <v>0</v>
      </c>
      <c r="AU155" s="107"/>
      <c r="AV155" s="107">
        <f ca="1">MAX(SUM($AQ$6:AQ155)-SUM($AT$6:AT155),0)</f>
        <v>0</v>
      </c>
      <c r="AW155" s="107">
        <f t="shared" ca="1" si="89"/>
        <v>0</v>
      </c>
      <c r="AX155" s="107">
        <v>0</v>
      </c>
      <c r="AY155" s="138" t="str">
        <f t="shared" ca="1" si="71"/>
        <v xml:space="preserve"> </v>
      </c>
      <c r="AZ155" s="107">
        <f t="shared" ca="1" si="72"/>
        <v>0</v>
      </c>
      <c r="BA155" s="107">
        <f ca="1">IF(AZ155=1,(SUM($AW$6:AW155,$AX$6:AX155)-SUM($BA$6:BA154)),0)</f>
        <v>0</v>
      </c>
      <c r="BB155" s="107"/>
      <c r="BC155" s="107">
        <f ca="1">AV155+SUM($AW$6:AW155)+SUM($AX$6:AX155)-SUM($BA$6:BA155)</f>
        <v>0</v>
      </c>
      <c r="BD155" s="107">
        <f t="shared" ca="1" si="77"/>
        <v>0</v>
      </c>
      <c r="BE155" s="51">
        <f ca="1">'PiT PD Structure'!J195</f>
        <v>7.33230319708289E-5</v>
      </c>
      <c r="BF155" s="139">
        <f t="shared" ca="1" si="90"/>
        <v>0.45</v>
      </c>
      <c r="BG155" s="51">
        <f t="shared" ca="1" si="78"/>
        <v>1</v>
      </c>
      <c r="BH155" s="50">
        <f t="shared" ca="1" si="73"/>
        <v>0</v>
      </c>
      <c r="BI155" s="50">
        <f t="shared" ca="1" si="94"/>
        <v>3.4816594052244909E-13</v>
      </c>
      <c r="BJ155" s="140">
        <v>0</v>
      </c>
      <c r="BK155" s="140">
        <v>0</v>
      </c>
      <c r="BM155" s="78"/>
      <c r="BR155" s="75">
        <f t="shared" ca="1" si="65"/>
        <v>47999</v>
      </c>
      <c r="BS155" s="74">
        <f t="shared" ca="1" si="79"/>
        <v>5</v>
      </c>
      <c r="BT155" s="74">
        <f t="shared" ca="1" si="80"/>
        <v>0</v>
      </c>
      <c r="BU155" s="73" t="str">
        <f t="shared" ca="1" si="81"/>
        <v xml:space="preserve"> </v>
      </c>
      <c r="BW155" s="75">
        <f t="shared" ca="1" si="91"/>
        <v>47999</v>
      </c>
      <c r="BX155" s="74">
        <f t="shared" ca="1" si="92"/>
        <v>5</v>
      </c>
      <c r="BY155" s="74">
        <f t="shared" ca="1" si="82"/>
        <v>0</v>
      </c>
      <c r="BZ155" s="73" t="str">
        <f t="shared" ca="1" si="83"/>
        <v xml:space="preserve"> </v>
      </c>
      <c r="CB155" s="75">
        <f t="shared" ca="1" si="93"/>
        <v>47999</v>
      </c>
      <c r="CC155" s="74">
        <f t="shared" ca="1" si="84"/>
        <v>5</v>
      </c>
      <c r="CD155" s="74">
        <f t="shared" ca="1" si="85"/>
        <v>0</v>
      </c>
      <c r="CE155" s="73" t="str">
        <f t="shared" ca="1" si="86"/>
        <v xml:space="preserve"> </v>
      </c>
    </row>
    <row r="156" spans="1:83" x14ac:dyDescent="0.2">
      <c r="A156" s="38" t="str">
        <f t="shared" si="96"/>
        <v xml:space="preserve"> </v>
      </c>
      <c r="B156" s="108"/>
      <c r="C156" s="38"/>
      <c r="D156" s="137"/>
      <c r="E156" s="137"/>
      <c r="F156" s="137"/>
      <c r="G156" s="122"/>
      <c r="H156" s="137"/>
      <c r="I156" s="50"/>
      <c r="J156" s="50"/>
      <c r="K156" s="50"/>
      <c r="L156" s="38"/>
      <c r="M156" s="38"/>
      <c r="N156" s="38"/>
      <c r="O156" s="50"/>
      <c r="P156" s="218"/>
      <c r="Q156" s="50"/>
      <c r="R156" s="50"/>
      <c r="S156" s="38"/>
      <c r="T156" s="51"/>
      <c r="U156" s="65"/>
      <c r="V156" s="105"/>
      <c r="W156" s="66"/>
      <c r="X156" s="66"/>
      <c r="Y156" s="38"/>
      <c r="Z156" s="66">
        <f t="shared" si="66"/>
        <v>0</v>
      </c>
      <c r="AA156" s="67"/>
      <c r="AC156" s="41" t="e">
        <f>VLOOKUP(A156,'Input Sheet'!$A$2:$B$232,2,0)</f>
        <v>#N/A</v>
      </c>
      <c r="AD156" s="70"/>
      <c r="AI156" s="68"/>
      <c r="AL156" s="107">
        <f t="shared" ca="1" si="87"/>
        <v>0</v>
      </c>
      <c r="AM156" s="49">
        <f t="shared" ca="1" si="88"/>
        <v>48029</v>
      </c>
      <c r="AN156" s="137" t="str">
        <f t="shared" ca="1" si="74"/>
        <v xml:space="preserve"> </v>
      </c>
      <c r="AO156" s="107">
        <f t="shared" ca="1" si="75"/>
        <v>0</v>
      </c>
      <c r="AP156" s="143">
        <f t="shared" ca="1" si="67"/>
        <v>0</v>
      </c>
      <c r="AQ156" s="143">
        <f t="shared" ca="1" si="76"/>
        <v>0</v>
      </c>
      <c r="AR156" s="49" t="str">
        <f t="shared" ca="1" si="68"/>
        <v xml:space="preserve"> </v>
      </c>
      <c r="AS156" s="107">
        <f t="shared" ca="1" si="69"/>
        <v>0</v>
      </c>
      <c r="AT156" s="107">
        <f t="shared" ca="1" si="70"/>
        <v>0</v>
      </c>
      <c r="AU156" s="107"/>
      <c r="AV156" s="107">
        <f ca="1">MAX(SUM($AQ$6:AQ156)-SUM($AT$6:AT156),0)</f>
        <v>0</v>
      </c>
      <c r="AW156" s="107">
        <f t="shared" ca="1" si="89"/>
        <v>0</v>
      </c>
      <c r="AX156" s="107">
        <v>0</v>
      </c>
      <c r="AY156" s="138" t="str">
        <f t="shared" ca="1" si="71"/>
        <v xml:space="preserve"> </v>
      </c>
      <c r="AZ156" s="107">
        <f t="shared" ca="1" si="72"/>
        <v>0</v>
      </c>
      <c r="BA156" s="107">
        <f ca="1">IF(AZ156=1,(SUM($AW$6:AW156,$AX$6:AX156)-SUM($BA$6:BA155)),0)</f>
        <v>0</v>
      </c>
      <c r="BB156" s="107"/>
      <c r="BC156" s="107">
        <f ca="1">AV156+SUM($AW$6:AW156)+SUM($AX$6:AX156)-SUM($BA$6:BA156)</f>
        <v>0</v>
      </c>
      <c r="BD156" s="107">
        <f t="shared" ca="1" si="77"/>
        <v>0</v>
      </c>
      <c r="BE156" s="51">
        <f ca="1">'PiT PD Structure'!J196</f>
        <v>7.331756361994568E-5</v>
      </c>
      <c r="BF156" s="139">
        <f t="shared" ca="1" si="90"/>
        <v>0.45</v>
      </c>
      <c r="BG156" s="51">
        <f t="shared" ca="1" si="78"/>
        <v>1</v>
      </c>
      <c r="BH156" s="50">
        <f t="shared" ca="1" si="73"/>
        <v>0</v>
      </c>
      <c r="BI156" s="50">
        <f t="shared" ca="1" si="94"/>
        <v>3.4816594052244909E-13</v>
      </c>
      <c r="BJ156" s="140">
        <v>0</v>
      </c>
      <c r="BK156" s="140">
        <v>0</v>
      </c>
      <c r="BM156" s="78"/>
      <c r="BR156" s="75">
        <f t="shared" ca="1" si="65"/>
        <v>48029</v>
      </c>
      <c r="BS156" s="74">
        <f t="shared" ca="1" si="79"/>
        <v>6</v>
      </c>
      <c r="BT156" s="74">
        <f t="shared" ca="1" si="80"/>
        <v>0</v>
      </c>
      <c r="BU156" s="73" t="str">
        <f t="shared" ca="1" si="81"/>
        <v xml:space="preserve"> </v>
      </c>
      <c r="BW156" s="75">
        <f t="shared" ca="1" si="91"/>
        <v>48029</v>
      </c>
      <c r="BX156" s="74">
        <f t="shared" ca="1" si="92"/>
        <v>6</v>
      </c>
      <c r="BY156" s="74">
        <f t="shared" ca="1" si="82"/>
        <v>0</v>
      </c>
      <c r="BZ156" s="73" t="str">
        <f t="shared" ca="1" si="83"/>
        <v xml:space="preserve"> </v>
      </c>
      <c r="CB156" s="75">
        <f t="shared" ca="1" si="93"/>
        <v>48029</v>
      </c>
      <c r="CC156" s="74">
        <f t="shared" ca="1" si="84"/>
        <v>6</v>
      </c>
      <c r="CD156" s="74">
        <f t="shared" ca="1" si="85"/>
        <v>0</v>
      </c>
      <c r="CE156" s="73" t="str">
        <f t="shared" ca="1" si="86"/>
        <v xml:space="preserve"> </v>
      </c>
    </row>
    <row r="157" spans="1:83" x14ac:dyDescent="0.2">
      <c r="A157" s="38" t="str">
        <f t="shared" si="96"/>
        <v xml:space="preserve"> </v>
      </c>
      <c r="B157" s="108"/>
      <c r="C157" s="38"/>
      <c r="D157" s="137"/>
      <c r="E157" s="137"/>
      <c r="F157" s="137"/>
      <c r="G157" s="122"/>
      <c r="H157" s="137"/>
      <c r="I157" s="50"/>
      <c r="J157" s="50"/>
      <c r="K157" s="50"/>
      <c r="L157" s="38"/>
      <c r="M157" s="38"/>
      <c r="N157" s="38"/>
      <c r="O157" s="50"/>
      <c r="P157" s="218"/>
      <c r="Q157" s="50"/>
      <c r="R157" s="50"/>
      <c r="S157" s="38"/>
      <c r="T157" s="51"/>
      <c r="U157" s="65"/>
      <c r="V157" s="105"/>
      <c r="W157" s="66"/>
      <c r="X157" s="66"/>
      <c r="Y157" s="38"/>
      <c r="Z157" s="66">
        <f t="shared" si="66"/>
        <v>0</v>
      </c>
      <c r="AA157" s="67"/>
      <c r="AC157" s="41" t="e">
        <f>VLOOKUP(A157,'Input Sheet'!$A$2:$B$232,2,0)</f>
        <v>#N/A</v>
      </c>
      <c r="AD157" s="70"/>
      <c r="AI157" s="68"/>
      <c r="AL157" s="107">
        <f t="shared" ca="1" si="87"/>
        <v>0</v>
      </c>
      <c r="AM157" s="49">
        <f t="shared" ca="1" si="88"/>
        <v>48060</v>
      </c>
      <c r="AN157" s="137" t="str">
        <f t="shared" ca="1" si="74"/>
        <v xml:space="preserve"> </v>
      </c>
      <c r="AO157" s="107">
        <f t="shared" ca="1" si="75"/>
        <v>0</v>
      </c>
      <c r="AP157" s="143">
        <f t="shared" ca="1" si="67"/>
        <v>0</v>
      </c>
      <c r="AQ157" s="143">
        <f t="shared" ca="1" si="76"/>
        <v>0</v>
      </c>
      <c r="AR157" s="49" t="str">
        <f t="shared" ca="1" si="68"/>
        <v xml:space="preserve"> </v>
      </c>
      <c r="AS157" s="107">
        <f t="shared" ca="1" si="69"/>
        <v>0</v>
      </c>
      <c r="AT157" s="107">
        <f t="shared" ca="1" si="70"/>
        <v>0</v>
      </c>
      <c r="AU157" s="107"/>
      <c r="AV157" s="107">
        <f ca="1">MAX(SUM($AQ$6:AQ157)-SUM($AT$6:AT157),0)</f>
        <v>0</v>
      </c>
      <c r="AW157" s="107">
        <f t="shared" ca="1" si="89"/>
        <v>0</v>
      </c>
      <c r="AX157" s="107">
        <v>0</v>
      </c>
      <c r="AY157" s="138" t="str">
        <f t="shared" ca="1" si="71"/>
        <v xml:space="preserve"> </v>
      </c>
      <c r="AZ157" s="107">
        <f t="shared" ca="1" si="72"/>
        <v>0</v>
      </c>
      <c r="BA157" s="107">
        <f ca="1">IF(AZ157=1,(SUM($AW$6:AW157,$AX$6:AX157)-SUM($BA$6:BA156)),0)</f>
        <v>0</v>
      </c>
      <c r="BB157" s="107"/>
      <c r="BC157" s="107">
        <f ca="1">AV157+SUM($AW$6:AW157)+SUM($AX$6:AX157)-SUM($BA$6:BA157)</f>
        <v>0</v>
      </c>
      <c r="BD157" s="107">
        <f t="shared" ca="1" si="77"/>
        <v>0</v>
      </c>
      <c r="BE157" s="51">
        <f ca="1">'PiT PD Structure'!J197</f>
        <v>7.3312095676847377E-5</v>
      </c>
      <c r="BF157" s="139">
        <f t="shared" ca="1" si="90"/>
        <v>0.45</v>
      </c>
      <c r="BG157" s="51">
        <f t="shared" ca="1" si="78"/>
        <v>1</v>
      </c>
      <c r="BH157" s="50">
        <f t="shared" ca="1" si="73"/>
        <v>0</v>
      </c>
      <c r="BI157" s="50">
        <f t="shared" ca="1" si="94"/>
        <v>3.4816594052244909E-13</v>
      </c>
      <c r="BJ157" s="140">
        <v>0</v>
      </c>
      <c r="BK157" s="140">
        <v>0</v>
      </c>
      <c r="BM157" s="78"/>
      <c r="BR157" s="75">
        <f t="shared" ca="1" si="65"/>
        <v>48060</v>
      </c>
      <c r="BS157" s="74">
        <f t="shared" ca="1" si="79"/>
        <v>7</v>
      </c>
      <c r="BT157" s="74">
        <f t="shared" ca="1" si="80"/>
        <v>0</v>
      </c>
      <c r="BU157" s="73" t="str">
        <f t="shared" ca="1" si="81"/>
        <v xml:space="preserve"> </v>
      </c>
      <c r="BW157" s="75">
        <f t="shared" ca="1" si="91"/>
        <v>48060</v>
      </c>
      <c r="BX157" s="74">
        <f t="shared" ca="1" si="92"/>
        <v>7</v>
      </c>
      <c r="BY157" s="74">
        <f t="shared" ca="1" si="82"/>
        <v>0</v>
      </c>
      <c r="BZ157" s="73" t="str">
        <f t="shared" ca="1" si="83"/>
        <v xml:space="preserve"> </v>
      </c>
      <c r="CB157" s="75">
        <f t="shared" ca="1" si="93"/>
        <v>48060</v>
      </c>
      <c r="CC157" s="74">
        <f t="shared" ca="1" si="84"/>
        <v>7</v>
      </c>
      <c r="CD157" s="74">
        <f t="shared" ca="1" si="85"/>
        <v>0</v>
      </c>
      <c r="CE157" s="73" t="str">
        <f t="shared" ca="1" si="86"/>
        <v xml:space="preserve"> </v>
      </c>
    </row>
    <row r="158" spans="1:83" x14ac:dyDescent="0.2">
      <c r="A158" s="38" t="str">
        <f t="shared" si="96"/>
        <v xml:space="preserve"> </v>
      </c>
      <c r="B158" s="108"/>
      <c r="C158" s="38"/>
      <c r="D158" s="137"/>
      <c r="E158" s="137"/>
      <c r="F158" s="137"/>
      <c r="G158" s="122"/>
      <c r="H158" s="137"/>
      <c r="I158" s="50"/>
      <c r="J158" s="50"/>
      <c r="K158" s="50"/>
      <c r="L158" s="38"/>
      <c r="M158" s="38"/>
      <c r="N158" s="38"/>
      <c r="O158" s="50"/>
      <c r="P158" s="218"/>
      <c r="Q158" s="50"/>
      <c r="R158" s="50"/>
      <c r="S158" s="38"/>
      <c r="T158" s="51"/>
      <c r="U158" s="65"/>
      <c r="V158" s="105"/>
      <c r="W158" s="66"/>
      <c r="X158" s="66"/>
      <c r="Y158" s="38"/>
      <c r="Z158" s="66">
        <f t="shared" si="66"/>
        <v>0</v>
      </c>
      <c r="AA158" s="67"/>
      <c r="AC158" s="41" t="e">
        <f>VLOOKUP(A158,'Input Sheet'!$A$2:$B$232,2,0)</f>
        <v>#N/A</v>
      </c>
      <c r="AD158" s="70"/>
      <c r="AI158" s="68"/>
      <c r="AL158" s="107">
        <f t="shared" ca="1" si="87"/>
        <v>0</v>
      </c>
      <c r="AM158" s="49">
        <f t="shared" ca="1" si="88"/>
        <v>48091</v>
      </c>
      <c r="AN158" s="137" t="str">
        <f t="shared" ca="1" si="74"/>
        <v xml:space="preserve"> </v>
      </c>
      <c r="AO158" s="107">
        <f t="shared" ca="1" si="75"/>
        <v>0</v>
      </c>
      <c r="AP158" s="143">
        <f t="shared" ca="1" si="67"/>
        <v>0</v>
      </c>
      <c r="AQ158" s="143">
        <f t="shared" ca="1" si="76"/>
        <v>0</v>
      </c>
      <c r="AR158" s="49" t="str">
        <f t="shared" ca="1" si="68"/>
        <v xml:space="preserve"> </v>
      </c>
      <c r="AS158" s="107">
        <f t="shared" ca="1" si="69"/>
        <v>0</v>
      </c>
      <c r="AT158" s="107">
        <f t="shared" ca="1" si="70"/>
        <v>0</v>
      </c>
      <c r="AU158" s="107"/>
      <c r="AV158" s="107">
        <f ca="1">MAX(SUM($AQ$6:AQ158)-SUM($AT$6:AT158),0)</f>
        <v>0</v>
      </c>
      <c r="AW158" s="107">
        <f t="shared" ca="1" si="89"/>
        <v>0</v>
      </c>
      <c r="AX158" s="107">
        <v>0</v>
      </c>
      <c r="AY158" s="138" t="str">
        <f t="shared" ca="1" si="71"/>
        <v xml:space="preserve"> </v>
      </c>
      <c r="AZ158" s="107">
        <f t="shared" ca="1" si="72"/>
        <v>0</v>
      </c>
      <c r="BA158" s="107">
        <f ca="1">IF(AZ158=1,(SUM($AW$6:AW158,$AX$6:AX158)-SUM($BA$6:BA157)),0)</f>
        <v>0</v>
      </c>
      <c r="BB158" s="107"/>
      <c r="BC158" s="107">
        <f ca="1">AV158+SUM($AW$6:AW158)+SUM($AX$6:AX158)-SUM($BA$6:BA158)</f>
        <v>0</v>
      </c>
      <c r="BD158" s="107">
        <f t="shared" ca="1" si="77"/>
        <v>0</v>
      </c>
      <c r="BE158" s="51">
        <f ca="1">'PiT PD Structure'!J198</f>
        <v>7.3306628141533992E-5</v>
      </c>
      <c r="BF158" s="139">
        <f t="shared" ca="1" si="90"/>
        <v>0.45</v>
      </c>
      <c r="BG158" s="51">
        <f t="shared" ca="1" si="78"/>
        <v>1</v>
      </c>
      <c r="BH158" s="50">
        <f t="shared" ca="1" si="73"/>
        <v>0</v>
      </c>
      <c r="BI158" s="50">
        <f t="shared" ca="1" si="94"/>
        <v>3.4816594052244909E-13</v>
      </c>
      <c r="BJ158" s="140">
        <v>0</v>
      </c>
      <c r="BK158" s="140">
        <v>0</v>
      </c>
      <c r="BM158" s="78"/>
      <c r="BR158" s="75">
        <f t="shared" ca="1" si="65"/>
        <v>48091</v>
      </c>
      <c r="BS158" s="74">
        <f t="shared" ca="1" si="79"/>
        <v>8</v>
      </c>
      <c r="BT158" s="74">
        <f t="shared" ca="1" si="80"/>
        <v>0</v>
      </c>
      <c r="BU158" s="73" t="str">
        <f t="shared" ca="1" si="81"/>
        <v xml:space="preserve"> </v>
      </c>
      <c r="BW158" s="75">
        <f t="shared" ca="1" si="91"/>
        <v>48091</v>
      </c>
      <c r="BX158" s="74">
        <f t="shared" ca="1" si="92"/>
        <v>8</v>
      </c>
      <c r="BY158" s="74">
        <f t="shared" ca="1" si="82"/>
        <v>0</v>
      </c>
      <c r="BZ158" s="73" t="str">
        <f t="shared" ca="1" si="83"/>
        <v xml:space="preserve"> </v>
      </c>
      <c r="CB158" s="75">
        <f t="shared" ca="1" si="93"/>
        <v>48091</v>
      </c>
      <c r="CC158" s="74">
        <f t="shared" ca="1" si="84"/>
        <v>8</v>
      </c>
      <c r="CD158" s="74">
        <f t="shared" ca="1" si="85"/>
        <v>0</v>
      </c>
      <c r="CE158" s="73" t="str">
        <f t="shared" ca="1" si="86"/>
        <v xml:space="preserve"> </v>
      </c>
    </row>
    <row r="159" spans="1:83" x14ac:dyDescent="0.2">
      <c r="A159" s="38" t="str">
        <f t="shared" si="96"/>
        <v xml:space="preserve"> </v>
      </c>
      <c r="B159" s="108"/>
      <c r="C159" s="38"/>
      <c r="D159" s="137"/>
      <c r="E159" s="137"/>
      <c r="F159" s="137"/>
      <c r="G159" s="122"/>
      <c r="H159" s="137"/>
      <c r="I159" s="50"/>
      <c r="J159" s="50"/>
      <c r="K159" s="50"/>
      <c r="L159" s="38"/>
      <c r="M159" s="38"/>
      <c r="N159" s="38"/>
      <c r="O159" s="50"/>
      <c r="P159" s="218"/>
      <c r="Q159" s="50"/>
      <c r="R159" s="50"/>
      <c r="S159" s="38"/>
      <c r="T159" s="51"/>
      <c r="U159" s="65"/>
      <c r="V159" s="105"/>
      <c r="W159" s="66"/>
      <c r="X159" s="66"/>
      <c r="Y159" s="38"/>
      <c r="Z159" s="66">
        <f t="shared" si="66"/>
        <v>0</v>
      </c>
      <c r="AA159" s="67"/>
      <c r="AC159" s="41" t="e">
        <f>VLOOKUP(A159,'Input Sheet'!$A$2:$B$232,2,0)</f>
        <v>#N/A</v>
      </c>
      <c r="AD159" s="70"/>
      <c r="AI159" s="68"/>
      <c r="AL159" s="107">
        <f t="shared" ca="1" si="87"/>
        <v>0</v>
      </c>
      <c r="AM159" s="49">
        <f t="shared" ca="1" si="88"/>
        <v>48121</v>
      </c>
      <c r="AN159" s="137" t="str">
        <f t="shared" ca="1" si="74"/>
        <v xml:space="preserve"> </v>
      </c>
      <c r="AO159" s="107">
        <f t="shared" ca="1" si="75"/>
        <v>0</v>
      </c>
      <c r="AP159" s="143">
        <f t="shared" ca="1" si="67"/>
        <v>0</v>
      </c>
      <c r="AQ159" s="143">
        <f t="shared" ca="1" si="76"/>
        <v>0</v>
      </c>
      <c r="AR159" s="49" t="str">
        <f t="shared" ca="1" si="68"/>
        <v xml:space="preserve"> </v>
      </c>
      <c r="AS159" s="107">
        <f t="shared" ca="1" si="69"/>
        <v>0</v>
      </c>
      <c r="AT159" s="107">
        <f t="shared" ca="1" si="70"/>
        <v>0</v>
      </c>
      <c r="AU159" s="107"/>
      <c r="AV159" s="107">
        <f ca="1">MAX(SUM($AQ$6:AQ159)-SUM($AT$6:AT159),0)</f>
        <v>0</v>
      </c>
      <c r="AW159" s="107">
        <f t="shared" ca="1" si="89"/>
        <v>0</v>
      </c>
      <c r="AX159" s="107">
        <v>0</v>
      </c>
      <c r="AY159" s="138" t="str">
        <f t="shared" ca="1" si="71"/>
        <v xml:space="preserve"> </v>
      </c>
      <c r="AZ159" s="107">
        <f t="shared" ca="1" si="72"/>
        <v>0</v>
      </c>
      <c r="BA159" s="107">
        <f ca="1">IF(AZ159=1,(SUM($AW$6:AW159,$AX$6:AX159)-SUM($BA$6:BA158)),0)</f>
        <v>0</v>
      </c>
      <c r="BB159" s="107"/>
      <c r="BC159" s="107">
        <f ca="1">AV159+SUM($AW$6:AW159)+SUM($AX$6:AX159)-SUM($BA$6:BA159)</f>
        <v>0</v>
      </c>
      <c r="BD159" s="107">
        <f t="shared" ca="1" si="77"/>
        <v>0</v>
      </c>
      <c r="BE159" s="51">
        <f ca="1">'PiT PD Structure'!J199</f>
        <v>7.33011610138945E-5</v>
      </c>
      <c r="BF159" s="139">
        <f t="shared" ca="1" si="90"/>
        <v>0.45</v>
      </c>
      <c r="BG159" s="51">
        <f t="shared" ca="1" si="78"/>
        <v>1</v>
      </c>
      <c r="BH159" s="50">
        <f t="shared" ca="1" si="73"/>
        <v>0</v>
      </c>
      <c r="BI159" s="50">
        <f t="shared" ca="1" si="94"/>
        <v>3.4816594052244909E-13</v>
      </c>
      <c r="BJ159" s="140">
        <v>0</v>
      </c>
      <c r="BK159" s="140">
        <v>0</v>
      </c>
      <c r="BM159" s="78"/>
      <c r="BR159" s="75">
        <f t="shared" ca="1" si="65"/>
        <v>48121</v>
      </c>
      <c r="BS159" s="74">
        <f t="shared" ca="1" si="79"/>
        <v>9</v>
      </c>
      <c r="BT159" s="74">
        <f t="shared" ca="1" si="80"/>
        <v>0</v>
      </c>
      <c r="BU159" s="73" t="str">
        <f t="shared" ca="1" si="81"/>
        <v xml:space="preserve"> </v>
      </c>
      <c r="BW159" s="75">
        <f t="shared" ca="1" si="91"/>
        <v>48121</v>
      </c>
      <c r="BX159" s="74">
        <f t="shared" ca="1" si="92"/>
        <v>9</v>
      </c>
      <c r="BY159" s="74">
        <f t="shared" ca="1" si="82"/>
        <v>0</v>
      </c>
      <c r="BZ159" s="73" t="str">
        <f t="shared" ca="1" si="83"/>
        <v xml:space="preserve"> </v>
      </c>
      <c r="CB159" s="75">
        <f t="shared" ca="1" si="93"/>
        <v>48121</v>
      </c>
      <c r="CC159" s="74">
        <f t="shared" ca="1" si="84"/>
        <v>9</v>
      </c>
      <c r="CD159" s="74">
        <f t="shared" ca="1" si="85"/>
        <v>0</v>
      </c>
      <c r="CE159" s="73" t="str">
        <f t="shared" ca="1" si="86"/>
        <v xml:space="preserve"> </v>
      </c>
    </row>
    <row r="160" spans="1:83" x14ac:dyDescent="0.2">
      <c r="A160" s="38" t="str">
        <f t="shared" si="96"/>
        <v xml:space="preserve"> </v>
      </c>
      <c r="B160" s="108"/>
      <c r="C160" s="38"/>
      <c r="D160" s="137"/>
      <c r="E160" s="137"/>
      <c r="F160" s="137"/>
      <c r="G160" s="122"/>
      <c r="H160" s="137"/>
      <c r="I160" s="50"/>
      <c r="J160" s="50"/>
      <c r="K160" s="50"/>
      <c r="L160" s="38"/>
      <c r="M160" s="38"/>
      <c r="N160" s="38"/>
      <c r="O160" s="50"/>
      <c r="P160" s="218"/>
      <c r="Q160" s="50"/>
      <c r="R160" s="50"/>
      <c r="S160" s="38"/>
      <c r="T160" s="51"/>
      <c r="U160" s="65"/>
      <c r="V160" s="105"/>
      <c r="W160" s="66"/>
      <c r="X160" s="66"/>
      <c r="Y160" s="38"/>
      <c r="Z160" s="66">
        <f t="shared" si="66"/>
        <v>0</v>
      </c>
      <c r="AA160" s="67"/>
      <c r="AC160" s="41" t="e">
        <f>VLOOKUP(A160,'Input Sheet'!$A$2:$B$232,2,0)</f>
        <v>#N/A</v>
      </c>
      <c r="AD160" s="70"/>
      <c r="AI160" s="68"/>
      <c r="AL160" s="107">
        <f t="shared" ca="1" si="87"/>
        <v>0</v>
      </c>
      <c r="AM160" s="49">
        <f t="shared" ca="1" si="88"/>
        <v>48152</v>
      </c>
      <c r="AN160" s="137" t="str">
        <f t="shared" ca="1" si="74"/>
        <v xml:space="preserve"> </v>
      </c>
      <c r="AO160" s="107">
        <f t="shared" ca="1" si="75"/>
        <v>0</v>
      </c>
      <c r="AP160" s="143">
        <f t="shared" ca="1" si="67"/>
        <v>0</v>
      </c>
      <c r="AQ160" s="143">
        <f t="shared" ca="1" si="76"/>
        <v>0</v>
      </c>
      <c r="AR160" s="49" t="str">
        <f t="shared" ca="1" si="68"/>
        <v xml:space="preserve"> </v>
      </c>
      <c r="AS160" s="107">
        <f t="shared" ca="1" si="69"/>
        <v>0</v>
      </c>
      <c r="AT160" s="107">
        <f t="shared" ca="1" si="70"/>
        <v>0</v>
      </c>
      <c r="AU160" s="107"/>
      <c r="AV160" s="107">
        <f ca="1">MAX(SUM($AQ$6:AQ160)-SUM($AT$6:AT160),0)</f>
        <v>0</v>
      </c>
      <c r="AW160" s="107">
        <f t="shared" ca="1" si="89"/>
        <v>0</v>
      </c>
      <c r="AX160" s="107">
        <v>0</v>
      </c>
      <c r="AY160" s="138" t="str">
        <f t="shared" ca="1" si="71"/>
        <v xml:space="preserve"> </v>
      </c>
      <c r="AZ160" s="107">
        <f t="shared" ca="1" si="72"/>
        <v>0</v>
      </c>
      <c r="BA160" s="107">
        <f ca="1">IF(AZ160=1,(SUM($AW$6:AW160,$AX$6:AX160)-SUM($BA$6:BA159)),0)</f>
        <v>0</v>
      </c>
      <c r="BB160" s="107"/>
      <c r="BC160" s="107">
        <f ca="1">AV160+SUM($AW$6:AW160)+SUM($AX$6:AX160)-SUM($BA$6:BA160)</f>
        <v>0</v>
      </c>
      <c r="BD160" s="107">
        <f t="shared" ca="1" si="77"/>
        <v>0</v>
      </c>
      <c r="BE160" s="51">
        <f ca="1">'PiT PD Structure'!J200</f>
        <v>7.3295694294150948E-5</v>
      </c>
      <c r="BF160" s="139">
        <f t="shared" ca="1" si="90"/>
        <v>0.45</v>
      </c>
      <c r="BG160" s="51">
        <f t="shared" ca="1" si="78"/>
        <v>1</v>
      </c>
      <c r="BH160" s="50">
        <f t="shared" ca="1" si="73"/>
        <v>0</v>
      </c>
      <c r="BI160" s="50">
        <f t="shared" ca="1" si="94"/>
        <v>3.4816594052244909E-13</v>
      </c>
      <c r="BJ160" s="140">
        <v>0</v>
      </c>
      <c r="BK160" s="140">
        <v>0</v>
      </c>
      <c r="BM160" s="78"/>
      <c r="BR160" s="75">
        <f t="shared" ca="1" si="65"/>
        <v>48152</v>
      </c>
      <c r="BS160" s="74">
        <f t="shared" ca="1" si="79"/>
        <v>10</v>
      </c>
      <c r="BT160" s="74">
        <f t="shared" ca="1" si="80"/>
        <v>0</v>
      </c>
      <c r="BU160" s="73" t="str">
        <f t="shared" ca="1" si="81"/>
        <v xml:space="preserve"> </v>
      </c>
      <c r="BW160" s="75">
        <f t="shared" ca="1" si="91"/>
        <v>48152</v>
      </c>
      <c r="BX160" s="74">
        <f t="shared" ca="1" si="92"/>
        <v>10</v>
      </c>
      <c r="BY160" s="74">
        <f t="shared" ca="1" si="82"/>
        <v>0</v>
      </c>
      <c r="BZ160" s="73" t="str">
        <f t="shared" ca="1" si="83"/>
        <v xml:space="preserve"> </v>
      </c>
      <c r="CB160" s="75">
        <f t="shared" ca="1" si="93"/>
        <v>48152</v>
      </c>
      <c r="CC160" s="74">
        <f t="shared" ca="1" si="84"/>
        <v>10</v>
      </c>
      <c r="CD160" s="74">
        <f t="shared" ca="1" si="85"/>
        <v>0</v>
      </c>
      <c r="CE160" s="73" t="str">
        <f t="shared" ca="1" si="86"/>
        <v xml:space="preserve"> </v>
      </c>
    </row>
    <row r="161" spans="1:83" x14ac:dyDescent="0.2">
      <c r="A161" s="38" t="str">
        <f t="shared" si="96"/>
        <v xml:space="preserve"> </v>
      </c>
      <c r="B161" s="108"/>
      <c r="C161" s="38"/>
      <c r="D161" s="137"/>
      <c r="E161" s="137"/>
      <c r="F161" s="137"/>
      <c r="G161" s="122"/>
      <c r="H161" s="137"/>
      <c r="I161" s="50"/>
      <c r="J161" s="50"/>
      <c r="K161" s="50"/>
      <c r="L161" s="38"/>
      <c r="M161" s="38"/>
      <c r="N161" s="38"/>
      <c r="O161" s="50"/>
      <c r="P161" s="218"/>
      <c r="Q161" s="50"/>
      <c r="R161" s="50"/>
      <c r="S161" s="38"/>
      <c r="T161" s="51"/>
      <c r="U161" s="65"/>
      <c r="V161" s="105"/>
      <c r="W161" s="66"/>
      <c r="X161" s="66"/>
      <c r="Y161" s="38"/>
      <c r="Z161" s="66">
        <f t="shared" si="66"/>
        <v>0</v>
      </c>
      <c r="AA161" s="67"/>
      <c r="AC161" s="41" t="e">
        <f>VLOOKUP(A161,'Input Sheet'!$A$2:$B$232,2,0)</f>
        <v>#N/A</v>
      </c>
      <c r="AD161" s="70"/>
      <c r="AI161" s="68"/>
      <c r="AL161" s="107">
        <f t="shared" ca="1" si="87"/>
        <v>0</v>
      </c>
      <c r="AM161" s="49">
        <f t="shared" ca="1" si="88"/>
        <v>48182</v>
      </c>
      <c r="AN161" s="137" t="str">
        <f t="shared" ca="1" si="74"/>
        <v xml:space="preserve"> </v>
      </c>
      <c r="AO161" s="107">
        <f t="shared" ca="1" si="75"/>
        <v>0</v>
      </c>
      <c r="AP161" s="143">
        <f t="shared" ca="1" si="67"/>
        <v>0</v>
      </c>
      <c r="AQ161" s="143">
        <f t="shared" ca="1" si="76"/>
        <v>0</v>
      </c>
      <c r="AR161" s="49" t="str">
        <f t="shared" ca="1" si="68"/>
        <v xml:space="preserve"> </v>
      </c>
      <c r="AS161" s="107">
        <f t="shared" ca="1" si="69"/>
        <v>0</v>
      </c>
      <c r="AT161" s="107">
        <f t="shared" ca="1" si="70"/>
        <v>0</v>
      </c>
      <c r="AU161" s="107"/>
      <c r="AV161" s="107">
        <f ca="1">MAX(SUM($AQ$6:AQ161)-SUM($AT$6:AT161),0)</f>
        <v>0</v>
      </c>
      <c r="AW161" s="107">
        <f t="shared" ca="1" si="89"/>
        <v>0</v>
      </c>
      <c r="AX161" s="107">
        <v>0</v>
      </c>
      <c r="AY161" s="138" t="str">
        <f t="shared" ca="1" si="71"/>
        <v xml:space="preserve"> </v>
      </c>
      <c r="AZ161" s="107">
        <f t="shared" ca="1" si="72"/>
        <v>0</v>
      </c>
      <c r="BA161" s="107">
        <f ca="1">IF(AZ161=1,(SUM($AW$6:AW161,$AX$6:AX161)-SUM($BA$6:BA160)),0)</f>
        <v>0</v>
      </c>
      <c r="BB161" s="107"/>
      <c r="BC161" s="107">
        <f ca="1">AV161+SUM($AW$6:AW161)+SUM($AX$6:AX161)-SUM($BA$6:BA161)</f>
        <v>0</v>
      </c>
      <c r="BD161" s="107">
        <f t="shared" ca="1" si="77"/>
        <v>0</v>
      </c>
      <c r="BE161" s="51">
        <f ca="1">'PiT PD Structure'!J201</f>
        <v>7.3290227981415157E-5</v>
      </c>
      <c r="BF161" s="139">
        <f t="shared" ca="1" si="90"/>
        <v>0.45</v>
      </c>
      <c r="BG161" s="51">
        <f t="shared" ca="1" si="78"/>
        <v>1</v>
      </c>
      <c r="BH161" s="50">
        <f t="shared" ca="1" si="73"/>
        <v>0</v>
      </c>
      <c r="BI161" s="50">
        <f t="shared" ca="1" si="94"/>
        <v>3.4816594052244909E-13</v>
      </c>
      <c r="BJ161" s="140">
        <v>0</v>
      </c>
      <c r="BK161" s="140">
        <v>0</v>
      </c>
      <c r="BM161" s="78"/>
      <c r="BR161" s="75">
        <f t="shared" ca="1" si="65"/>
        <v>48182</v>
      </c>
      <c r="BS161" s="74">
        <f t="shared" ca="1" si="79"/>
        <v>11</v>
      </c>
      <c r="BT161" s="74">
        <f t="shared" ca="1" si="80"/>
        <v>0</v>
      </c>
      <c r="BU161" s="73" t="str">
        <f t="shared" ca="1" si="81"/>
        <v xml:space="preserve"> </v>
      </c>
      <c r="BW161" s="75">
        <f t="shared" ca="1" si="91"/>
        <v>48182</v>
      </c>
      <c r="BX161" s="74">
        <f t="shared" ca="1" si="92"/>
        <v>11</v>
      </c>
      <c r="BY161" s="74">
        <f t="shared" ca="1" si="82"/>
        <v>0</v>
      </c>
      <c r="BZ161" s="73" t="str">
        <f t="shared" ca="1" si="83"/>
        <v xml:space="preserve"> </v>
      </c>
      <c r="CB161" s="75">
        <f t="shared" ca="1" si="93"/>
        <v>48182</v>
      </c>
      <c r="CC161" s="74">
        <f t="shared" ca="1" si="84"/>
        <v>11</v>
      </c>
      <c r="CD161" s="74">
        <f t="shared" ca="1" si="85"/>
        <v>0</v>
      </c>
      <c r="CE161" s="73" t="str">
        <f t="shared" ca="1" si="86"/>
        <v xml:space="preserve"> </v>
      </c>
    </row>
    <row r="162" spans="1:83" x14ac:dyDescent="0.2">
      <c r="A162" s="38" t="str">
        <f t="shared" si="96"/>
        <v xml:space="preserve"> </v>
      </c>
      <c r="B162" s="108"/>
      <c r="C162" s="38"/>
      <c r="D162" s="137"/>
      <c r="E162" s="137"/>
      <c r="F162" s="137"/>
      <c r="G162" s="122"/>
      <c r="H162" s="137"/>
      <c r="I162" s="50"/>
      <c r="J162" s="50"/>
      <c r="K162" s="50"/>
      <c r="L162" s="38"/>
      <c r="M162" s="38"/>
      <c r="N162" s="38"/>
      <c r="O162" s="50"/>
      <c r="P162" s="218"/>
      <c r="Q162" s="50"/>
      <c r="R162" s="50"/>
      <c r="S162" s="38"/>
      <c r="T162" s="51"/>
      <c r="U162" s="65"/>
      <c r="V162" s="105"/>
      <c r="W162" s="66"/>
      <c r="X162" s="66"/>
      <c r="Y162" s="38"/>
      <c r="Z162" s="66">
        <f t="shared" si="66"/>
        <v>0</v>
      </c>
      <c r="AA162" s="67"/>
      <c r="AC162" s="41" t="e">
        <f>VLOOKUP(A162,'Input Sheet'!$A$2:$B$232,2,0)</f>
        <v>#N/A</v>
      </c>
      <c r="AD162" s="70"/>
      <c r="AI162" s="68"/>
      <c r="AL162" s="107">
        <f t="shared" ca="1" si="87"/>
        <v>0</v>
      </c>
      <c r="AM162" s="49">
        <f t="shared" ca="1" si="88"/>
        <v>48213</v>
      </c>
      <c r="AN162" s="137" t="str">
        <f t="shared" ca="1" si="74"/>
        <v xml:space="preserve"> </v>
      </c>
      <c r="AO162" s="107">
        <f t="shared" ca="1" si="75"/>
        <v>0</v>
      </c>
      <c r="AP162" s="143">
        <f t="shared" ca="1" si="67"/>
        <v>0</v>
      </c>
      <c r="AQ162" s="143">
        <f t="shared" ca="1" si="76"/>
        <v>0</v>
      </c>
      <c r="AR162" s="49" t="str">
        <f t="shared" ca="1" si="68"/>
        <v xml:space="preserve"> </v>
      </c>
      <c r="AS162" s="107">
        <f t="shared" ca="1" si="69"/>
        <v>0</v>
      </c>
      <c r="AT162" s="107">
        <f t="shared" ca="1" si="70"/>
        <v>0</v>
      </c>
      <c r="AU162" s="107"/>
      <c r="AV162" s="107">
        <f ca="1">MAX(SUM($AQ$6:AQ162)-SUM($AT$6:AT162),0)</f>
        <v>0</v>
      </c>
      <c r="AW162" s="107">
        <f t="shared" ca="1" si="89"/>
        <v>0</v>
      </c>
      <c r="AX162" s="107">
        <v>0</v>
      </c>
      <c r="AY162" s="138" t="str">
        <f t="shared" ca="1" si="71"/>
        <v xml:space="preserve"> </v>
      </c>
      <c r="AZ162" s="107">
        <f t="shared" ca="1" si="72"/>
        <v>0</v>
      </c>
      <c r="BA162" s="107">
        <f ca="1">IF(AZ162=1,(SUM($AW$6:AW162,$AX$6:AX162)-SUM($BA$6:BA161)),0)</f>
        <v>0</v>
      </c>
      <c r="BB162" s="107"/>
      <c r="BC162" s="107">
        <f ca="1">AV162+SUM($AW$6:AW162)+SUM($AX$6:AX162)-SUM($BA$6:BA162)</f>
        <v>0</v>
      </c>
      <c r="BD162" s="107">
        <f t="shared" ca="1" si="77"/>
        <v>0</v>
      </c>
      <c r="BE162" s="51">
        <f ca="1">'PiT PD Structure'!J202</f>
        <v>1.7978880724772717E-3</v>
      </c>
      <c r="BF162" s="139">
        <f t="shared" ca="1" si="90"/>
        <v>0.45</v>
      </c>
      <c r="BG162" s="51">
        <f t="shared" ca="1" si="78"/>
        <v>1</v>
      </c>
      <c r="BH162" s="50">
        <f t="shared" ca="1" si="73"/>
        <v>0</v>
      </c>
      <c r="BI162" s="50">
        <f t="shared" ca="1" si="94"/>
        <v>3.4816594052244909E-13</v>
      </c>
      <c r="BJ162" s="140">
        <v>0</v>
      </c>
      <c r="BK162" s="140">
        <v>0</v>
      </c>
      <c r="BM162" s="78"/>
      <c r="BR162" s="75">
        <f t="shared" ca="1" si="65"/>
        <v>48213</v>
      </c>
      <c r="BS162" s="74">
        <f t="shared" ca="1" si="79"/>
        <v>12</v>
      </c>
      <c r="BT162" s="74">
        <f t="shared" ca="1" si="80"/>
        <v>0</v>
      </c>
      <c r="BU162" s="73" t="str">
        <f t="shared" ca="1" si="81"/>
        <v xml:space="preserve"> </v>
      </c>
      <c r="BW162" s="75">
        <f t="shared" ca="1" si="91"/>
        <v>48213</v>
      </c>
      <c r="BX162" s="74">
        <f t="shared" ca="1" si="92"/>
        <v>12</v>
      </c>
      <c r="BY162" s="74">
        <f t="shared" ca="1" si="82"/>
        <v>0</v>
      </c>
      <c r="BZ162" s="73" t="str">
        <f t="shared" ca="1" si="83"/>
        <v xml:space="preserve"> </v>
      </c>
      <c r="CB162" s="75">
        <f t="shared" ca="1" si="93"/>
        <v>48213</v>
      </c>
      <c r="CC162" s="74">
        <f t="shared" ca="1" si="84"/>
        <v>12</v>
      </c>
      <c r="CD162" s="74">
        <f t="shared" ca="1" si="85"/>
        <v>0</v>
      </c>
      <c r="CE162" s="73" t="str">
        <f t="shared" ca="1" si="86"/>
        <v xml:space="preserve"> </v>
      </c>
    </row>
    <row r="163" spans="1:83" x14ac:dyDescent="0.2">
      <c r="A163" s="38" t="str">
        <f t="shared" si="96"/>
        <v xml:space="preserve"> </v>
      </c>
      <c r="B163" s="108"/>
      <c r="C163" s="38"/>
      <c r="D163" s="137"/>
      <c r="E163" s="137"/>
      <c r="F163" s="137"/>
      <c r="G163" s="122"/>
      <c r="H163" s="137"/>
      <c r="I163" s="50"/>
      <c r="J163" s="50"/>
      <c r="K163" s="50"/>
      <c r="L163" s="38"/>
      <c r="M163" s="38"/>
      <c r="N163" s="38"/>
      <c r="O163" s="50"/>
      <c r="P163" s="218"/>
      <c r="Q163" s="50"/>
      <c r="R163" s="50"/>
      <c r="S163" s="38"/>
      <c r="T163" s="51"/>
      <c r="U163" s="65"/>
      <c r="V163" s="105"/>
      <c r="W163" s="66"/>
      <c r="X163" s="66"/>
      <c r="Y163" s="38"/>
      <c r="Z163" s="66">
        <f t="shared" si="66"/>
        <v>0</v>
      </c>
      <c r="AA163" s="67"/>
      <c r="AC163" s="41" t="e">
        <f>VLOOKUP(A163,'Input Sheet'!$A$2:$B$232,2,0)</f>
        <v>#N/A</v>
      </c>
      <c r="AD163" s="70"/>
      <c r="AI163" s="68"/>
      <c r="AL163" s="107">
        <f t="shared" ca="1" si="87"/>
        <v>0</v>
      </c>
      <c r="AM163" s="49">
        <f t="shared" ca="1" si="88"/>
        <v>48244</v>
      </c>
      <c r="AN163" s="137" t="str">
        <f t="shared" ca="1" si="74"/>
        <v xml:space="preserve"> </v>
      </c>
      <c r="AO163" s="107">
        <f t="shared" ca="1" si="75"/>
        <v>0</v>
      </c>
      <c r="AP163" s="143">
        <f t="shared" ca="1" si="67"/>
        <v>0</v>
      </c>
      <c r="AQ163" s="143">
        <f t="shared" ca="1" si="76"/>
        <v>0</v>
      </c>
      <c r="AR163" s="49" t="str">
        <f t="shared" ca="1" si="68"/>
        <v xml:space="preserve"> </v>
      </c>
      <c r="AS163" s="107">
        <f t="shared" ca="1" si="69"/>
        <v>0</v>
      </c>
      <c r="AT163" s="107">
        <f t="shared" ca="1" si="70"/>
        <v>0</v>
      </c>
      <c r="AU163" s="107"/>
      <c r="AV163" s="107">
        <f ca="1">MAX(SUM($AQ$6:AQ163)-SUM($AT$6:AT163),0)</f>
        <v>0</v>
      </c>
      <c r="AW163" s="107">
        <f t="shared" ca="1" si="89"/>
        <v>0</v>
      </c>
      <c r="AX163" s="107">
        <v>0</v>
      </c>
      <c r="AY163" s="138" t="str">
        <f t="shared" ca="1" si="71"/>
        <v xml:space="preserve"> </v>
      </c>
      <c r="AZ163" s="107">
        <f t="shared" ca="1" si="72"/>
        <v>0</v>
      </c>
      <c r="BA163" s="107">
        <f ca="1">IF(AZ163=1,(SUM($AW$6:AW163,$AX$6:AX163)-SUM($BA$6:BA162)),0)</f>
        <v>0</v>
      </c>
      <c r="BB163" s="107"/>
      <c r="BC163" s="107">
        <f ca="1">AV163+SUM($AW$6:AW163)+SUM($AX$6:AX163)-SUM($BA$6:BA163)</f>
        <v>0</v>
      </c>
      <c r="BD163" s="107">
        <f t="shared" ca="1" si="77"/>
        <v>0</v>
      </c>
      <c r="BE163" s="51">
        <f ca="1">'PiT PD Structure'!J203</f>
        <v>7.8979522442845784E-5</v>
      </c>
      <c r="BF163" s="139">
        <f t="shared" ca="1" si="90"/>
        <v>0.45</v>
      </c>
      <c r="BG163" s="51">
        <f t="shared" ca="1" si="78"/>
        <v>1</v>
      </c>
      <c r="BH163" s="50">
        <f t="shared" ca="1" si="73"/>
        <v>0</v>
      </c>
      <c r="BI163" s="50">
        <f t="shared" ca="1" si="94"/>
        <v>3.4816594052244909E-13</v>
      </c>
      <c r="BJ163" s="140">
        <v>0</v>
      </c>
      <c r="BK163" s="140">
        <v>0</v>
      </c>
      <c r="BM163" s="78"/>
      <c r="BR163" s="75">
        <f t="shared" ca="1" si="65"/>
        <v>48244</v>
      </c>
      <c r="BS163" s="74">
        <f t="shared" ca="1" si="79"/>
        <v>1</v>
      </c>
      <c r="BT163" s="74">
        <f t="shared" ca="1" si="80"/>
        <v>0</v>
      </c>
      <c r="BU163" s="73" t="str">
        <f t="shared" ca="1" si="81"/>
        <v xml:space="preserve"> </v>
      </c>
      <c r="BW163" s="75">
        <f t="shared" ca="1" si="91"/>
        <v>48244</v>
      </c>
      <c r="BX163" s="74">
        <f t="shared" ca="1" si="92"/>
        <v>1</v>
      </c>
      <c r="BY163" s="74">
        <f t="shared" ca="1" si="82"/>
        <v>0</v>
      </c>
      <c r="BZ163" s="73" t="str">
        <f t="shared" ca="1" si="83"/>
        <v xml:space="preserve"> </v>
      </c>
      <c r="CB163" s="75">
        <f t="shared" ca="1" si="93"/>
        <v>48244</v>
      </c>
      <c r="CC163" s="74">
        <f t="shared" ca="1" si="84"/>
        <v>1</v>
      </c>
      <c r="CD163" s="74">
        <f t="shared" ca="1" si="85"/>
        <v>0</v>
      </c>
      <c r="CE163" s="73" t="str">
        <f t="shared" ca="1" si="86"/>
        <v xml:space="preserve"> </v>
      </c>
    </row>
    <row r="164" spans="1:83" x14ac:dyDescent="0.2">
      <c r="A164" s="38" t="str">
        <f t="shared" si="96"/>
        <v xml:space="preserve"> </v>
      </c>
      <c r="B164" s="108"/>
      <c r="C164" s="38"/>
      <c r="D164" s="137"/>
      <c r="E164" s="137"/>
      <c r="F164" s="137"/>
      <c r="G164" s="122"/>
      <c r="H164" s="137"/>
      <c r="I164" s="50"/>
      <c r="J164" s="50"/>
      <c r="K164" s="50"/>
      <c r="L164" s="38"/>
      <c r="M164" s="38"/>
      <c r="N164" s="38"/>
      <c r="O164" s="50"/>
      <c r="P164" s="218"/>
      <c r="Q164" s="50"/>
      <c r="R164" s="50"/>
      <c r="S164" s="38"/>
      <c r="T164" s="51"/>
      <c r="U164" s="65"/>
      <c r="V164" s="105"/>
      <c r="W164" s="66"/>
      <c r="X164" s="66"/>
      <c r="Y164" s="38"/>
      <c r="Z164" s="66">
        <f t="shared" si="66"/>
        <v>0</v>
      </c>
      <c r="AA164" s="67"/>
      <c r="AC164" s="41" t="e">
        <f>VLOOKUP(A164,'Input Sheet'!$A$2:$B$232,2,0)</f>
        <v>#N/A</v>
      </c>
      <c r="AD164" s="70"/>
      <c r="AI164" s="68"/>
      <c r="AL164" s="107">
        <f t="shared" ca="1" si="87"/>
        <v>0</v>
      </c>
      <c r="AM164" s="49">
        <f t="shared" ca="1" si="88"/>
        <v>48273</v>
      </c>
      <c r="AN164" s="137" t="str">
        <f t="shared" ca="1" si="74"/>
        <v xml:space="preserve"> </v>
      </c>
      <c r="AO164" s="107">
        <f t="shared" ca="1" si="75"/>
        <v>0</v>
      </c>
      <c r="AP164" s="143">
        <f t="shared" ca="1" si="67"/>
        <v>0</v>
      </c>
      <c r="AQ164" s="143">
        <f t="shared" ca="1" si="76"/>
        <v>0</v>
      </c>
      <c r="AR164" s="49" t="str">
        <f t="shared" ca="1" si="68"/>
        <v xml:space="preserve"> </v>
      </c>
      <c r="AS164" s="107">
        <f t="shared" ca="1" si="69"/>
        <v>0</v>
      </c>
      <c r="AT164" s="107">
        <f t="shared" ca="1" si="70"/>
        <v>0</v>
      </c>
      <c r="AU164" s="107"/>
      <c r="AV164" s="107">
        <f ca="1">MAX(SUM($AQ$6:AQ164)-SUM($AT$6:AT164),0)</f>
        <v>0</v>
      </c>
      <c r="AW164" s="107">
        <f t="shared" ca="1" si="89"/>
        <v>0</v>
      </c>
      <c r="AX164" s="107">
        <v>0</v>
      </c>
      <c r="AY164" s="138" t="str">
        <f t="shared" ca="1" si="71"/>
        <v xml:space="preserve"> </v>
      </c>
      <c r="AZ164" s="107">
        <f t="shared" ca="1" si="72"/>
        <v>0</v>
      </c>
      <c r="BA164" s="107">
        <f ca="1">IF(AZ164=1,(SUM($AW$6:AW164,$AX$6:AX164)-SUM($BA$6:BA163)),0)</f>
        <v>0</v>
      </c>
      <c r="BB164" s="107"/>
      <c r="BC164" s="107">
        <f ca="1">AV164+SUM($AW$6:AW164)+SUM($AX$6:AX164)-SUM($BA$6:BA164)</f>
        <v>0</v>
      </c>
      <c r="BD164" s="107">
        <f t="shared" ca="1" si="77"/>
        <v>0</v>
      </c>
      <c r="BE164" s="51">
        <f ca="1">'PiT PD Structure'!J204</f>
        <v>7.897316288951739E-5</v>
      </c>
      <c r="BF164" s="139">
        <f t="shared" ca="1" si="90"/>
        <v>0.45</v>
      </c>
      <c r="BG164" s="51">
        <f t="shared" ca="1" si="78"/>
        <v>1</v>
      </c>
      <c r="BH164" s="50">
        <f t="shared" ca="1" si="73"/>
        <v>0</v>
      </c>
      <c r="BI164" s="50">
        <f t="shared" ca="1" si="94"/>
        <v>3.4816594052244909E-13</v>
      </c>
      <c r="BJ164" s="140">
        <v>0</v>
      </c>
      <c r="BK164" s="140">
        <v>0</v>
      </c>
      <c r="BM164" s="78"/>
      <c r="BR164" s="75">
        <f t="shared" ca="1" si="65"/>
        <v>48273</v>
      </c>
      <c r="BS164" s="74">
        <f t="shared" ca="1" si="79"/>
        <v>2</v>
      </c>
      <c r="BT164" s="74">
        <f t="shared" ca="1" si="80"/>
        <v>0</v>
      </c>
      <c r="BU164" s="73" t="str">
        <f t="shared" ca="1" si="81"/>
        <v xml:space="preserve"> </v>
      </c>
      <c r="BW164" s="75">
        <f t="shared" ca="1" si="91"/>
        <v>48273</v>
      </c>
      <c r="BX164" s="74">
        <f t="shared" ca="1" si="92"/>
        <v>2</v>
      </c>
      <c r="BY164" s="74">
        <f t="shared" ca="1" si="82"/>
        <v>0</v>
      </c>
      <c r="BZ164" s="73" t="str">
        <f t="shared" ca="1" si="83"/>
        <v xml:space="preserve"> </v>
      </c>
      <c r="CB164" s="75">
        <f t="shared" ca="1" si="93"/>
        <v>48273</v>
      </c>
      <c r="CC164" s="74">
        <f t="shared" ca="1" si="84"/>
        <v>2</v>
      </c>
      <c r="CD164" s="74">
        <f t="shared" ca="1" si="85"/>
        <v>0</v>
      </c>
      <c r="CE164" s="73" t="str">
        <f t="shared" ca="1" si="86"/>
        <v xml:space="preserve"> </v>
      </c>
    </row>
    <row r="165" spans="1:83" x14ac:dyDescent="0.2">
      <c r="A165" s="38" t="str">
        <f t="shared" si="96"/>
        <v xml:space="preserve"> </v>
      </c>
      <c r="B165" s="108"/>
      <c r="C165" s="38"/>
      <c r="D165" s="137"/>
      <c r="E165" s="137"/>
      <c r="F165" s="137"/>
      <c r="G165" s="122"/>
      <c r="H165" s="137"/>
      <c r="I165" s="50"/>
      <c r="J165" s="50"/>
      <c r="K165" s="50"/>
      <c r="L165" s="38"/>
      <c r="M165" s="38"/>
      <c r="N165" s="38"/>
      <c r="O165" s="50"/>
      <c r="P165" s="218"/>
      <c r="Q165" s="50"/>
      <c r="R165" s="50"/>
      <c r="S165" s="38"/>
      <c r="T165" s="51"/>
      <c r="U165" s="65"/>
      <c r="V165" s="105"/>
      <c r="W165" s="66"/>
      <c r="X165" s="66"/>
      <c r="Y165" s="38"/>
      <c r="Z165" s="66">
        <f t="shared" si="66"/>
        <v>0</v>
      </c>
      <c r="AA165" s="67"/>
      <c r="AC165" s="41" t="e">
        <f>VLOOKUP(A165,'Input Sheet'!$A$2:$B$232,2,0)</f>
        <v>#N/A</v>
      </c>
      <c r="AD165" s="70"/>
      <c r="AI165" s="68"/>
      <c r="AL165" s="107">
        <f t="shared" ca="1" si="87"/>
        <v>0</v>
      </c>
      <c r="AM165" s="49">
        <f t="shared" ca="1" si="88"/>
        <v>48304</v>
      </c>
      <c r="AN165" s="137" t="str">
        <f t="shared" ca="1" si="74"/>
        <v xml:space="preserve"> </v>
      </c>
      <c r="AO165" s="107">
        <f t="shared" ca="1" si="75"/>
        <v>0</v>
      </c>
      <c r="AP165" s="143">
        <f t="shared" ca="1" si="67"/>
        <v>0</v>
      </c>
      <c r="AQ165" s="143">
        <f t="shared" ca="1" si="76"/>
        <v>0</v>
      </c>
      <c r="AR165" s="49" t="str">
        <f t="shared" ca="1" si="68"/>
        <v xml:space="preserve"> </v>
      </c>
      <c r="AS165" s="107">
        <f t="shared" ca="1" si="69"/>
        <v>0</v>
      </c>
      <c r="AT165" s="107">
        <f t="shared" ca="1" si="70"/>
        <v>0</v>
      </c>
      <c r="AU165" s="107"/>
      <c r="AV165" s="107">
        <f ca="1">MAX(SUM($AQ$6:AQ165)-SUM($AT$6:AT165),0)</f>
        <v>0</v>
      </c>
      <c r="AW165" s="107">
        <f t="shared" ca="1" si="89"/>
        <v>0</v>
      </c>
      <c r="AX165" s="107">
        <v>0</v>
      </c>
      <c r="AY165" s="138" t="str">
        <f t="shared" ca="1" si="71"/>
        <v xml:space="preserve"> </v>
      </c>
      <c r="AZ165" s="107">
        <f t="shared" ca="1" si="72"/>
        <v>0</v>
      </c>
      <c r="BA165" s="107">
        <f ca="1">IF(AZ165=1,(SUM($AW$6:AW165,$AX$6:AX165)-SUM($BA$6:BA164)),0)</f>
        <v>0</v>
      </c>
      <c r="BB165" s="107"/>
      <c r="BC165" s="107">
        <f ca="1">AV165+SUM($AW$6:AW165)+SUM($AX$6:AX165)-SUM($BA$6:BA165)</f>
        <v>0</v>
      </c>
      <c r="BD165" s="107">
        <f t="shared" ca="1" si="77"/>
        <v>0</v>
      </c>
      <c r="BE165" s="51">
        <f ca="1">'PiT PD Structure'!J205</f>
        <v>7.8966803848223854E-5</v>
      </c>
      <c r="BF165" s="139">
        <f t="shared" ca="1" si="90"/>
        <v>0.45</v>
      </c>
      <c r="BG165" s="51">
        <f t="shared" ca="1" si="78"/>
        <v>1</v>
      </c>
      <c r="BH165" s="50">
        <f t="shared" ca="1" si="73"/>
        <v>0</v>
      </c>
      <c r="BI165" s="50">
        <f t="shared" ca="1" si="94"/>
        <v>3.4816594052244909E-13</v>
      </c>
      <c r="BJ165" s="140">
        <v>0</v>
      </c>
      <c r="BK165" s="140">
        <v>0</v>
      </c>
      <c r="BM165" s="78"/>
      <c r="BR165" s="75">
        <f t="shared" ca="1" si="65"/>
        <v>48304</v>
      </c>
      <c r="BS165" s="74">
        <f t="shared" ca="1" si="79"/>
        <v>3</v>
      </c>
      <c r="BT165" s="74">
        <f t="shared" ca="1" si="80"/>
        <v>0</v>
      </c>
      <c r="BU165" s="73" t="str">
        <f t="shared" ca="1" si="81"/>
        <v xml:space="preserve"> </v>
      </c>
      <c r="BW165" s="75">
        <f t="shared" ca="1" si="91"/>
        <v>48304</v>
      </c>
      <c r="BX165" s="74">
        <f t="shared" ca="1" si="92"/>
        <v>3</v>
      </c>
      <c r="BY165" s="74">
        <f t="shared" ca="1" si="82"/>
        <v>0</v>
      </c>
      <c r="BZ165" s="73" t="str">
        <f t="shared" ca="1" si="83"/>
        <v xml:space="preserve"> </v>
      </c>
      <c r="CB165" s="75">
        <f t="shared" ca="1" si="93"/>
        <v>48304</v>
      </c>
      <c r="CC165" s="74">
        <f t="shared" ca="1" si="84"/>
        <v>3</v>
      </c>
      <c r="CD165" s="74">
        <f t="shared" ca="1" si="85"/>
        <v>0</v>
      </c>
      <c r="CE165" s="73" t="str">
        <f t="shared" ca="1" si="86"/>
        <v xml:space="preserve"> </v>
      </c>
    </row>
    <row r="166" spans="1:83" x14ac:dyDescent="0.2">
      <c r="A166" s="38" t="str">
        <f t="shared" si="96"/>
        <v xml:space="preserve"> </v>
      </c>
      <c r="B166" s="108"/>
      <c r="C166" s="38"/>
      <c r="D166" s="137"/>
      <c r="E166" s="137"/>
      <c r="F166" s="137"/>
      <c r="G166" s="122"/>
      <c r="H166" s="137"/>
      <c r="I166" s="50"/>
      <c r="J166" s="50"/>
      <c r="K166" s="50"/>
      <c r="L166" s="38"/>
      <c r="M166" s="38"/>
      <c r="N166" s="38"/>
      <c r="O166" s="50"/>
      <c r="P166" s="218"/>
      <c r="Q166" s="50"/>
      <c r="R166" s="50"/>
      <c r="S166" s="38"/>
      <c r="T166" s="51"/>
      <c r="U166" s="65"/>
      <c r="V166" s="105"/>
      <c r="W166" s="66"/>
      <c r="X166" s="66"/>
      <c r="Y166" s="38"/>
      <c r="Z166" s="66">
        <f t="shared" si="66"/>
        <v>0</v>
      </c>
      <c r="AA166" s="67"/>
      <c r="AC166" s="41" t="e">
        <f>VLOOKUP(A166,'Input Sheet'!$A$2:$B$232,2,0)</f>
        <v>#N/A</v>
      </c>
      <c r="AD166" s="70"/>
      <c r="AI166" s="68"/>
      <c r="AL166" s="107">
        <f t="shared" ca="1" si="87"/>
        <v>0</v>
      </c>
      <c r="AM166" s="49">
        <f t="shared" ca="1" si="88"/>
        <v>48334</v>
      </c>
      <c r="AN166" s="137" t="str">
        <f t="shared" ca="1" si="74"/>
        <v xml:space="preserve"> </v>
      </c>
      <c r="AO166" s="107">
        <f t="shared" ca="1" si="75"/>
        <v>0</v>
      </c>
      <c r="AP166" s="143">
        <f t="shared" ca="1" si="67"/>
        <v>0</v>
      </c>
      <c r="AQ166" s="143">
        <f t="shared" ca="1" si="76"/>
        <v>0</v>
      </c>
      <c r="AR166" s="49" t="str">
        <f t="shared" ca="1" si="68"/>
        <v xml:space="preserve"> </v>
      </c>
      <c r="AS166" s="107">
        <f t="shared" ca="1" si="69"/>
        <v>0</v>
      </c>
      <c r="AT166" s="107">
        <f t="shared" ca="1" si="70"/>
        <v>0</v>
      </c>
      <c r="AU166" s="107"/>
      <c r="AV166" s="107">
        <f ca="1">MAX(SUM($AQ$6:AQ166)-SUM($AT$6:AT166),0)</f>
        <v>0</v>
      </c>
      <c r="AW166" s="107">
        <f t="shared" ca="1" si="89"/>
        <v>0</v>
      </c>
      <c r="AX166" s="107">
        <v>0</v>
      </c>
      <c r="AY166" s="138" t="str">
        <f t="shared" ca="1" si="71"/>
        <v xml:space="preserve"> </v>
      </c>
      <c r="AZ166" s="107">
        <f t="shared" ca="1" si="72"/>
        <v>0</v>
      </c>
      <c r="BA166" s="107">
        <f ca="1">IF(AZ166=1,(SUM($AW$6:AW166,$AX$6:AX166)-SUM($BA$6:BA165)),0)</f>
        <v>0</v>
      </c>
      <c r="BB166" s="107"/>
      <c r="BC166" s="107">
        <f ca="1">AV166+SUM($AW$6:AW166)+SUM($AX$6:AX166)-SUM($BA$6:BA166)</f>
        <v>0</v>
      </c>
      <c r="BD166" s="107">
        <f t="shared" ca="1" si="77"/>
        <v>0</v>
      </c>
      <c r="BE166" s="51">
        <f ca="1">'PiT PD Structure'!J206</f>
        <v>7.8960445318965178E-5</v>
      </c>
      <c r="BF166" s="139">
        <f t="shared" ca="1" si="90"/>
        <v>0.45</v>
      </c>
      <c r="BG166" s="51">
        <f t="shared" ca="1" si="78"/>
        <v>1</v>
      </c>
      <c r="BH166" s="50">
        <f t="shared" ca="1" si="73"/>
        <v>0</v>
      </c>
      <c r="BI166" s="50">
        <f t="shared" ca="1" si="94"/>
        <v>3.4816594052244909E-13</v>
      </c>
      <c r="BJ166" s="140">
        <v>0</v>
      </c>
      <c r="BK166" s="140">
        <v>0</v>
      </c>
      <c r="BM166" s="78"/>
      <c r="BR166" s="75">
        <f t="shared" ca="1" si="65"/>
        <v>48334</v>
      </c>
      <c r="BS166" s="74">
        <f t="shared" ca="1" si="79"/>
        <v>4</v>
      </c>
      <c r="BT166" s="74">
        <f t="shared" ca="1" si="80"/>
        <v>0</v>
      </c>
      <c r="BU166" s="73" t="str">
        <f t="shared" ca="1" si="81"/>
        <v xml:space="preserve"> </v>
      </c>
      <c r="BW166" s="75">
        <f t="shared" ca="1" si="91"/>
        <v>48334</v>
      </c>
      <c r="BX166" s="74">
        <f t="shared" ca="1" si="92"/>
        <v>4</v>
      </c>
      <c r="BY166" s="74">
        <f t="shared" ca="1" si="82"/>
        <v>0</v>
      </c>
      <c r="BZ166" s="73" t="str">
        <f t="shared" ca="1" si="83"/>
        <v xml:space="preserve"> </v>
      </c>
      <c r="CB166" s="75">
        <f t="shared" ca="1" si="93"/>
        <v>48334</v>
      </c>
      <c r="CC166" s="74">
        <f t="shared" ca="1" si="84"/>
        <v>4</v>
      </c>
      <c r="CD166" s="74">
        <f t="shared" ca="1" si="85"/>
        <v>0</v>
      </c>
      <c r="CE166" s="73" t="str">
        <f t="shared" ca="1" si="86"/>
        <v xml:space="preserve"> </v>
      </c>
    </row>
    <row r="167" spans="1:83" x14ac:dyDescent="0.2">
      <c r="A167" s="38" t="str">
        <f t="shared" si="96"/>
        <v xml:space="preserve"> </v>
      </c>
      <c r="B167" s="108"/>
      <c r="C167" s="38"/>
      <c r="D167" s="137"/>
      <c r="E167" s="137"/>
      <c r="F167" s="137"/>
      <c r="G167" s="122"/>
      <c r="H167" s="137"/>
      <c r="I167" s="50"/>
      <c r="J167" s="50"/>
      <c r="K167" s="50"/>
      <c r="L167" s="38"/>
      <c r="M167" s="38"/>
      <c r="N167" s="38"/>
      <c r="O167" s="50"/>
      <c r="P167" s="218"/>
      <c r="Q167" s="50"/>
      <c r="R167" s="50"/>
      <c r="S167" s="38"/>
      <c r="T167" s="51"/>
      <c r="U167" s="65"/>
      <c r="V167" s="105"/>
      <c r="W167" s="66"/>
      <c r="X167" s="66"/>
      <c r="Y167" s="38"/>
      <c r="Z167" s="66">
        <f t="shared" si="66"/>
        <v>0</v>
      </c>
      <c r="AA167" s="67"/>
      <c r="AC167" s="41" t="e">
        <f>VLOOKUP(A167,'Input Sheet'!$A$2:$B$232,2,0)</f>
        <v>#N/A</v>
      </c>
      <c r="AD167" s="70"/>
      <c r="AI167" s="68"/>
      <c r="AL167" s="107">
        <f t="shared" ca="1" si="87"/>
        <v>0</v>
      </c>
      <c r="AM167" s="49">
        <f t="shared" ca="1" si="88"/>
        <v>48365</v>
      </c>
      <c r="AN167" s="137" t="str">
        <f t="shared" ca="1" si="74"/>
        <v xml:space="preserve"> </v>
      </c>
      <c r="AO167" s="107">
        <f t="shared" ca="1" si="75"/>
        <v>0</v>
      </c>
      <c r="AP167" s="143">
        <f t="shared" ca="1" si="67"/>
        <v>0</v>
      </c>
      <c r="AQ167" s="143">
        <f t="shared" ca="1" si="76"/>
        <v>0</v>
      </c>
      <c r="AR167" s="49" t="str">
        <f t="shared" ca="1" si="68"/>
        <v xml:space="preserve"> </v>
      </c>
      <c r="AS167" s="107">
        <f t="shared" ca="1" si="69"/>
        <v>0</v>
      </c>
      <c r="AT167" s="107">
        <f t="shared" ca="1" si="70"/>
        <v>0</v>
      </c>
      <c r="AU167" s="107"/>
      <c r="AV167" s="107">
        <f ca="1">MAX(SUM($AQ$6:AQ167)-SUM($AT$6:AT167),0)</f>
        <v>0</v>
      </c>
      <c r="AW167" s="107">
        <f t="shared" ca="1" si="89"/>
        <v>0</v>
      </c>
      <c r="AX167" s="107">
        <v>0</v>
      </c>
      <c r="AY167" s="138" t="str">
        <f t="shared" ca="1" si="71"/>
        <v xml:space="preserve"> </v>
      </c>
      <c r="AZ167" s="107">
        <f t="shared" ca="1" si="72"/>
        <v>0</v>
      </c>
      <c r="BA167" s="107">
        <f ca="1">IF(AZ167=1,(SUM($AW$6:AW167,$AX$6:AX167)-SUM($BA$6:BA166)),0)</f>
        <v>0</v>
      </c>
      <c r="BB167" s="107"/>
      <c r="BC167" s="107">
        <f ca="1">AV167+SUM($AW$6:AW167)+SUM($AX$6:AX167)-SUM($BA$6:BA167)</f>
        <v>0</v>
      </c>
      <c r="BD167" s="107">
        <f t="shared" ca="1" si="77"/>
        <v>0</v>
      </c>
      <c r="BE167" s="51">
        <f ca="1">'PiT PD Structure'!J207</f>
        <v>7.8954087301519316E-5</v>
      </c>
      <c r="BF167" s="139">
        <f t="shared" ca="1" si="90"/>
        <v>0.45</v>
      </c>
      <c r="BG167" s="51">
        <f t="shared" ca="1" si="78"/>
        <v>1</v>
      </c>
      <c r="BH167" s="50">
        <f t="shared" ca="1" si="73"/>
        <v>0</v>
      </c>
      <c r="BI167" s="50">
        <f t="shared" ca="1" si="94"/>
        <v>3.4816594052244909E-13</v>
      </c>
      <c r="BJ167" s="140">
        <v>0</v>
      </c>
      <c r="BK167" s="140">
        <v>0</v>
      </c>
      <c r="BM167" s="78"/>
      <c r="BR167" s="75">
        <f t="shared" ca="1" si="65"/>
        <v>48365</v>
      </c>
      <c r="BS167" s="74">
        <f t="shared" ca="1" si="79"/>
        <v>5</v>
      </c>
      <c r="BT167" s="74">
        <f t="shared" ca="1" si="80"/>
        <v>0</v>
      </c>
      <c r="BU167" s="73" t="str">
        <f t="shared" ca="1" si="81"/>
        <v xml:space="preserve"> </v>
      </c>
      <c r="BW167" s="75">
        <f t="shared" ca="1" si="91"/>
        <v>48365</v>
      </c>
      <c r="BX167" s="74">
        <f t="shared" ca="1" si="92"/>
        <v>5</v>
      </c>
      <c r="BY167" s="74">
        <f t="shared" ca="1" si="82"/>
        <v>0</v>
      </c>
      <c r="BZ167" s="73" t="str">
        <f t="shared" ca="1" si="83"/>
        <v xml:space="preserve"> </v>
      </c>
      <c r="CB167" s="75">
        <f t="shared" ca="1" si="93"/>
        <v>48365</v>
      </c>
      <c r="CC167" s="74">
        <f t="shared" ca="1" si="84"/>
        <v>5</v>
      </c>
      <c r="CD167" s="74">
        <f t="shared" ca="1" si="85"/>
        <v>0</v>
      </c>
      <c r="CE167" s="73" t="str">
        <f t="shared" ca="1" si="86"/>
        <v xml:space="preserve"> </v>
      </c>
    </row>
    <row r="168" spans="1:83" x14ac:dyDescent="0.2">
      <c r="A168" s="38" t="str">
        <f t="shared" si="96"/>
        <v xml:space="preserve"> </v>
      </c>
      <c r="B168" s="108"/>
      <c r="C168" s="38"/>
      <c r="D168" s="137"/>
      <c r="E168" s="137"/>
      <c r="F168" s="137"/>
      <c r="G168" s="122"/>
      <c r="H168" s="137"/>
      <c r="I168" s="50"/>
      <c r="J168" s="50"/>
      <c r="K168" s="50"/>
      <c r="L168" s="38"/>
      <c r="M168" s="38"/>
      <c r="N168" s="38"/>
      <c r="O168" s="50"/>
      <c r="P168" s="218"/>
      <c r="Q168" s="50"/>
      <c r="R168" s="50"/>
      <c r="S168" s="38"/>
      <c r="T168" s="51"/>
      <c r="U168" s="65"/>
      <c r="V168" s="105"/>
      <c r="W168" s="66"/>
      <c r="X168" s="66"/>
      <c r="Y168" s="38"/>
      <c r="Z168" s="66">
        <f t="shared" si="66"/>
        <v>0</v>
      </c>
      <c r="AA168" s="67"/>
      <c r="AC168" s="41" t="e">
        <f>VLOOKUP(A168,'Input Sheet'!$A$2:$B$232,2,0)</f>
        <v>#N/A</v>
      </c>
      <c r="AD168" s="70"/>
      <c r="AI168" s="68"/>
      <c r="AL168" s="107">
        <f t="shared" ca="1" si="87"/>
        <v>0</v>
      </c>
      <c r="AM168" s="49">
        <f t="shared" ca="1" si="88"/>
        <v>48395</v>
      </c>
      <c r="AN168" s="137" t="str">
        <f t="shared" ca="1" si="74"/>
        <v xml:space="preserve"> </v>
      </c>
      <c r="AO168" s="107">
        <f t="shared" ca="1" si="75"/>
        <v>0</v>
      </c>
      <c r="AP168" s="143">
        <f t="shared" ca="1" si="67"/>
        <v>0</v>
      </c>
      <c r="AQ168" s="143">
        <f t="shared" ca="1" si="76"/>
        <v>0</v>
      </c>
      <c r="AR168" s="49" t="str">
        <f t="shared" ca="1" si="68"/>
        <v xml:space="preserve"> </v>
      </c>
      <c r="AS168" s="107">
        <f t="shared" ca="1" si="69"/>
        <v>0</v>
      </c>
      <c r="AT168" s="107">
        <f t="shared" ca="1" si="70"/>
        <v>0</v>
      </c>
      <c r="AU168" s="107"/>
      <c r="AV168" s="107">
        <f ca="1">MAX(SUM($AQ$6:AQ168)-SUM($AT$6:AT168),0)</f>
        <v>0</v>
      </c>
      <c r="AW168" s="107">
        <f t="shared" ca="1" si="89"/>
        <v>0</v>
      </c>
      <c r="AX168" s="107">
        <v>0</v>
      </c>
      <c r="AY168" s="138" t="str">
        <f t="shared" ca="1" si="71"/>
        <v xml:space="preserve"> </v>
      </c>
      <c r="AZ168" s="107">
        <f t="shared" ca="1" si="72"/>
        <v>0</v>
      </c>
      <c r="BA168" s="107">
        <f ca="1">IF(AZ168=1,(SUM($AW$6:AW168,$AX$6:AX168)-SUM($BA$6:BA167)),0)</f>
        <v>0</v>
      </c>
      <c r="BB168" s="107"/>
      <c r="BC168" s="107">
        <f ca="1">AV168+SUM($AW$6:AW168)+SUM($AX$6:AX168)-SUM($BA$6:BA168)</f>
        <v>0</v>
      </c>
      <c r="BD168" s="107">
        <f t="shared" ca="1" si="77"/>
        <v>0</v>
      </c>
      <c r="BE168" s="51">
        <f ca="1">'PiT PD Structure'!J208</f>
        <v>7.8947729796441379E-5</v>
      </c>
      <c r="BF168" s="139">
        <f t="shared" ca="1" si="90"/>
        <v>0.45</v>
      </c>
      <c r="BG168" s="51">
        <f t="shared" ca="1" si="78"/>
        <v>1</v>
      </c>
      <c r="BH168" s="50">
        <f t="shared" ca="1" si="73"/>
        <v>0</v>
      </c>
      <c r="BI168" s="50">
        <f t="shared" ca="1" si="94"/>
        <v>3.4816594052244909E-13</v>
      </c>
      <c r="BJ168" s="140">
        <v>0</v>
      </c>
      <c r="BK168" s="140">
        <v>0</v>
      </c>
      <c r="BM168" s="78"/>
      <c r="BR168" s="75">
        <f t="shared" ca="1" si="65"/>
        <v>48395</v>
      </c>
      <c r="BS168" s="74">
        <f t="shared" ca="1" si="79"/>
        <v>6</v>
      </c>
      <c r="BT168" s="74">
        <f t="shared" ca="1" si="80"/>
        <v>0</v>
      </c>
      <c r="BU168" s="73" t="str">
        <f t="shared" ca="1" si="81"/>
        <v xml:space="preserve"> </v>
      </c>
      <c r="BW168" s="75">
        <f t="shared" ca="1" si="91"/>
        <v>48395</v>
      </c>
      <c r="BX168" s="74">
        <f t="shared" ca="1" si="92"/>
        <v>6</v>
      </c>
      <c r="BY168" s="74">
        <f t="shared" ca="1" si="82"/>
        <v>0</v>
      </c>
      <c r="BZ168" s="73" t="str">
        <f t="shared" ca="1" si="83"/>
        <v xml:space="preserve"> </v>
      </c>
      <c r="CB168" s="75">
        <f t="shared" ca="1" si="93"/>
        <v>48395</v>
      </c>
      <c r="CC168" s="74">
        <f t="shared" ca="1" si="84"/>
        <v>6</v>
      </c>
      <c r="CD168" s="74">
        <f t="shared" ca="1" si="85"/>
        <v>0</v>
      </c>
      <c r="CE168" s="73" t="str">
        <f t="shared" ca="1" si="86"/>
        <v xml:space="preserve"> </v>
      </c>
    </row>
    <row r="169" spans="1:83" x14ac:dyDescent="0.2">
      <c r="A169" s="38" t="str">
        <f t="shared" si="96"/>
        <v xml:space="preserve"> </v>
      </c>
      <c r="B169" s="108"/>
      <c r="C169" s="38"/>
      <c r="D169" s="137"/>
      <c r="E169" s="137"/>
      <c r="F169" s="137"/>
      <c r="G169" s="122"/>
      <c r="H169" s="137"/>
      <c r="I169" s="50"/>
      <c r="J169" s="50"/>
      <c r="K169" s="50"/>
      <c r="L169" s="38"/>
      <c r="M169" s="38"/>
      <c r="N169" s="38"/>
      <c r="O169" s="50"/>
      <c r="P169" s="218"/>
      <c r="Q169" s="50"/>
      <c r="R169" s="50"/>
      <c r="S169" s="38"/>
      <c r="T169" s="51"/>
      <c r="U169" s="65"/>
      <c r="V169" s="105"/>
      <c r="W169" s="66"/>
      <c r="X169" s="66"/>
      <c r="Y169" s="38"/>
      <c r="Z169" s="66">
        <f t="shared" si="66"/>
        <v>0</v>
      </c>
      <c r="AA169" s="67"/>
      <c r="AC169" s="41" t="e">
        <f>VLOOKUP(A169,'Input Sheet'!$A$2:$B$232,2,0)</f>
        <v>#N/A</v>
      </c>
      <c r="AD169" s="70"/>
      <c r="AI169" s="68"/>
      <c r="AL169" s="107">
        <f t="shared" ca="1" si="87"/>
        <v>0</v>
      </c>
      <c r="AM169" s="49">
        <f t="shared" ca="1" si="88"/>
        <v>48426</v>
      </c>
      <c r="AN169" s="137" t="str">
        <f t="shared" ca="1" si="74"/>
        <v xml:space="preserve"> </v>
      </c>
      <c r="AO169" s="107">
        <f t="shared" ca="1" si="75"/>
        <v>0</v>
      </c>
      <c r="AP169" s="143">
        <f t="shared" ca="1" si="67"/>
        <v>0</v>
      </c>
      <c r="AQ169" s="143">
        <f t="shared" ca="1" si="76"/>
        <v>0</v>
      </c>
      <c r="AR169" s="49" t="str">
        <f t="shared" ca="1" si="68"/>
        <v xml:space="preserve"> </v>
      </c>
      <c r="AS169" s="107">
        <f t="shared" ca="1" si="69"/>
        <v>0</v>
      </c>
      <c r="AT169" s="107">
        <f t="shared" ca="1" si="70"/>
        <v>0</v>
      </c>
      <c r="AU169" s="107"/>
      <c r="AV169" s="107">
        <f ca="1">MAX(SUM($AQ$6:AQ169)-SUM($AT$6:AT169),0)</f>
        <v>0</v>
      </c>
      <c r="AW169" s="107">
        <f t="shared" ca="1" si="89"/>
        <v>0</v>
      </c>
      <c r="AX169" s="107">
        <v>0</v>
      </c>
      <c r="AY169" s="138" t="str">
        <f t="shared" ca="1" si="71"/>
        <v xml:space="preserve"> </v>
      </c>
      <c r="AZ169" s="107">
        <f t="shared" ca="1" si="72"/>
        <v>0</v>
      </c>
      <c r="BA169" s="107">
        <f ca="1">IF(AZ169=1,(SUM($AW$6:AW169,$AX$6:AX169)-SUM($BA$6:BA168)),0)</f>
        <v>0</v>
      </c>
      <c r="BB169" s="107"/>
      <c r="BC169" s="107">
        <f ca="1">AV169+SUM($AW$6:AW169)+SUM($AX$6:AX169)-SUM($BA$6:BA169)</f>
        <v>0</v>
      </c>
      <c r="BD169" s="107">
        <f t="shared" ca="1" si="77"/>
        <v>0</v>
      </c>
      <c r="BE169" s="51">
        <f ca="1">'PiT PD Structure'!J209</f>
        <v>7.8941372802954213E-5</v>
      </c>
      <c r="BF169" s="139">
        <f t="shared" ca="1" si="90"/>
        <v>0.45</v>
      </c>
      <c r="BG169" s="51">
        <f t="shared" ca="1" si="78"/>
        <v>1</v>
      </c>
      <c r="BH169" s="50">
        <f t="shared" ca="1" si="73"/>
        <v>0</v>
      </c>
      <c r="BI169" s="50">
        <f t="shared" ca="1" si="94"/>
        <v>3.4816594052244909E-13</v>
      </c>
      <c r="BJ169" s="140">
        <v>0</v>
      </c>
      <c r="BK169" s="140">
        <v>0</v>
      </c>
      <c r="BM169" s="78"/>
      <c r="BR169" s="75">
        <f t="shared" ca="1" si="65"/>
        <v>48426</v>
      </c>
      <c r="BS169" s="74">
        <f t="shared" ca="1" si="79"/>
        <v>7</v>
      </c>
      <c r="BT169" s="74">
        <f t="shared" ca="1" si="80"/>
        <v>0</v>
      </c>
      <c r="BU169" s="73" t="str">
        <f t="shared" ca="1" si="81"/>
        <v xml:space="preserve"> </v>
      </c>
      <c r="BW169" s="75">
        <f t="shared" ca="1" si="91"/>
        <v>48426</v>
      </c>
      <c r="BX169" s="74">
        <f t="shared" ca="1" si="92"/>
        <v>7</v>
      </c>
      <c r="BY169" s="74">
        <f t="shared" ca="1" si="82"/>
        <v>0</v>
      </c>
      <c r="BZ169" s="73" t="str">
        <f t="shared" ca="1" si="83"/>
        <v xml:space="preserve"> </v>
      </c>
      <c r="CB169" s="75">
        <f t="shared" ca="1" si="93"/>
        <v>48426</v>
      </c>
      <c r="CC169" s="74">
        <f t="shared" ca="1" si="84"/>
        <v>7</v>
      </c>
      <c r="CD169" s="74">
        <f t="shared" ca="1" si="85"/>
        <v>0</v>
      </c>
      <c r="CE169" s="73" t="str">
        <f t="shared" ca="1" si="86"/>
        <v xml:space="preserve"> </v>
      </c>
    </row>
    <row r="170" spans="1:83" x14ac:dyDescent="0.2">
      <c r="A170" s="38" t="str">
        <f t="shared" si="96"/>
        <v xml:space="preserve"> </v>
      </c>
      <c r="B170" s="108"/>
      <c r="C170" s="38"/>
      <c r="D170" s="137"/>
      <c r="E170" s="137"/>
      <c r="F170" s="137"/>
      <c r="G170" s="122"/>
      <c r="H170" s="137"/>
      <c r="I170" s="50"/>
      <c r="J170" s="50"/>
      <c r="K170" s="50"/>
      <c r="L170" s="38"/>
      <c r="M170" s="38"/>
      <c r="N170" s="38"/>
      <c r="O170" s="50"/>
      <c r="P170" s="218"/>
      <c r="Q170" s="50"/>
      <c r="R170" s="50"/>
      <c r="S170" s="38"/>
      <c r="T170" s="51"/>
      <c r="U170" s="65"/>
      <c r="V170" s="105"/>
      <c r="W170" s="66"/>
      <c r="X170" s="66"/>
      <c r="Y170" s="38"/>
      <c r="Z170" s="66">
        <f t="shared" si="66"/>
        <v>0</v>
      </c>
      <c r="AA170" s="67"/>
      <c r="AC170" s="41" t="e">
        <f>VLOOKUP(A170,'Input Sheet'!$A$2:$B$232,2,0)</f>
        <v>#N/A</v>
      </c>
      <c r="AD170" s="70"/>
      <c r="AI170" s="68"/>
      <c r="AL170" s="107">
        <f t="shared" ca="1" si="87"/>
        <v>0</v>
      </c>
      <c r="AM170" s="49">
        <f t="shared" ca="1" si="88"/>
        <v>48457</v>
      </c>
      <c r="AN170" s="137" t="str">
        <f t="shared" ca="1" si="74"/>
        <v xml:space="preserve"> </v>
      </c>
      <c r="AO170" s="107">
        <f t="shared" ca="1" si="75"/>
        <v>0</v>
      </c>
      <c r="AP170" s="143">
        <f t="shared" ca="1" si="67"/>
        <v>0</v>
      </c>
      <c r="AQ170" s="143">
        <f t="shared" ca="1" si="76"/>
        <v>0</v>
      </c>
      <c r="AR170" s="49" t="str">
        <f t="shared" ca="1" si="68"/>
        <v xml:space="preserve"> </v>
      </c>
      <c r="AS170" s="107">
        <f t="shared" ca="1" si="69"/>
        <v>0</v>
      </c>
      <c r="AT170" s="107">
        <f t="shared" ca="1" si="70"/>
        <v>0</v>
      </c>
      <c r="AU170" s="107"/>
      <c r="AV170" s="107">
        <f ca="1">MAX(SUM($AQ$6:AQ170)-SUM($AT$6:AT170),0)</f>
        <v>0</v>
      </c>
      <c r="AW170" s="107">
        <f t="shared" ca="1" si="89"/>
        <v>0</v>
      </c>
      <c r="AX170" s="107">
        <v>0</v>
      </c>
      <c r="AY170" s="138" t="str">
        <f t="shared" ca="1" si="71"/>
        <v xml:space="preserve"> </v>
      </c>
      <c r="AZ170" s="107">
        <f t="shared" ca="1" si="72"/>
        <v>0</v>
      </c>
      <c r="BA170" s="107">
        <f ca="1">IF(AZ170=1,(SUM($AW$6:AW170,$AX$6:AX170)-SUM($BA$6:BA169)),0)</f>
        <v>0</v>
      </c>
      <c r="BB170" s="107"/>
      <c r="BC170" s="107">
        <f ca="1">AV170+SUM($AW$6:AW170)+SUM($AX$6:AX170)-SUM($BA$6:BA170)</f>
        <v>0</v>
      </c>
      <c r="BD170" s="107">
        <f t="shared" ca="1" si="77"/>
        <v>0</v>
      </c>
      <c r="BE170" s="51">
        <f ca="1">'PiT PD Structure'!J210</f>
        <v>7.8935016321390883E-5</v>
      </c>
      <c r="BF170" s="139">
        <f t="shared" ca="1" si="90"/>
        <v>0.45</v>
      </c>
      <c r="BG170" s="51">
        <f t="shared" ca="1" si="78"/>
        <v>1</v>
      </c>
      <c r="BH170" s="50">
        <f t="shared" ca="1" si="73"/>
        <v>0</v>
      </c>
      <c r="BI170" s="50">
        <f t="shared" ca="1" si="94"/>
        <v>3.4816594052244909E-13</v>
      </c>
      <c r="BJ170" s="140">
        <v>0</v>
      </c>
      <c r="BK170" s="140">
        <v>0</v>
      </c>
      <c r="BM170" s="78"/>
      <c r="BR170" s="75">
        <f t="shared" ca="1" si="65"/>
        <v>48457</v>
      </c>
      <c r="BS170" s="74">
        <f t="shared" ca="1" si="79"/>
        <v>8</v>
      </c>
      <c r="BT170" s="74">
        <f t="shared" ca="1" si="80"/>
        <v>0</v>
      </c>
      <c r="BU170" s="73" t="str">
        <f t="shared" ca="1" si="81"/>
        <v xml:space="preserve"> </v>
      </c>
      <c r="BW170" s="75">
        <f t="shared" ca="1" si="91"/>
        <v>48457</v>
      </c>
      <c r="BX170" s="74">
        <f t="shared" ca="1" si="92"/>
        <v>8</v>
      </c>
      <c r="BY170" s="74">
        <f t="shared" ca="1" si="82"/>
        <v>0</v>
      </c>
      <c r="BZ170" s="73" t="str">
        <f t="shared" ca="1" si="83"/>
        <v xml:space="preserve"> </v>
      </c>
      <c r="CB170" s="75">
        <f t="shared" ca="1" si="93"/>
        <v>48457</v>
      </c>
      <c r="CC170" s="74">
        <f t="shared" ca="1" si="84"/>
        <v>8</v>
      </c>
      <c r="CD170" s="74">
        <f t="shared" ca="1" si="85"/>
        <v>0</v>
      </c>
      <c r="CE170" s="73" t="str">
        <f t="shared" ca="1" si="86"/>
        <v xml:space="preserve"> </v>
      </c>
    </row>
    <row r="171" spans="1:83" x14ac:dyDescent="0.2">
      <c r="A171" s="38" t="str">
        <f t="shared" si="96"/>
        <v xml:space="preserve"> </v>
      </c>
      <c r="B171" s="108"/>
      <c r="C171" s="38"/>
      <c r="D171" s="137"/>
      <c r="E171" s="137"/>
      <c r="F171" s="137"/>
      <c r="G171" s="122"/>
      <c r="H171" s="137"/>
      <c r="I171" s="50"/>
      <c r="J171" s="50"/>
      <c r="K171" s="50"/>
      <c r="L171" s="38"/>
      <c r="M171" s="38"/>
      <c r="N171" s="38"/>
      <c r="O171" s="50"/>
      <c r="P171" s="218"/>
      <c r="Q171" s="50"/>
      <c r="R171" s="50"/>
      <c r="S171" s="38"/>
      <c r="T171" s="51"/>
      <c r="U171" s="65"/>
      <c r="V171" s="105"/>
      <c r="W171" s="66"/>
      <c r="X171" s="66"/>
      <c r="Y171" s="38"/>
      <c r="Z171" s="66">
        <f t="shared" si="66"/>
        <v>0</v>
      </c>
      <c r="AA171" s="67"/>
      <c r="AC171" s="41" t="e">
        <f>VLOOKUP(A171,'Input Sheet'!$A$2:$B$232,2,0)</f>
        <v>#N/A</v>
      </c>
      <c r="AD171" s="70"/>
      <c r="AI171" s="68"/>
      <c r="AL171" s="107">
        <f t="shared" ca="1" si="87"/>
        <v>0</v>
      </c>
      <c r="AM171" s="49">
        <f t="shared" ca="1" si="88"/>
        <v>48487</v>
      </c>
      <c r="AN171" s="137" t="str">
        <f t="shared" ca="1" si="74"/>
        <v xml:space="preserve"> </v>
      </c>
      <c r="AO171" s="107">
        <f t="shared" ca="1" si="75"/>
        <v>0</v>
      </c>
      <c r="AP171" s="143">
        <f t="shared" ca="1" si="67"/>
        <v>0</v>
      </c>
      <c r="AQ171" s="143">
        <f t="shared" ca="1" si="76"/>
        <v>0</v>
      </c>
      <c r="AR171" s="49" t="str">
        <f t="shared" ca="1" si="68"/>
        <v xml:space="preserve"> </v>
      </c>
      <c r="AS171" s="107">
        <f t="shared" ca="1" si="69"/>
        <v>0</v>
      </c>
      <c r="AT171" s="107">
        <f t="shared" ca="1" si="70"/>
        <v>0</v>
      </c>
      <c r="AU171" s="107"/>
      <c r="AV171" s="107">
        <f ca="1">MAX(SUM($AQ$6:AQ171)-SUM($AT$6:AT171),0)</f>
        <v>0</v>
      </c>
      <c r="AW171" s="107">
        <f t="shared" ca="1" si="89"/>
        <v>0</v>
      </c>
      <c r="AX171" s="107">
        <v>0</v>
      </c>
      <c r="AY171" s="138" t="str">
        <f t="shared" ca="1" si="71"/>
        <v xml:space="preserve"> </v>
      </c>
      <c r="AZ171" s="107">
        <f t="shared" ca="1" si="72"/>
        <v>0</v>
      </c>
      <c r="BA171" s="107">
        <f ca="1">IF(AZ171=1,(SUM($AW$6:AW171,$AX$6:AX171)-SUM($BA$6:BA170)),0)</f>
        <v>0</v>
      </c>
      <c r="BB171" s="107"/>
      <c r="BC171" s="107">
        <f ca="1">AV171+SUM($AW$6:AW171)+SUM($AX$6:AX171)-SUM($BA$6:BA171)</f>
        <v>0</v>
      </c>
      <c r="BD171" s="107">
        <f t="shared" ca="1" si="77"/>
        <v>0</v>
      </c>
      <c r="BE171" s="51">
        <f ca="1">'PiT PD Structure'!J211</f>
        <v>7.8928660351862412E-5</v>
      </c>
      <c r="BF171" s="139">
        <f t="shared" ca="1" si="90"/>
        <v>0.45</v>
      </c>
      <c r="BG171" s="51">
        <f t="shared" ca="1" si="78"/>
        <v>1</v>
      </c>
      <c r="BH171" s="50">
        <f t="shared" ca="1" si="73"/>
        <v>0</v>
      </c>
      <c r="BI171" s="50">
        <f t="shared" ca="1" si="94"/>
        <v>3.4816594052244909E-13</v>
      </c>
      <c r="BJ171" s="140">
        <v>0</v>
      </c>
      <c r="BK171" s="140">
        <v>0</v>
      </c>
      <c r="BM171" s="78"/>
      <c r="BR171" s="75">
        <f t="shared" ca="1" si="65"/>
        <v>48487</v>
      </c>
      <c r="BS171" s="74">
        <f t="shared" ca="1" si="79"/>
        <v>9</v>
      </c>
      <c r="BT171" s="74">
        <f t="shared" ca="1" si="80"/>
        <v>0</v>
      </c>
      <c r="BU171" s="73" t="str">
        <f t="shared" ca="1" si="81"/>
        <v xml:space="preserve"> </v>
      </c>
      <c r="BW171" s="75">
        <f t="shared" ca="1" si="91"/>
        <v>48487</v>
      </c>
      <c r="BX171" s="74">
        <f t="shared" ca="1" si="92"/>
        <v>9</v>
      </c>
      <c r="BY171" s="74">
        <f t="shared" ca="1" si="82"/>
        <v>0</v>
      </c>
      <c r="BZ171" s="73" t="str">
        <f t="shared" ca="1" si="83"/>
        <v xml:space="preserve"> </v>
      </c>
      <c r="CB171" s="75">
        <f t="shared" ca="1" si="93"/>
        <v>48487</v>
      </c>
      <c r="CC171" s="74">
        <f t="shared" ca="1" si="84"/>
        <v>9</v>
      </c>
      <c r="CD171" s="74">
        <f t="shared" ca="1" si="85"/>
        <v>0</v>
      </c>
      <c r="CE171" s="73" t="str">
        <f t="shared" ca="1" si="86"/>
        <v xml:space="preserve"> </v>
      </c>
    </row>
    <row r="172" spans="1:83" x14ac:dyDescent="0.2">
      <c r="A172" s="38" t="str">
        <f t="shared" si="96"/>
        <v xml:space="preserve"> </v>
      </c>
      <c r="B172" s="108"/>
      <c r="C172" s="38"/>
      <c r="D172" s="137"/>
      <c r="E172" s="137"/>
      <c r="F172" s="137"/>
      <c r="G172" s="122"/>
      <c r="H172" s="137"/>
      <c r="I172" s="50"/>
      <c r="J172" s="50"/>
      <c r="K172" s="50"/>
      <c r="L172" s="38"/>
      <c r="M172" s="38"/>
      <c r="N172" s="38"/>
      <c r="O172" s="50"/>
      <c r="P172" s="218"/>
      <c r="Q172" s="50"/>
      <c r="R172" s="50"/>
      <c r="S172" s="38"/>
      <c r="T172" s="51"/>
      <c r="U172" s="65"/>
      <c r="V172" s="105"/>
      <c r="W172" s="66"/>
      <c r="X172" s="66"/>
      <c r="Y172" s="38"/>
      <c r="Z172" s="66">
        <f t="shared" si="66"/>
        <v>0</v>
      </c>
      <c r="AA172" s="67"/>
      <c r="AC172" s="41" t="e">
        <f>VLOOKUP(A172,'Input Sheet'!$A$2:$B$232,2,0)</f>
        <v>#N/A</v>
      </c>
      <c r="AD172" s="70"/>
      <c r="AI172" s="68"/>
      <c r="AL172" s="107">
        <f t="shared" ca="1" si="87"/>
        <v>0</v>
      </c>
      <c r="AM172" s="49">
        <f t="shared" ca="1" si="88"/>
        <v>48518</v>
      </c>
      <c r="AN172" s="137" t="str">
        <f t="shared" ca="1" si="74"/>
        <v xml:space="preserve"> </v>
      </c>
      <c r="AO172" s="107">
        <f t="shared" ca="1" si="75"/>
        <v>0</v>
      </c>
      <c r="AP172" s="143">
        <f t="shared" ca="1" si="67"/>
        <v>0</v>
      </c>
      <c r="AQ172" s="143">
        <f t="shared" ca="1" si="76"/>
        <v>0</v>
      </c>
      <c r="AR172" s="49" t="str">
        <f t="shared" ca="1" si="68"/>
        <v xml:space="preserve"> </v>
      </c>
      <c r="AS172" s="107">
        <f t="shared" ca="1" si="69"/>
        <v>0</v>
      </c>
      <c r="AT172" s="107">
        <f t="shared" ca="1" si="70"/>
        <v>0</v>
      </c>
      <c r="AU172" s="107"/>
      <c r="AV172" s="107">
        <f ca="1">MAX(SUM($AQ$6:AQ172)-SUM($AT$6:AT172),0)</f>
        <v>0</v>
      </c>
      <c r="AW172" s="107">
        <f t="shared" ca="1" si="89"/>
        <v>0</v>
      </c>
      <c r="AX172" s="107">
        <v>0</v>
      </c>
      <c r="AY172" s="138" t="str">
        <f t="shared" ca="1" si="71"/>
        <v xml:space="preserve"> </v>
      </c>
      <c r="AZ172" s="107">
        <f t="shared" ca="1" si="72"/>
        <v>0</v>
      </c>
      <c r="BA172" s="107">
        <f ca="1">IF(AZ172=1,(SUM($AW$6:AW172,$AX$6:AX172)-SUM($BA$6:BA171)),0)</f>
        <v>0</v>
      </c>
      <c r="BB172" s="107"/>
      <c r="BC172" s="107">
        <f ca="1">AV172+SUM($AW$6:AW172)+SUM($AX$6:AX172)-SUM($BA$6:BA172)</f>
        <v>0</v>
      </c>
      <c r="BD172" s="107">
        <f t="shared" ca="1" si="77"/>
        <v>0</v>
      </c>
      <c r="BE172" s="51">
        <f ca="1">'PiT PD Structure'!J212</f>
        <v>7.8922304893813688E-5</v>
      </c>
      <c r="BF172" s="139">
        <f t="shared" ca="1" si="90"/>
        <v>0.45</v>
      </c>
      <c r="BG172" s="51">
        <f t="shared" ca="1" si="78"/>
        <v>1</v>
      </c>
      <c r="BH172" s="50">
        <f t="shared" ca="1" si="73"/>
        <v>0</v>
      </c>
      <c r="BI172" s="50">
        <f t="shared" ca="1" si="94"/>
        <v>3.4816594052244909E-13</v>
      </c>
      <c r="BJ172" s="140">
        <v>0</v>
      </c>
      <c r="BK172" s="140">
        <v>0</v>
      </c>
      <c r="BM172" s="78"/>
      <c r="BR172" s="75">
        <f t="shared" ca="1" si="65"/>
        <v>48518</v>
      </c>
      <c r="BS172" s="74">
        <f t="shared" ca="1" si="79"/>
        <v>10</v>
      </c>
      <c r="BT172" s="74">
        <f t="shared" ca="1" si="80"/>
        <v>0</v>
      </c>
      <c r="BU172" s="73" t="str">
        <f t="shared" ca="1" si="81"/>
        <v xml:space="preserve"> </v>
      </c>
      <c r="BW172" s="75">
        <f t="shared" ca="1" si="91"/>
        <v>48518</v>
      </c>
      <c r="BX172" s="74">
        <f t="shared" ca="1" si="92"/>
        <v>10</v>
      </c>
      <c r="BY172" s="74">
        <f t="shared" ca="1" si="82"/>
        <v>0</v>
      </c>
      <c r="BZ172" s="73" t="str">
        <f t="shared" ca="1" si="83"/>
        <v xml:space="preserve"> </v>
      </c>
      <c r="CB172" s="75">
        <f t="shared" ca="1" si="93"/>
        <v>48518</v>
      </c>
      <c r="CC172" s="74">
        <f t="shared" ca="1" si="84"/>
        <v>10</v>
      </c>
      <c r="CD172" s="74">
        <f t="shared" ca="1" si="85"/>
        <v>0</v>
      </c>
      <c r="CE172" s="73" t="str">
        <f t="shared" ca="1" si="86"/>
        <v xml:space="preserve"> </v>
      </c>
    </row>
    <row r="173" spans="1:83" x14ac:dyDescent="0.2">
      <c r="A173" s="38" t="str">
        <f t="shared" si="96"/>
        <v xml:space="preserve"> </v>
      </c>
      <c r="B173" s="108"/>
      <c r="C173" s="38"/>
      <c r="D173" s="137"/>
      <c r="E173" s="137"/>
      <c r="F173" s="137"/>
      <c r="G173" s="122"/>
      <c r="H173" s="137"/>
      <c r="I173" s="50"/>
      <c r="J173" s="50"/>
      <c r="K173" s="50"/>
      <c r="L173" s="38"/>
      <c r="M173" s="38"/>
      <c r="N173" s="38"/>
      <c r="O173" s="50"/>
      <c r="P173" s="218"/>
      <c r="Q173" s="50"/>
      <c r="R173" s="50"/>
      <c r="S173" s="38"/>
      <c r="T173" s="51"/>
      <c r="U173" s="65"/>
      <c r="V173" s="105"/>
      <c r="W173" s="66"/>
      <c r="X173" s="66"/>
      <c r="Y173" s="38"/>
      <c r="Z173" s="66">
        <f t="shared" si="66"/>
        <v>0</v>
      </c>
      <c r="AA173" s="67"/>
      <c r="AC173" s="41" t="e">
        <f>VLOOKUP(A173,'Input Sheet'!$A$2:$B$232,2,0)</f>
        <v>#N/A</v>
      </c>
      <c r="AD173" s="70"/>
      <c r="AI173" s="68"/>
      <c r="AL173" s="107">
        <f t="shared" ca="1" si="87"/>
        <v>0</v>
      </c>
      <c r="AM173" s="49">
        <f t="shared" ca="1" si="88"/>
        <v>48548</v>
      </c>
      <c r="AN173" s="137" t="str">
        <f t="shared" ca="1" si="74"/>
        <v xml:space="preserve"> </v>
      </c>
      <c r="AO173" s="107">
        <f t="shared" ca="1" si="75"/>
        <v>0</v>
      </c>
      <c r="AP173" s="143">
        <f t="shared" ca="1" si="67"/>
        <v>0</v>
      </c>
      <c r="AQ173" s="143">
        <f t="shared" ca="1" si="76"/>
        <v>0</v>
      </c>
      <c r="AR173" s="49" t="str">
        <f t="shared" ca="1" si="68"/>
        <v xml:space="preserve"> </v>
      </c>
      <c r="AS173" s="107">
        <f t="shared" ca="1" si="69"/>
        <v>0</v>
      </c>
      <c r="AT173" s="107">
        <f t="shared" ca="1" si="70"/>
        <v>0</v>
      </c>
      <c r="AU173" s="107"/>
      <c r="AV173" s="107">
        <f ca="1">MAX(SUM($AQ$6:AQ173)-SUM($AT$6:AT173),0)</f>
        <v>0</v>
      </c>
      <c r="AW173" s="107">
        <f t="shared" ca="1" si="89"/>
        <v>0</v>
      </c>
      <c r="AX173" s="107">
        <v>0</v>
      </c>
      <c r="AY173" s="138" t="str">
        <f t="shared" ca="1" si="71"/>
        <v xml:space="preserve"> </v>
      </c>
      <c r="AZ173" s="107">
        <f t="shared" ca="1" si="72"/>
        <v>0</v>
      </c>
      <c r="BA173" s="107">
        <f ca="1">IF(AZ173=1,(SUM($AW$6:AW173,$AX$6:AX173)-SUM($BA$6:BA172)),0)</f>
        <v>0</v>
      </c>
      <c r="BB173" s="107"/>
      <c r="BC173" s="107">
        <f ca="1">AV173+SUM($AW$6:AW173)+SUM($AX$6:AX173)-SUM($BA$6:BA173)</f>
        <v>0</v>
      </c>
      <c r="BD173" s="107">
        <f t="shared" ca="1" si="77"/>
        <v>0</v>
      </c>
      <c r="BE173" s="51">
        <f ca="1">'PiT PD Structure'!J213</f>
        <v>7.8915949948021868E-5</v>
      </c>
      <c r="BF173" s="139">
        <f t="shared" ca="1" si="90"/>
        <v>0.45</v>
      </c>
      <c r="BG173" s="51">
        <f t="shared" ca="1" si="78"/>
        <v>1</v>
      </c>
      <c r="BH173" s="50">
        <f t="shared" ca="1" si="73"/>
        <v>0</v>
      </c>
      <c r="BI173" s="50">
        <f t="shared" ca="1" si="94"/>
        <v>3.4816594052244909E-13</v>
      </c>
      <c r="BJ173" s="140">
        <v>0</v>
      </c>
      <c r="BK173" s="140">
        <v>0</v>
      </c>
      <c r="BM173" s="78"/>
      <c r="BR173" s="75">
        <f t="shared" ca="1" si="65"/>
        <v>48548</v>
      </c>
      <c r="BS173" s="74">
        <f t="shared" ca="1" si="79"/>
        <v>11</v>
      </c>
      <c r="BT173" s="74">
        <f t="shared" ca="1" si="80"/>
        <v>0</v>
      </c>
      <c r="BU173" s="73" t="str">
        <f t="shared" ca="1" si="81"/>
        <v xml:space="preserve"> </v>
      </c>
      <c r="BW173" s="75">
        <f t="shared" ca="1" si="91"/>
        <v>48548</v>
      </c>
      <c r="BX173" s="74">
        <f t="shared" ca="1" si="92"/>
        <v>11</v>
      </c>
      <c r="BY173" s="74">
        <f t="shared" ca="1" si="82"/>
        <v>0</v>
      </c>
      <c r="BZ173" s="73" t="str">
        <f t="shared" ca="1" si="83"/>
        <v xml:space="preserve"> </v>
      </c>
      <c r="CB173" s="75">
        <f t="shared" ca="1" si="93"/>
        <v>48548</v>
      </c>
      <c r="CC173" s="74">
        <f t="shared" ca="1" si="84"/>
        <v>11</v>
      </c>
      <c r="CD173" s="74">
        <f t="shared" ca="1" si="85"/>
        <v>0</v>
      </c>
      <c r="CE173" s="73" t="str">
        <f t="shared" ca="1" si="86"/>
        <v xml:space="preserve"> </v>
      </c>
    </row>
    <row r="174" spans="1:83" x14ac:dyDescent="0.2">
      <c r="A174" s="38" t="str">
        <f t="shared" si="96"/>
        <v xml:space="preserve"> </v>
      </c>
      <c r="B174" s="108"/>
      <c r="C174" s="38"/>
      <c r="D174" s="137"/>
      <c r="E174" s="137"/>
      <c r="F174" s="137"/>
      <c r="G174" s="122"/>
      <c r="H174" s="137"/>
      <c r="I174" s="50"/>
      <c r="J174" s="50"/>
      <c r="K174" s="50"/>
      <c r="L174" s="38"/>
      <c r="M174" s="38"/>
      <c r="N174" s="38"/>
      <c r="O174" s="50"/>
      <c r="P174" s="218"/>
      <c r="Q174" s="50"/>
      <c r="R174" s="50"/>
      <c r="S174" s="38"/>
      <c r="T174" s="51"/>
      <c r="U174" s="65"/>
      <c r="V174" s="105"/>
      <c r="W174" s="66"/>
      <c r="X174" s="66"/>
      <c r="Y174" s="38"/>
      <c r="Z174" s="66">
        <f t="shared" si="66"/>
        <v>0</v>
      </c>
      <c r="AA174" s="67"/>
      <c r="AC174" s="41" t="e">
        <f>VLOOKUP(A174,'Input Sheet'!$A$2:$B$232,2,0)</f>
        <v>#N/A</v>
      </c>
      <c r="AD174" s="70"/>
      <c r="AI174" s="68"/>
      <c r="AL174" s="107">
        <f t="shared" ca="1" si="87"/>
        <v>0</v>
      </c>
      <c r="AM174" s="49">
        <f t="shared" ca="1" si="88"/>
        <v>48579</v>
      </c>
      <c r="AN174" s="137" t="str">
        <f t="shared" ca="1" si="74"/>
        <v xml:space="preserve"> </v>
      </c>
      <c r="AO174" s="107">
        <f t="shared" ca="1" si="75"/>
        <v>0</v>
      </c>
      <c r="AP174" s="143">
        <f t="shared" ca="1" si="67"/>
        <v>0</v>
      </c>
      <c r="AQ174" s="143">
        <f t="shared" ca="1" si="76"/>
        <v>0</v>
      </c>
      <c r="AR174" s="49" t="str">
        <f t="shared" ca="1" si="68"/>
        <v xml:space="preserve"> </v>
      </c>
      <c r="AS174" s="107">
        <f t="shared" ca="1" si="69"/>
        <v>0</v>
      </c>
      <c r="AT174" s="107">
        <f t="shared" ca="1" si="70"/>
        <v>0</v>
      </c>
      <c r="AU174" s="107"/>
      <c r="AV174" s="107">
        <f ca="1">MAX(SUM($AQ$6:AQ174)-SUM($AT$6:AT174),0)</f>
        <v>0</v>
      </c>
      <c r="AW174" s="107">
        <f t="shared" ca="1" si="89"/>
        <v>0</v>
      </c>
      <c r="AX174" s="107">
        <v>0</v>
      </c>
      <c r="AY174" s="138" t="str">
        <f t="shared" ca="1" si="71"/>
        <v xml:space="preserve"> </v>
      </c>
      <c r="AZ174" s="107">
        <f t="shared" ca="1" si="72"/>
        <v>0</v>
      </c>
      <c r="BA174" s="107">
        <f ca="1">IF(AZ174=1,(SUM($AW$6:AW174,$AX$6:AX174)-SUM($BA$6:BA173)),0)</f>
        <v>0</v>
      </c>
      <c r="BB174" s="107"/>
      <c r="BC174" s="107">
        <f ca="1">AV174+SUM($AW$6:AW174)+SUM($AX$6:AX174)-SUM($BA$6:BA174)</f>
        <v>0</v>
      </c>
      <c r="BD174" s="107">
        <f t="shared" ca="1" si="77"/>
        <v>0</v>
      </c>
      <c r="BE174" s="51">
        <f ca="1">'PiT PD Structure'!J214</f>
        <v>1.9703070282887092E-3</v>
      </c>
      <c r="BF174" s="139">
        <f t="shared" ca="1" si="90"/>
        <v>0.45</v>
      </c>
      <c r="BG174" s="51">
        <f t="shared" ca="1" si="78"/>
        <v>1</v>
      </c>
      <c r="BH174" s="50">
        <f t="shared" ca="1" si="73"/>
        <v>0</v>
      </c>
      <c r="BI174" s="50">
        <f t="shared" ca="1" si="94"/>
        <v>3.4816594052244909E-13</v>
      </c>
      <c r="BJ174" s="140">
        <v>0</v>
      </c>
      <c r="BK174" s="140">
        <v>0</v>
      </c>
      <c r="BM174" s="78"/>
      <c r="BR174" s="75">
        <f t="shared" ca="1" si="65"/>
        <v>48579</v>
      </c>
      <c r="BS174" s="74">
        <f t="shared" ca="1" si="79"/>
        <v>12</v>
      </c>
      <c r="BT174" s="74">
        <f t="shared" ca="1" si="80"/>
        <v>0</v>
      </c>
      <c r="BU174" s="73" t="str">
        <f t="shared" ca="1" si="81"/>
        <v xml:space="preserve"> </v>
      </c>
      <c r="BW174" s="75">
        <f t="shared" ca="1" si="91"/>
        <v>48579</v>
      </c>
      <c r="BX174" s="74">
        <f t="shared" ca="1" si="92"/>
        <v>12</v>
      </c>
      <c r="BY174" s="74">
        <f t="shared" ca="1" si="82"/>
        <v>0</v>
      </c>
      <c r="BZ174" s="73" t="str">
        <f t="shared" ca="1" si="83"/>
        <v xml:space="preserve"> </v>
      </c>
      <c r="CB174" s="75">
        <f t="shared" ca="1" si="93"/>
        <v>48579</v>
      </c>
      <c r="CC174" s="74">
        <f t="shared" ca="1" si="84"/>
        <v>12</v>
      </c>
      <c r="CD174" s="74">
        <f t="shared" ca="1" si="85"/>
        <v>0</v>
      </c>
      <c r="CE174" s="73" t="str">
        <f t="shared" ca="1" si="86"/>
        <v xml:space="preserve"> </v>
      </c>
    </row>
    <row r="175" spans="1:83" x14ac:dyDescent="0.2">
      <c r="A175" s="38" t="str">
        <f t="shared" si="96"/>
        <v xml:space="preserve"> </v>
      </c>
      <c r="B175" s="108"/>
      <c r="C175" s="38"/>
      <c r="D175" s="137"/>
      <c r="E175" s="137"/>
      <c r="F175" s="137"/>
      <c r="G175" s="122"/>
      <c r="H175" s="137"/>
      <c r="I175" s="50"/>
      <c r="J175" s="50"/>
      <c r="K175" s="50"/>
      <c r="L175" s="38"/>
      <c r="M175" s="38"/>
      <c r="N175" s="38"/>
      <c r="O175" s="50"/>
      <c r="P175" s="218"/>
      <c r="Q175" s="50"/>
      <c r="R175" s="50"/>
      <c r="S175" s="38"/>
      <c r="T175" s="51"/>
      <c r="U175" s="65"/>
      <c r="V175" s="105"/>
      <c r="W175" s="66"/>
      <c r="X175" s="66"/>
      <c r="Y175" s="38"/>
      <c r="Z175" s="66">
        <f t="shared" si="66"/>
        <v>0</v>
      </c>
      <c r="AA175" s="67"/>
      <c r="AC175" s="41" t="e">
        <f>VLOOKUP(A175,'Input Sheet'!$A$2:$B$232,2,0)</f>
        <v>#N/A</v>
      </c>
      <c r="AD175" s="70"/>
      <c r="AI175" s="68"/>
      <c r="AL175" s="107">
        <f t="shared" ca="1" si="87"/>
        <v>0</v>
      </c>
      <c r="AM175" s="49">
        <f t="shared" ca="1" si="88"/>
        <v>48610</v>
      </c>
      <c r="AN175" s="137" t="str">
        <f t="shared" ca="1" si="74"/>
        <v xml:space="preserve"> </v>
      </c>
      <c r="AO175" s="107">
        <f t="shared" ca="1" si="75"/>
        <v>0</v>
      </c>
      <c r="AP175" s="143">
        <f t="shared" ca="1" si="67"/>
        <v>0</v>
      </c>
      <c r="AQ175" s="143">
        <f t="shared" ca="1" si="76"/>
        <v>0</v>
      </c>
      <c r="AR175" s="49" t="str">
        <f t="shared" ca="1" si="68"/>
        <v xml:space="preserve"> </v>
      </c>
      <c r="AS175" s="107">
        <f t="shared" ca="1" si="69"/>
        <v>0</v>
      </c>
      <c r="AT175" s="107">
        <f t="shared" ca="1" si="70"/>
        <v>0</v>
      </c>
      <c r="AU175" s="107"/>
      <c r="AV175" s="107">
        <f ca="1">MAX(SUM($AQ$6:AQ175)-SUM($AT$6:AT175),0)</f>
        <v>0</v>
      </c>
      <c r="AW175" s="107">
        <f t="shared" ca="1" si="89"/>
        <v>0</v>
      </c>
      <c r="AX175" s="107">
        <v>0</v>
      </c>
      <c r="AY175" s="138" t="str">
        <f t="shared" ca="1" si="71"/>
        <v xml:space="preserve"> </v>
      </c>
      <c r="AZ175" s="107">
        <f t="shared" ca="1" si="72"/>
        <v>0</v>
      </c>
      <c r="BA175" s="107">
        <f ca="1">IF(AZ175=1,(SUM($AW$6:AW175,$AX$6:AX175)-SUM($BA$6:BA174)),0)</f>
        <v>0</v>
      </c>
      <c r="BB175" s="107"/>
      <c r="BC175" s="107">
        <f ca="1">AV175+SUM($AW$6:AW175)+SUM($AX$6:AX175)-SUM($BA$6:BA175)</f>
        <v>0</v>
      </c>
      <c r="BD175" s="107">
        <f t="shared" ca="1" si="77"/>
        <v>0</v>
      </c>
      <c r="BE175" s="51">
        <f ca="1">'PiT PD Structure'!J215</f>
        <v>8.476650099065175E-5</v>
      </c>
      <c r="BF175" s="139">
        <f t="shared" ca="1" si="90"/>
        <v>0.45</v>
      </c>
      <c r="BG175" s="51">
        <f t="shared" ca="1" si="78"/>
        <v>1</v>
      </c>
      <c r="BH175" s="50">
        <f t="shared" ca="1" si="73"/>
        <v>0</v>
      </c>
      <c r="BI175" s="50">
        <f t="shared" ca="1" si="94"/>
        <v>3.4816594052244909E-13</v>
      </c>
      <c r="BJ175" s="140">
        <v>0</v>
      </c>
      <c r="BK175" s="140">
        <v>0</v>
      </c>
      <c r="BM175" s="78"/>
      <c r="BR175" s="75">
        <f t="shared" ca="1" si="65"/>
        <v>48610</v>
      </c>
      <c r="BS175" s="74">
        <f t="shared" ca="1" si="79"/>
        <v>1</v>
      </c>
      <c r="BT175" s="74">
        <f t="shared" ca="1" si="80"/>
        <v>0</v>
      </c>
      <c r="BU175" s="73" t="str">
        <f t="shared" ca="1" si="81"/>
        <v xml:space="preserve"> </v>
      </c>
      <c r="BW175" s="75">
        <f t="shared" ca="1" si="91"/>
        <v>48610</v>
      </c>
      <c r="BX175" s="74">
        <f t="shared" ca="1" si="92"/>
        <v>1</v>
      </c>
      <c r="BY175" s="74">
        <f t="shared" ca="1" si="82"/>
        <v>0</v>
      </c>
      <c r="BZ175" s="73" t="str">
        <f t="shared" ca="1" si="83"/>
        <v xml:space="preserve"> </v>
      </c>
      <c r="CB175" s="75">
        <f t="shared" ca="1" si="93"/>
        <v>48610</v>
      </c>
      <c r="CC175" s="74">
        <f t="shared" ca="1" si="84"/>
        <v>1</v>
      </c>
      <c r="CD175" s="74">
        <f t="shared" ca="1" si="85"/>
        <v>0</v>
      </c>
      <c r="CE175" s="73" t="str">
        <f t="shared" ca="1" si="86"/>
        <v xml:space="preserve"> </v>
      </c>
    </row>
    <row r="176" spans="1:83" x14ac:dyDescent="0.2">
      <c r="A176" s="38" t="str">
        <f t="shared" si="96"/>
        <v xml:space="preserve"> </v>
      </c>
      <c r="B176" s="108"/>
      <c r="C176" s="38"/>
      <c r="D176" s="137"/>
      <c r="E176" s="137"/>
      <c r="F176" s="137"/>
      <c r="G176" s="122"/>
      <c r="H176" s="137"/>
      <c r="I176" s="50"/>
      <c r="J176" s="50"/>
      <c r="K176" s="50"/>
      <c r="L176" s="38"/>
      <c r="M176" s="38"/>
      <c r="N176" s="38"/>
      <c r="O176" s="50"/>
      <c r="P176" s="218"/>
      <c r="Q176" s="50"/>
      <c r="R176" s="50"/>
      <c r="S176" s="38"/>
      <c r="T176" s="51"/>
      <c r="U176" s="65"/>
      <c r="V176" s="105"/>
      <c r="W176" s="66"/>
      <c r="X176" s="66"/>
      <c r="Y176" s="38"/>
      <c r="Z176" s="66">
        <f t="shared" si="66"/>
        <v>0</v>
      </c>
      <c r="AA176" s="67"/>
      <c r="AC176" s="41" t="e">
        <f>VLOOKUP(A176,'Input Sheet'!$A$2:$B$232,2,0)</f>
        <v>#N/A</v>
      </c>
      <c r="AD176" s="70"/>
      <c r="AI176" s="68"/>
      <c r="AL176" s="107">
        <f t="shared" ca="1" si="87"/>
        <v>0</v>
      </c>
      <c r="AM176" s="49">
        <f t="shared" ca="1" si="88"/>
        <v>48638</v>
      </c>
      <c r="AN176" s="137" t="str">
        <f t="shared" ca="1" si="74"/>
        <v xml:space="preserve"> </v>
      </c>
      <c r="AO176" s="107">
        <f t="shared" ca="1" si="75"/>
        <v>0</v>
      </c>
      <c r="AP176" s="143">
        <f t="shared" ca="1" si="67"/>
        <v>0</v>
      </c>
      <c r="AQ176" s="143">
        <f t="shared" ca="1" si="76"/>
        <v>0</v>
      </c>
      <c r="AR176" s="49" t="str">
        <f t="shared" ca="1" si="68"/>
        <v xml:space="preserve"> </v>
      </c>
      <c r="AS176" s="107">
        <f t="shared" ca="1" si="69"/>
        <v>0</v>
      </c>
      <c r="AT176" s="107">
        <f t="shared" ca="1" si="70"/>
        <v>0</v>
      </c>
      <c r="AU176" s="107"/>
      <c r="AV176" s="107">
        <f ca="1">MAX(SUM($AQ$6:AQ176)-SUM($AT$6:AT176),0)</f>
        <v>0</v>
      </c>
      <c r="AW176" s="107">
        <f t="shared" ca="1" si="89"/>
        <v>0</v>
      </c>
      <c r="AX176" s="107">
        <v>0</v>
      </c>
      <c r="AY176" s="138" t="str">
        <f t="shared" ca="1" si="71"/>
        <v xml:space="preserve"> </v>
      </c>
      <c r="AZ176" s="107">
        <f t="shared" ca="1" si="72"/>
        <v>0</v>
      </c>
      <c r="BA176" s="107">
        <f ca="1">IF(AZ176=1,(SUM($AW$6:AW176,$AX$6:AX176)-SUM($BA$6:BA175)),0)</f>
        <v>0</v>
      </c>
      <c r="BB176" s="107"/>
      <c r="BC176" s="107">
        <f ca="1">AV176+SUM($AW$6:AW176)+SUM($AX$6:AX176)-SUM($BA$6:BA176)</f>
        <v>0</v>
      </c>
      <c r="BD176" s="107">
        <f t="shared" ca="1" si="77"/>
        <v>0</v>
      </c>
      <c r="BE176" s="51">
        <f ca="1">'PiT PD Structure'!J216</f>
        <v>8.4759154078017929E-5</v>
      </c>
      <c r="BF176" s="139">
        <f t="shared" ca="1" si="90"/>
        <v>0.45</v>
      </c>
      <c r="BG176" s="51">
        <f t="shared" ca="1" si="78"/>
        <v>1</v>
      </c>
      <c r="BH176" s="50">
        <f t="shared" ca="1" si="73"/>
        <v>0</v>
      </c>
      <c r="BI176" s="50">
        <f t="shared" ca="1" si="94"/>
        <v>3.4816594052244909E-13</v>
      </c>
      <c r="BJ176" s="140">
        <v>0</v>
      </c>
      <c r="BK176" s="140">
        <v>0</v>
      </c>
      <c r="BM176" s="78"/>
      <c r="BR176" s="75">
        <f t="shared" ca="1" si="65"/>
        <v>48638</v>
      </c>
      <c r="BS176" s="74">
        <f t="shared" ca="1" si="79"/>
        <v>2</v>
      </c>
      <c r="BT176" s="74">
        <f t="shared" ca="1" si="80"/>
        <v>0</v>
      </c>
      <c r="BU176" s="73" t="str">
        <f t="shared" ca="1" si="81"/>
        <v xml:space="preserve"> </v>
      </c>
      <c r="BW176" s="75">
        <f t="shared" ca="1" si="91"/>
        <v>48638</v>
      </c>
      <c r="BX176" s="74">
        <f t="shared" ca="1" si="92"/>
        <v>2</v>
      </c>
      <c r="BY176" s="74">
        <f t="shared" ca="1" si="82"/>
        <v>0</v>
      </c>
      <c r="BZ176" s="73" t="str">
        <f t="shared" ca="1" si="83"/>
        <v xml:space="preserve"> </v>
      </c>
      <c r="CB176" s="75">
        <f t="shared" ca="1" si="93"/>
        <v>48638</v>
      </c>
      <c r="CC176" s="74">
        <f t="shared" ca="1" si="84"/>
        <v>2</v>
      </c>
      <c r="CD176" s="74">
        <f t="shared" ca="1" si="85"/>
        <v>0</v>
      </c>
      <c r="CE176" s="73" t="str">
        <f t="shared" ca="1" si="86"/>
        <v xml:space="preserve"> </v>
      </c>
    </row>
    <row r="177" spans="1:83" x14ac:dyDescent="0.2">
      <c r="A177" s="38" t="str">
        <f t="shared" si="96"/>
        <v xml:space="preserve"> </v>
      </c>
      <c r="B177" s="108"/>
      <c r="C177" s="38"/>
      <c r="D177" s="137"/>
      <c r="E177" s="137"/>
      <c r="F177" s="137"/>
      <c r="G177" s="122"/>
      <c r="H177" s="137"/>
      <c r="I177" s="50"/>
      <c r="J177" s="50"/>
      <c r="K177" s="50"/>
      <c r="L177" s="38"/>
      <c r="M177" s="38"/>
      <c r="N177" s="38"/>
      <c r="O177" s="50"/>
      <c r="P177" s="218"/>
      <c r="Q177" s="50"/>
      <c r="R177" s="50"/>
      <c r="S177" s="38"/>
      <c r="T177" s="51"/>
      <c r="U177" s="65"/>
      <c r="V177" s="105"/>
      <c r="W177" s="66"/>
      <c r="X177" s="66"/>
      <c r="Y177" s="38"/>
      <c r="Z177" s="66">
        <f t="shared" si="66"/>
        <v>0</v>
      </c>
      <c r="AA177" s="67"/>
      <c r="AC177" s="41" t="e">
        <f>VLOOKUP(A177,'Input Sheet'!$A$2:$B$232,2,0)</f>
        <v>#N/A</v>
      </c>
      <c r="AD177" s="70"/>
      <c r="AI177" s="68"/>
      <c r="AL177" s="107">
        <f t="shared" ca="1" si="87"/>
        <v>0</v>
      </c>
      <c r="AM177" s="49">
        <f t="shared" ca="1" si="88"/>
        <v>48669</v>
      </c>
      <c r="AN177" s="137" t="str">
        <f t="shared" ca="1" si="74"/>
        <v xml:space="preserve"> </v>
      </c>
      <c r="AO177" s="107">
        <f t="shared" ca="1" si="75"/>
        <v>0</v>
      </c>
      <c r="AP177" s="143">
        <f t="shared" ca="1" si="67"/>
        <v>0</v>
      </c>
      <c r="AQ177" s="143">
        <f t="shared" ca="1" si="76"/>
        <v>0</v>
      </c>
      <c r="AR177" s="49" t="str">
        <f t="shared" ca="1" si="68"/>
        <v xml:space="preserve"> </v>
      </c>
      <c r="AS177" s="107">
        <f t="shared" ca="1" si="69"/>
        <v>0</v>
      </c>
      <c r="AT177" s="107">
        <f t="shared" ca="1" si="70"/>
        <v>0</v>
      </c>
      <c r="AU177" s="107"/>
      <c r="AV177" s="107">
        <f ca="1">MAX(SUM($AQ$6:AQ177)-SUM($AT$6:AT177),0)</f>
        <v>0</v>
      </c>
      <c r="AW177" s="107">
        <f t="shared" ca="1" si="89"/>
        <v>0</v>
      </c>
      <c r="AX177" s="107">
        <v>0</v>
      </c>
      <c r="AY177" s="138" t="str">
        <f t="shared" ca="1" si="71"/>
        <v xml:space="preserve"> </v>
      </c>
      <c r="AZ177" s="107">
        <f t="shared" ca="1" si="72"/>
        <v>0</v>
      </c>
      <c r="BA177" s="107">
        <f ca="1">IF(AZ177=1,(SUM($AW$6:AW177,$AX$6:AX177)-SUM($BA$6:BA176)),0)</f>
        <v>0</v>
      </c>
      <c r="BB177" s="107"/>
      <c r="BC177" s="107">
        <f ca="1">AV177+SUM($AW$6:AW177)+SUM($AX$6:AX177)-SUM($BA$6:BA177)</f>
        <v>0</v>
      </c>
      <c r="BD177" s="107">
        <f t="shared" ca="1" si="77"/>
        <v>0</v>
      </c>
      <c r="BE177" s="51">
        <f ca="1">'PiT PD Structure'!J217</f>
        <v>8.4751807802541101E-5</v>
      </c>
      <c r="BF177" s="139">
        <f t="shared" ca="1" si="90"/>
        <v>0.45</v>
      </c>
      <c r="BG177" s="51">
        <f t="shared" ca="1" si="78"/>
        <v>1</v>
      </c>
      <c r="BH177" s="50">
        <f t="shared" ca="1" si="73"/>
        <v>0</v>
      </c>
      <c r="BI177" s="50">
        <f t="shared" ca="1" si="94"/>
        <v>3.4816594052244909E-13</v>
      </c>
      <c r="BJ177" s="140">
        <v>0</v>
      </c>
      <c r="BK177" s="140">
        <v>0</v>
      </c>
      <c r="BM177" s="78"/>
      <c r="BR177" s="75">
        <f t="shared" ca="1" si="65"/>
        <v>48669</v>
      </c>
      <c r="BS177" s="74">
        <f t="shared" ca="1" si="79"/>
        <v>3</v>
      </c>
      <c r="BT177" s="74">
        <f t="shared" ca="1" si="80"/>
        <v>0</v>
      </c>
      <c r="BU177" s="73" t="str">
        <f t="shared" ca="1" si="81"/>
        <v xml:space="preserve"> </v>
      </c>
      <c r="BW177" s="75">
        <f t="shared" ca="1" si="91"/>
        <v>48669</v>
      </c>
      <c r="BX177" s="74">
        <f t="shared" ca="1" si="92"/>
        <v>3</v>
      </c>
      <c r="BY177" s="74">
        <f t="shared" ca="1" si="82"/>
        <v>0</v>
      </c>
      <c r="BZ177" s="73" t="str">
        <f t="shared" ca="1" si="83"/>
        <v xml:space="preserve"> </v>
      </c>
      <c r="CB177" s="75">
        <f t="shared" ca="1" si="93"/>
        <v>48669</v>
      </c>
      <c r="CC177" s="74">
        <f t="shared" ca="1" si="84"/>
        <v>3</v>
      </c>
      <c r="CD177" s="74">
        <f t="shared" ca="1" si="85"/>
        <v>0</v>
      </c>
      <c r="CE177" s="73" t="str">
        <f t="shared" ca="1" si="86"/>
        <v xml:space="preserve"> </v>
      </c>
    </row>
    <row r="178" spans="1:83" x14ac:dyDescent="0.2">
      <c r="A178" s="38" t="str">
        <f t="shared" si="96"/>
        <v xml:space="preserve"> </v>
      </c>
      <c r="B178" s="108"/>
      <c r="C178" s="38"/>
      <c r="D178" s="137"/>
      <c r="E178" s="137"/>
      <c r="F178" s="137"/>
      <c r="G178" s="122"/>
      <c r="H178" s="137"/>
      <c r="I178" s="50"/>
      <c r="J178" s="50"/>
      <c r="K178" s="50"/>
      <c r="L178" s="38"/>
      <c r="M178" s="38"/>
      <c r="N178" s="38"/>
      <c r="O178" s="50"/>
      <c r="P178" s="218"/>
      <c r="Q178" s="50"/>
      <c r="R178" s="50"/>
      <c r="S178" s="38"/>
      <c r="T178" s="51"/>
      <c r="U178" s="65"/>
      <c r="V178" s="105"/>
      <c r="W178" s="66"/>
      <c r="X178" s="66"/>
      <c r="Y178" s="38"/>
      <c r="Z178" s="66">
        <f t="shared" si="66"/>
        <v>0</v>
      </c>
      <c r="AA178" s="67"/>
      <c r="AC178" s="41" t="e">
        <f>VLOOKUP(A178,'Input Sheet'!$A$2:$B$232,2,0)</f>
        <v>#N/A</v>
      </c>
      <c r="AD178" s="70"/>
      <c r="AI178" s="68"/>
      <c r="AL178" s="107">
        <f t="shared" ca="1" si="87"/>
        <v>0</v>
      </c>
      <c r="AM178" s="49">
        <f t="shared" ca="1" si="88"/>
        <v>48699</v>
      </c>
      <c r="AN178" s="137" t="str">
        <f t="shared" ca="1" si="74"/>
        <v xml:space="preserve"> </v>
      </c>
      <c r="AO178" s="107">
        <f t="shared" ca="1" si="75"/>
        <v>0</v>
      </c>
      <c r="AP178" s="143">
        <f t="shared" ca="1" si="67"/>
        <v>0</v>
      </c>
      <c r="AQ178" s="143">
        <f t="shared" ca="1" si="76"/>
        <v>0</v>
      </c>
      <c r="AR178" s="49" t="str">
        <f t="shared" ca="1" si="68"/>
        <v xml:space="preserve"> </v>
      </c>
      <c r="AS178" s="107">
        <f t="shared" ca="1" si="69"/>
        <v>0</v>
      </c>
      <c r="AT178" s="107">
        <f t="shared" ca="1" si="70"/>
        <v>0</v>
      </c>
      <c r="AU178" s="107"/>
      <c r="AV178" s="107">
        <f ca="1">MAX(SUM($AQ$6:AQ178)-SUM($AT$6:AT178),0)</f>
        <v>0</v>
      </c>
      <c r="AW178" s="107">
        <f t="shared" ca="1" si="89"/>
        <v>0</v>
      </c>
      <c r="AX178" s="107">
        <v>0</v>
      </c>
      <c r="AY178" s="138" t="str">
        <f t="shared" ca="1" si="71"/>
        <v xml:space="preserve"> </v>
      </c>
      <c r="AZ178" s="107">
        <f t="shared" ca="1" si="72"/>
        <v>0</v>
      </c>
      <c r="BA178" s="107">
        <f ca="1">IF(AZ178=1,(SUM($AW$6:AW178,$AX$6:AX178)-SUM($BA$6:BA177)),0)</f>
        <v>0</v>
      </c>
      <c r="BB178" s="107"/>
      <c r="BC178" s="107">
        <f ca="1">AV178+SUM($AW$6:AW178)+SUM($AX$6:AX178)-SUM($BA$6:BA178)</f>
        <v>0</v>
      </c>
      <c r="BD178" s="107">
        <f t="shared" ca="1" si="77"/>
        <v>0</v>
      </c>
      <c r="BE178" s="51">
        <f ca="1">'PiT PD Structure'!J218</f>
        <v>8.4744462163666157E-5</v>
      </c>
      <c r="BF178" s="139">
        <f t="shared" ca="1" si="90"/>
        <v>0.45</v>
      </c>
      <c r="BG178" s="51">
        <f t="shared" ca="1" si="78"/>
        <v>1</v>
      </c>
      <c r="BH178" s="50">
        <f t="shared" ca="1" si="73"/>
        <v>0</v>
      </c>
      <c r="BI178" s="50">
        <f t="shared" ca="1" si="94"/>
        <v>3.4816594052244909E-13</v>
      </c>
      <c r="BJ178" s="140">
        <v>0</v>
      </c>
      <c r="BK178" s="140">
        <v>0</v>
      </c>
      <c r="BM178" s="78"/>
      <c r="BR178" s="75">
        <f t="shared" ca="1" si="65"/>
        <v>48699</v>
      </c>
      <c r="BS178" s="74">
        <f t="shared" ca="1" si="79"/>
        <v>4</v>
      </c>
      <c r="BT178" s="74">
        <f t="shared" ca="1" si="80"/>
        <v>0</v>
      </c>
      <c r="BU178" s="73" t="str">
        <f t="shared" ca="1" si="81"/>
        <v xml:space="preserve"> </v>
      </c>
      <c r="BW178" s="75">
        <f t="shared" ca="1" si="91"/>
        <v>48699</v>
      </c>
      <c r="BX178" s="74">
        <f t="shared" ca="1" si="92"/>
        <v>4</v>
      </c>
      <c r="BY178" s="74">
        <f t="shared" ca="1" si="82"/>
        <v>0</v>
      </c>
      <c r="BZ178" s="73" t="str">
        <f t="shared" ca="1" si="83"/>
        <v xml:space="preserve"> </v>
      </c>
      <c r="CB178" s="75">
        <f t="shared" ca="1" si="93"/>
        <v>48699</v>
      </c>
      <c r="CC178" s="74">
        <f t="shared" ca="1" si="84"/>
        <v>4</v>
      </c>
      <c r="CD178" s="74">
        <f t="shared" ca="1" si="85"/>
        <v>0</v>
      </c>
      <c r="CE178" s="73" t="str">
        <f t="shared" ca="1" si="86"/>
        <v xml:space="preserve"> </v>
      </c>
    </row>
    <row r="179" spans="1:83" x14ac:dyDescent="0.2">
      <c r="A179" s="38" t="str">
        <f t="shared" si="96"/>
        <v xml:space="preserve"> </v>
      </c>
      <c r="B179" s="108"/>
      <c r="C179" s="38"/>
      <c r="D179" s="137"/>
      <c r="E179" s="137"/>
      <c r="F179" s="137"/>
      <c r="G179" s="122"/>
      <c r="H179" s="137"/>
      <c r="I179" s="50"/>
      <c r="J179" s="50"/>
      <c r="K179" s="50"/>
      <c r="L179" s="38"/>
      <c r="M179" s="38"/>
      <c r="N179" s="38"/>
      <c r="O179" s="50"/>
      <c r="P179" s="218"/>
      <c r="Q179" s="50"/>
      <c r="R179" s="50"/>
      <c r="S179" s="38"/>
      <c r="T179" s="51"/>
      <c r="U179" s="65"/>
      <c r="V179" s="105"/>
      <c r="W179" s="66"/>
      <c r="X179" s="66"/>
      <c r="Y179" s="38"/>
      <c r="Z179" s="66">
        <f t="shared" si="66"/>
        <v>0</v>
      </c>
      <c r="AA179" s="67"/>
      <c r="AC179" s="41" t="e">
        <f>VLOOKUP(A179,'Input Sheet'!$A$2:$B$232,2,0)</f>
        <v>#N/A</v>
      </c>
      <c r="AD179" s="70"/>
      <c r="AI179" s="68"/>
      <c r="AL179" s="107">
        <f t="shared" ca="1" si="87"/>
        <v>0</v>
      </c>
      <c r="AM179" s="49">
        <f t="shared" ca="1" si="88"/>
        <v>48730</v>
      </c>
      <c r="AN179" s="137" t="str">
        <f t="shared" ca="1" si="74"/>
        <v xml:space="preserve"> </v>
      </c>
      <c r="AO179" s="107">
        <f t="shared" ca="1" si="75"/>
        <v>0</v>
      </c>
      <c r="AP179" s="143">
        <f t="shared" ca="1" si="67"/>
        <v>0</v>
      </c>
      <c r="AQ179" s="143">
        <f t="shared" ca="1" si="76"/>
        <v>0</v>
      </c>
      <c r="AR179" s="49" t="str">
        <f t="shared" ca="1" si="68"/>
        <v xml:space="preserve"> </v>
      </c>
      <c r="AS179" s="107">
        <f t="shared" ca="1" si="69"/>
        <v>0</v>
      </c>
      <c r="AT179" s="107">
        <f t="shared" ca="1" si="70"/>
        <v>0</v>
      </c>
      <c r="AU179" s="107"/>
      <c r="AV179" s="107">
        <f ca="1">MAX(SUM($AQ$6:AQ179)-SUM($AT$6:AT179),0)</f>
        <v>0</v>
      </c>
      <c r="AW179" s="107">
        <f t="shared" ca="1" si="89"/>
        <v>0</v>
      </c>
      <c r="AX179" s="107">
        <v>0</v>
      </c>
      <c r="AY179" s="138" t="str">
        <f t="shared" ca="1" si="71"/>
        <v xml:space="preserve"> </v>
      </c>
      <c r="AZ179" s="107">
        <f t="shared" ca="1" si="72"/>
        <v>0</v>
      </c>
      <c r="BA179" s="107">
        <f ca="1">IF(AZ179=1,(SUM($AW$6:AW179,$AX$6:AX179)-SUM($BA$6:BA178)),0)</f>
        <v>0</v>
      </c>
      <c r="BB179" s="107"/>
      <c r="BC179" s="107">
        <f ca="1">AV179+SUM($AW$6:AW179)+SUM($AX$6:AX179)-SUM($BA$6:BA179)</f>
        <v>0</v>
      </c>
      <c r="BD179" s="107">
        <f t="shared" ca="1" si="77"/>
        <v>0</v>
      </c>
      <c r="BE179" s="51">
        <f ca="1">'PiT PD Structure'!J219</f>
        <v>8.4737117161393094E-5</v>
      </c>
      <c r="BF179" s="139">
        <f t="shared" ca="1" si="90"/>
        <v>0.45</v>
      </c>
      <c r="BG179" s="51">
        <f t="shared" ca="1" si="78"/>
        <v>1</v>
      </c>
      <c r="BH179" s="50">
        <f t="shared" ca="1" si="73"/>
        <v>0</v>
      </c>
      <c r="BI179" s="50">
        <f t="shared" ca="1" si="94"/>
        <v>3.4816594052244909E-13</v>
      </c>
      <c r="BJ179" s="140">
        <v>0</v>
      </c>
      <c r="BK179" s="140">
        <v>0</v>
      </c>
      <c r="BM179" s="78"/>
      <c r="BR179" s="75">
        <f t="shared" ca="1" si="65"/>
        <v>48730</v>
      </c>
      <c r="BS179" s="74">
        <f t="shared" ca="1" si="79"/>
        <v>5</v>
      </c>
      <c r="BT179" s="74">
        <f t="shared" ca="1" si="80"/>
        <v>0</v>
      </c>
      <c r="BU179" s="73" t="str">
        <f t="shared" ca="1" si="81"/>
        <v xml:space="preserve"> </v>
      </c>
      <c r="BW179" s="75">
        <f t="shared" ca="1" si="91"/>
        <v>48730</v>
      </c>
      <c r="BX179" s="74">
        <f t="shared" ca="1" si="92"/>
        <v>5</v>
      </c>
      <c r="BY179" s="74">
        <f t="shared" ca="1" si="82"/>
        <v>0</v>
      </c>
      <c r="BZ179" s="73" t="str">
        <f t="shared" ca="1" si="83"/>
        <v xml:space="preserve"> </v>
      </c>
      <c r="CB179" s="75">
        <f t="shared" ca="1" si="93"/>
        <v>48730</v>
      </c>
      <c r="CC179" s="74">
        <f t="shared" ca="1" si="84"/>
        <v>5</v>
      </c>
      <c r="CD179" s="74">
        <f t="shared" ca="1" si="85"/>
        <v>0</v>
      </c>
      <c r="CE179" s="73" t="str">
        <f t="shared" ca="1" si="86"/>
        <v xml:space="preserve"> </v>
      </c>
    </row>
    <row r="180" spans="1:83" x14ac:dyDescent="0.2">
      <c r="A180" s="38" t="str">
        <f t="shared" si="96"/>
        <v xml:space="preserve"> </v>
      </c>
      <c r="B180" s="108"/>
      <c r="C180" s="38"/>
      <c r="D180" s="137"/>
      <c r="E180" s="137"/>
      <c r="F180" s="137"/>
      <c r="G180" s="122"/>
      <c r="H180" s="137"/>
      <c r="I180" s="50"/>
      <c r="J180" s="50"/>
      <c r="K180" s="50"/>
      <c r="L180" s="38"/>
      <c r="M180" s="38"/>
      <c r="N180" s="38"/>
      <c r="O180" s="50"/>
      <c r="P180" s="218"/>
      <c r="Q180" s="50"/>
      <c r="R180" s="50"/>
      <c r="S180" s="38"/>
      <c r="T180" s="51"/>
      <c r="U180" s="65"/>
      <c r="V180" s="105"/>
      <c r="W180" s="66"/>
      <c r="X180" s="66"/>
      <c r="Y180" s="38"/>
      <c r="Z180" s="66">
        <f t="shared" si="66"/>
        <v>0</v>
      </c>
      <c r="AA180" s="67"/>
      <c r="AC180" s="41" t="e">
        <f>VLOOKUP(A180,'Input Sheet'!$A$2:$B$232,2,0)</f>
        <v>#N/A</v>
      </c>
      <c r="AD180" s="70"/>
      <c r="AI180" s="68"/>
      <c r="AL180" s="107">
        <f t="shared" ca="1" si="87"/>
        <v>0</v>
      </c>
      <c r="AM180" s="49">
        <f t="shared" ca="1" si="88"/>
        <v>48760</v>
      </c>
      <c r="AN180" s="137" t="str">
        <f t="shared" ca="1" si="74"/>
        <v xml:space="preserve"> </v>
      </c>
      <c r="AO180" s="107">
        <f t="shared" ca="1" si="75"/>
        <v>0</v>
      </c>
      <c r="AP180" s="143">
        <f t="shared" ca="1" si="67"/>
        <v>0</v>
      </c>
      <c r="AQ180" s="143">
        <f t="shared" ca="1" si="76"/>
        <v>0</v>
      </c>
      <c r="AR180" s="49" t="str">
        <f t="shared" ca="1" si="68"/>
        <v xml:space="preserve"> </v>
      </c>
      <c r="AS180" s="107">
        <f t="shared" ca="1" si="69"/>
        <v>0</v>
      </c>
      <c r="AT180" s="107">
        <f t="shared" ca="1" si="70"/>
        <v>0</v>
      </c>
      <c r="AU180" s="107"/>
      <c r="AV180" s="107">
        <f ca="1">MAX(SUM($AQ$6:AQ180)-SUM($AT$6:AT180),0)</f>
        <v>0</v>
      </c>
      <c r="AW180" s="107">
        <f t="shared" ca="1" si="89"/>
        <v>0</v>
      </c>
      <c r="AX180" s="107">
        <v>0</v>
      </c>
      <c r="AY180" s="138" t="str">
        <f t="shared" ca="1" si="71"/>
        <v xml:space="preserve"> </v>
      </c>
      <c r="AZ180" s="107">
        <f t="shared" ca="1" si="72"/>
        <v>0</v>
      </c>
      <c r="BA180" s="107">
        <f ca="1">IF(AZ180=1,(SUM($AW$6:AW180,$AX$6:AX180)-SUM($BA$6:BA179)),0)</f>
        <v>0</v>
      </c>
      <c r="BB180" s="107"/>
      <c r="BC180" s="107">
        <f ca="1">AV180+SUM($AW$6:AW180)+SUM($AX$6:AX180)-SUM($BA$6:BA180)</f>
        <v>0</v>
      </c>
      <c r="BD180" s="107">
        <f t="shared" ca="1" si="77"/>
        <v>0</v>
      </c>
      <c r="BE180" s="51">
        <f ca="1">'PiT PD Structure'!J220</f>
        <v>8.4729772795610891E-5</v>
      </c>
      <c r="BF180" s="139">
        <f t="shared" ca="1" si="90"/>
        <v>0.45</v>
      </c>
      <c r="BG180" s="51">
        <f t="shared" ca="1" si="78"/>
        <v>1</v>
      </c>
      <c r="BH180" s="50">
        <f t="shared" ca="1" si="73"/>
        <v>0</v>
      </c>
      <c r="BI180" s="50">
        <f t="shared" ca="1" si="94"/>
        <v>3.4816594052244909E-13</v>
      </c>
      <c r="BJ180" s="140">
        <v>0</v>
      </c>
      <c r="BK180" s="140">
        <v>0</v>
      </c>
      <c r="BM180" s="78"/>
      <c r="BR180" s="75">
        <f t="shared" ca="1" si="65"/>
        <v>48760</v>
      </c>
      <c r="BS180" s="74">
        <f t="shared" ca="1" si="79"/>
        <v>6</v>
      </c>
      <c r="BT180" s="74">
        <f t="shared" ca="1" si="80"/>
        <v>0</v>
      </c>
      <c r="BU180" s="73" t="str">
        <f t="shared" ca="1" si="81"/>
        <v xml:space="preserve"> </v>
      </c>
      <c r="BW180" s="75">
        <f t="shared" ca="1" si="91"/>
        <v>48760</v>
      </c>
      <c r="BX180" s="74">
        <f t="shared" ca="1" si="92"/>
        <v>6</v>
      </c>
      <c r="BY180" s="74">
        <f t="shared" ca="1" si="82"/>
        <v>0</v>
      </c>
      <c r="BZ180" s="73" t="str">
        <f t="shared" ca="1" si="83"/>
        <v xml:space="preserve"> </v>
      </c>
      <c r="CB180" s="75">
        <f t="shared" ca="1" si="93"/>
        <v>48760</v>
      </c>
      <c r="CC180" s="74">
        <f t="shared" ca="1" si="84"/>
        <v>6</v>
      </c>
      <c r="CD180" s="74">
        <f t="shared" ca="1" si="85"/>
        <v>0</v>
      </c>
      <c r="CE180" s="73" t="str">
        <f t="shared" ca="1" si="86"/>
        <v xml:space="preserve"> </v>
      </c>
    </row>
    <row r="181" spans="1:83" x14ac:dyDescent="0.2">
      <c r="A181" s="38" t="str">
        <f t="shared" si="96"/>
        <v xml:space="preserve"> </v>
      </c>
      <c r="B181" s="108"/>
      <c r="C181" s="38"/>
      <c r="D181" s="137"/>
      <c r="E181" s="137"/>
      <c r="F181" s="137"/>
      <c r="G181" s="122"/>
      <c r="H181" s="137"/>
      <c r="I181" s="50"/>
      <c r="J181" s="50"/>
      <c r="K181" s="50"/>
      <c r="L181" s="38"/>
      <c r="M181" s="38"/>
      <c r="N181" s="38"/>
      <c r="O181" s="50"/>
      <c r="P181" s="218"/>
      <c r="Q181" s="50"/>
      <c r="R181" s="50"/>
      <c r="S181" s="38"/>
      <c r="T181" s="51"/>
      <c r="U181" s="65"/>
      <c r="V181" s="105"/>
      <c r="W181" s="66"/>
      <c r="X181" s="66"/>
      <c r="Y181" s="38"/>
      <c r="Z181" s="66">
        <f t="shared" si="66"/>
        <v>0</v>
      </c>
      <c r="AA181" s="67"/>
      <c r="AC181" s="41" t="e">
        <f>VLOOKUP(A181,'Input Sheet'!$A$2:$B$232,2,0)</f>
        <v>#N/A</v>
      </c>
      <c r="AD181" s="70"/>
      <c r="AI181" s="68"/>
      <c r="AL181" s="107">
        <f t="shared" ca="1" si="87"/>
        <v>0</v>
      </c>
      <c r="AM181" s="49">
        <f t="shared" ca="1" si="88"/>
        <v>48791</v>
      </c>
      <c r="AN181" s="137" t="str">
        <f t="shared" ca="1" si="74"/>
        <v xml:space="preserve"> </v>
      </c>
      <c r="AO181" s="107">
        <f t="shared" ca="1" si="75"/>
        <v>0</v>
      </c>
      <c r="AP181" s="143">
        <f t="shared" ca="1" si="67"/>
        <v>0</v>
      </c>
      <c r="AQ181" s="143">
        <f t="shared" ca="1" si="76"/>
        <v>0</v>
      </c>
      <c r="AR181" s="49" t="str">
        <f t="shared" ca="1" si="68"/>
        <v xml:space="preserve"> </v>
      </c>
      <c r="AS181" s="107">
        <f t="shared" ca="1" si="69"/>
        <v>0</v>
      </c>
      <c r="AT181" s="107">
        <f t="shared" ca="1" si="70"/>
        <v>0</v>
      </c>
      <c r="AU181" s="107"/>
      <c r="AV181" s="107">
        <f ca="1">MAX(SUM($AQ$6:AQ181)-SUM($AT$6:AT181),0)</f>
        <v>0</v>
      </c>
      <c r="AW181" s="107">
        <f t="shared" ca="1" si="89"/>
        <v>0</v>
      </c>
      <c r="AX181" s="107">
        <v>0</v>
      </c>
      <c r="AY181" s="138" t="str">
        <f t="shared" ca="1" si="71"/>
        <v xml:space="preserve"> </v>
      </c>
      <c r="AZ181" s="107">
        <f t="shared" ca="1" si="72"/>
        <v>0</v>
      </c>
      <c r="BA181" s="107">
        <f ca="1">IF(AZ181=1,(SUM($AW$6:AW181,$AX$6:AX181)-SUM($BA$6:BA180)),0)</f>
        <v>0</v>
      </c>
      <c r="BB181" s="107"/>
      <c r="BC181" s="107">
        <f ca="1">AV181+SUM($AW$6:AW181)+SUM($AX$6:AX181)-SUM($BA$6:BA181)</f>
        <v>0</v>
      </c>
      <c r="BD181" s="107">
        <f t="shared" ca="1" si="77"/>
        <v>0</v>
      </c>
      <c r="BE181" s="51">
        <f ca="1">'PiT PD Structure'!J221</f>
        <v>8.4722429066652616E-5</v>
      </c>
      <c r="BF181" s="139">
        <f t="shared" ca="1" si="90"/>
        <v>0.45</v>
      </c>
      <c r="BG181" s="51">
        <f t="shared" ca="1" si="78"/>
        <v>1</v>
      </c>
      <c r="BH181" s="50">
        <f t="shared" ca="1" si="73"/>
        <v>0</v>
      </c>
      <c r="BI181" s="50">
        <f t="shared" ca="1" si="94"/>
        <v>3.4816594052244909E-13</v>
      </c>
      <c r="BJ181" s="140">
        <v>0</v>
      </c>
      <c r="BK181" s="140">
        <v>0</v>
      </c>
      <c r="BM181" s="78"/>
      <c r="BR181" s="75">
        <f t="shared" ca="1" si="65"/>
        <v>48791</v>
      </c>
      <c r="BS181" s="74">
        <f t="shared" ca="1" si="79"/>
        <v>7</v>
      </c>
      <c r="BT181" s="74">
        <f t="shared" ca="1" si="80"/>
        <v>0</v>
      </c>
      <c r="BU181" s="73" t="str">
        <f t="shared" ca="1" si="81"/>
        <v xml:space="preserve"> </v>
      </c>
      <c r="BW181" s="75">
        <f t="shared" ca="1" si="91"/>
        <v>48791</v>
      </c>
      <c r="BX181" s="74">
        <f t="shared" ca="1" si="92"/>
        <v>7</v>
      </c>
      <c r="BY181" s="74">
        <f t="shared" ca="1" si="82"/>
        <v>0</v>
      </c>
      <c r="BZ181" s="73" t="str">
        <f t="shared" ca="1" si="83"/>
        <v xml:space="preserve"> </v>
      </c>
      <c r="CB181" s="75">
        <f t="shared" ca="1" si="93"/>
        <v>48791</v>
      </c>
      <c r="CC181" s="74">
        <f t="shared" ca="1" si="84"/>
        <v>7</v>
      </c>
      <c r="CD181" s="74">
        <f t="shared" ca="1" si="85"/>
        <v>0</v>
      </c>
      <c r="CE181" s="73" t="str">
        <f t="shared" ca="1" si="86"/>
        <v xml:space="preserve"> </v>
      </c>
    </row>
    <row r="182" spans="1:83" x14ac:dyDescent="0.2">
      <c r="A182" s="38" t="str">
        <f t="shared" si="96"/>
        <v xml:space="preserve"> </v>
      </c>
      <c r="B182" s="108"/>
      <c r="C182" s="38"/>
      <c r="D182" s="137"/>
      <c r="E182" s="137"/>
      <c r="F182" s="137"/>
      <c r="G182" s="122"/>
      <c r="H182" s="137"/>
      <c r="I182" s="50"/>
      <c r="J182" s="50"/>
      <c r="K182" s="50"/>
      <c r="L182" s="38"/>
      <c r="M182" s="38"/>
      <c r="N182" s="38"/>
      <c r="O182" s="50"/>
      <c r="P182" s="218"/>
      <c r="Q182" s="50"/>
      <c r="R182" s="50"/>
      <c r="S182" s="38"/>
      <c r="T182" s="51"/>
      <c r="U182" s="65"/>
      <c r="V182" s="105"/>
      <c r="W182" s="66"/>
      <c r="X182" s="66"/>
      <c r="Y182" s="38"/>
      <c r="Z182" s="66">
        <f t="shared" si="66"/>
        <v>0</v>
      </c>
      <c r="AA182" s="67"/>
      <c r="AC182" s="41" t="e">
        <f>VLOOKUP(A182,'Input Sheet'!$A$2:$B$232,2,0)</f>
        <v>#N/A</v>
      </c>
      <c r="AD182" s="70"/>
      <c r="AI182" s="68"/>
      <c r="AL182" s="107">
        <f t="shared" ca="1" si="87"/>
        <v>0</v>
      </c>
      <c r="AM182" s="49">
        <f t="shared" ca="1" si="88"/>
        <v>48822</v>
      </c>
      <c r="AN182" s="137" t="str">
        <f t="shared" ca="1" si="74"/>
        <v xml:space="preserve"> </v>
      </c>
      <c r="AO182" s="107">
        <f t="shared" ca="1" si="75"/>
        <v>0</v>
      </c>
      <c r="AP182" s="143">
        <f t="shared" ca="1" si="67"/>
        <v>0</v>
      </c>
      <c r="AQ182" s="143">
        <f t="shared" ca="1" si="76"/>
        <v>0</v>
      </c>
      <c r="AR182" s="49" t="str">
        <f t="shared" ca="1" si="68"/>
        <v xml:space="preserve"> </v>
      </c>
      <c r="AS182" s="107">
        <f t="shared" ca="1" si="69"/>
        <v>0</v>
      </c>
      <c r="AT182" s="107">
        <f t="shared" ca="1" si="70"/>
        <v>0</v>
      </c>
      <c r="AU182" s="107"/>
      <c r="AV182" s="107">
        <f ca="1">MAX(SUM($AQ$6:AQ182)-SUM($AT$6:AT182),0)</f>
        <v>0</v>
      </c>
      <c r="AW182" s="107">
        <f t="shared" ca="1" si="89"/>
        <v>0</v>
      </c>
      <c r="AX182" s="107">
        <v>0</v>
      </c>
      <c r="AY182" s="138" t="str">
        <f t="shared" ca="1" si="71"/>
        <v xml:space="preserve"> </v>
      </c>
      <c r="AZ182" s="107">
        <f t="shared" ca="1" si="72"/>
        <v>0</v>
      </c>
      <c r="BA182" s="107">
        <f ca="1">IF(AZ182=1,(SUM($AW$6:AW182,$AX$6:AX182)-SUM($BA$6:BA181)),0)</f>
        <v>0</v>
      </c>
      <c r="BB182" s="107"/>
      <c r="BC182" s="107">
        <f ca="1">AV182+SUM($AW$6:AW182)+SUM($AX$6:AX182)-SUM($BA$6:BA182)</f>
        <v>0</v>
      </c>
      <c r="BD182" s="107">
        <f t="shared" ca="1" si="77"/>
        <v>0</v>
      </c>
      <c r="BE182" s="51">
        <f ca="1">'PiT PD Structure'!J222</f>
        <v>8.4715085974074178E-5</v>
      </c>
      <c r="BF182" s="139">
        <f t="shared" ca="1" si="90"/>
        <v>0.45</v>
      </c>
      <c r="BG182" s="51">
        <f t="shared" ca="1" si="78"/>
        <v>1</v>
      </c>
      <c r="BH182" s="50">
        <f t="shared" ca="1" si="73"/>
        <v>0</v>
      </c>
      <c r="BI182" s="50">
        <f t="shared" ca="1" si="94"/>
        <v>3.4816594052244909E-13</v>
      </c>
      <c r="BJ182" s="140">
        <v>0</v>
      </c>
      <c r="BK182" s="140">
        <v>0</v>
      </c>
      <c r="BM182" s="78"/>
      <c r="BR182" s="75">
        <f t="shared" ca="1" si="65"/>
        <v>48822</v>
      </c>
      <c r="BS182" s="74">
        <f t="shared" ca="1" si="79"/>
        <v>8</v>
      </c>
      <c r="BT182" s="74">
        <f t="shared" ca="1" si="80"/>
        <v>0</v>
      </c>
      <c r="BU182" s="73" t="str">
        <f t="shared" ca="1" si="81"/>
        <v xml:space="preserve"> </v>
      </c>
      <c r="BW182" s="75">
        <f t="shared" ca="1" si="91"/>
        <v>48822</v>
      </c>
      <c r="BX182" s="74">
        <f t="shared" ca="1" si="92"/>
        <v>8</v>
      </c>
      <c r="BY182" s="74">
        <f t="shared" ca="1" si="82"/>
        <v>0</v>
      </c>
      <c r="BZ182" s="73" t="str">
        <f t="shared" ca="1" si="83"/>
        <v xml:space="preserve"> </v>
      </c>
      <c r="CB182" s="75">
        <f t="shared" ca="1" si="93"/>
        <v>48822</v>
      </c>
      <c r="CC182" s="74">
        <f t="shared" ca="1" si="84"/>
        <v>8</v>
      </c>
      <c r="CD182" s="74">
        <f t="shared" ca="1" si="85"/>
        <v>0</v>
      </c>
      <c r="CE182" s="73" t="str">
        <f t="shared" ca="1" si="86"/>
        <v xml:space="preserve"> </v>
      </c>
    </row>
    <row r="183" spans="1:83" x14ac:dyDescent="0.2">
      <c r="A183" s="38" t="str">
        <f t="shared" si="96"/>
        <v xml:space="preserve"> </v>
      </c>
      <c r="B183" s="108"/>
      <c r="C183" s="38"/>
      <c r="D183" s="137"/>
      <c r="E183" s="137"/>
      <c r="F183" s="137"/>
      <c r="G183" s="122"/>
      <c r="H183" s="137"/>
      <c r="I183" s="50"/>
      <c r="J183" s="50"/>
      <c r="K183" s="50"/>
      <c r="L183" s="38"/>
      <c r="M183" s="38"/>
      <c r="N183" s="38"/>
      <c r="O183" s="50"/>
      <c r="P183" s="218"/>
      <c r="Q183" s="50"/>
      <c r="R183" s="50"/>
      <c r="S183" s="38"/>
      <c r="T183" s="51"/>
      <c r="U183" s="65"/>
      <c r="V183" s="105"/>
      <c r="W183" s="66"/>
      <c r="X183" s="66"/>
      <c r="Y183" s="38"/>
      <c r="Z183" s="66">
        <f t="shared" si="66"/>
        <v>0</v>
      </c>
      <c r="AA183" s="67"/>
      <c r="AC183" s="41" t="e">
        <f>VLOOKUP(A183,'Input Sheet'!$A$2:$B$232,2,0)</f>
        <v>#N/A</v>
      </c>
      <c r="AD183" s="70"/>
      <c r="AI183" s="68"/>
      <c r="AL183" s="107">
        <f t="shared" ca="1" si="87"/>
        <v>0</v>
      </c>
      <c r="AM183" s="49">
        <f t="shared" ca="1" si="88"/>
        <v>48852</v>
      </c>
      <c r="AN183" s="137" t="str">
        <f t="shared" ca="1" si="74"/>
        <v xml:space="preserve"> </v>
      </c>
      <c r="AO183" s="107">
        <f t="shared" ca="1" si="75"/>
        <v>0</v>
      </c>
      <c r="AP183" s="143">
        <f t="shared" ca="1" si="67"/>
        <v>0</v>
      </c>
      <c r="AQ183" s="143">
        <f t="shared" ca="1" si="76"/>
        <v>0</v>
      </c>
      <c r="AR183" s="49" t="str">
        <f t="shared" ca="1" si="68"/>
        <v xml:space="preserve"> </v>
      </c>
      <c r="AS183" s="107">
        <f t="shared" ca="1" si="69"/>
        <v>0</v>
      </c>
      <c r="AT183" s="107">
        <f t="shared" ca="1" si="70"/>
        <v>0</v>
      </c>
      <c r="AU183" s="107"/>
      <c r="AV183" s="107">
        <f ca="1">MAX(SUM($AQ$6:AQ183)-SUM($AT$6:AT183),0)</f>
        <v>0</v>
      </c>
      <c r="AW183" s="107">
        <f t="shared" ca="1" si="89"/>
        <v>0</v>
      </c>
      <c r="AX183" s="107">
        <v>0</v>
      </c>
      <c r="AY183" s="138" t="str">
        <f t="shared" ca="1" si="71"/>
        <v xml:space="preserve"> </v>
      </c>
      <c r="AZ183" s="107">
        <f t="shared" ca="1" si="72"/>
        <v>0</v>
      </c>
      <c r="BA183" s="107">
        <f ca="1">IF(AZ183=1,(SUM($AW$6:AW183,$AX$6:AX183)-SUM($BA$6:BA182)),0)</f>
        <v>0</v>
      </c>
      <c r="BB183" s="107"/>
      <c r="BC183" s="107">
        <f ca="1">AV183+SUM($AW$6:AW183)+SUM($AX$6:AX183)-SUM($BA$6:BA183)</f>
        <v>0</v>
      </c>
      <c r="BD183" s="107">
        <f t="shared" ca="1" si="77"/>
        <v>0</v>
      </c>
      <c r="BE183" s="51">
        <f ca="1">'PiT PD Structure'!J223</f>
        <v>8.4707743517875578E-5</v>
      </c>
      <c r="BF183" s="139">
        <f t="shared" ca="1" si="90"/>
        <v>0.45</v>
      </c>
      <c r="BG183" s="51">
        <f t="shared" ca="1" si="78"/>
        <v>1</v>
      </c>
      <c r="BH183" s="50">
        <f t="shared" ca="1" si="73"/>
        <v>0</v>
      </c>
      <c r="BI183" s="50">
        <f t="shared" ca="1" si="94"/>
        <v>3.4816594052244909E-13</v>
      </c>
      <c r="BJ183" s="140">
        <v>0</v>
      </c>
      <c r="BK183" s="140">
        <v>0</v>
      </c>
      <c r="BM183" s="78"/>
      <c r="BR183" s="75">
        <f t="shared" ca="1" si="65"/>
        <v>48852</v>
      </c>
      <c r="BS183" s="74">
        <f t="shared" ca="1" si="79"/>
        <v>9</v>
      </c>
      <c r="BT183" s="74">
        <f t="shared" ca="1" si="80"/>
        <v>0</v>
      </c>
      <c r="BU183" s="73" t="str">
        <f t="shared" ca="1" si="81"/>
        <v xml:space="preserve"> </v>
      </c>
      <c r="BW183" s="75">
        <f t="shared" ca="1" si="91"/>
        <v>48852</v>
      </c>
      <c r="BX183" s="74">
        <f t="shared" ca="1" si="92"/>
        <v>9</v>
      </c>
      <c r="BY183" s="74">
        <f t="shared" ca="1" si="82"/>
        <v>0</v>
      </c>
      <c r="BZ183" s="73" t="str">
        <f t="shared" ca="1" si="83"/>
        <v xml:space="preserve"> </v>
      </c>
      <c r="CB183" s="75">
        <f t="shared" ca="1" si="93"/>
        <v>48852</v>
      </c>
      <c r="CC183" s="74">
        <f t="shared" ca="1" si="84"/>
        <v>9</v>
      </c>
      <c r="CD183" s="74">
        <f t="shared" ca="1" si="85"/>
        <v>0</v>
      </c>
      <c r="CE183" s="73" t="str">
        <f t="shared" ca="1" si="86"/>
        <v xml:space="preserve"> </v>
      </c>
    </row>
    <row r="184" spans="1:83" x14ac:dyDescent="0.2">
      <c r="A184" s="38" t="str">
        <f t="shared" si="96"/>
        <v xml:space="preserve"> </v>
      </c>
      <c r="B184" s="108"/>
      <c r="C184" s="38"/>
      <c r="D184" s="137"/>
      <c r="E184" s="137"/>
      <c r="F184" s="137"/>
      <c r="G184" s="122"/>
      <c r="H184" s="137"/>
      <c r="I184" s="50"/>
      <c r="J184" s="50"/>
      <c r="K184" s="50"/>
      <c r="L184" s="38"/>
      <c r="M184" s="38"/>
      <c r="N184" s="38"/>
      <c r="O184" s="50"/>
      <c r="P184" s="218"/>
      <c r="Q184" s="50"/>
      <c r="R184" s="50"/>
      <c r="S184" s="38"/>
      <c r="T184" s="51"/>
      <c r="U184" s="65"/>
      <c r="V184" s="105"/>
      <c r="W184" s="66"/>
      <c r="X184" s="66"/>
      <c r="Y184" s="38"/>
      <c r="Z184" s="66">
        <f t="shared" si="66"/>
        <v>0</v>
      </c>
      <c r="AA184" s="67"/>
      <c r="AC184" s="41" t="e">
        <f>VLOOKUP(A184,'Input Sheet'!$A$2:$B$232,2,0)</f>
        <v>#N/A</v>
      </c>
      <c r="AD184" s="70"/>
      <c r="AI184" s="68"/>
      <c r="AL184" s="107">
        <f t="shared" ca="1" si="87"/>
        <v>0</v>
      </c>
      <c r="AM184" s="49">
        <f t="shared" ca="1" si="88"/>
        <v>48883</v>
      </c>
      <c r="AN184" s="137" t="str">
        <f t="shared" ca="1" si="74"/>
        <v xml:space="preserve"> </v>
      </c>
      <c r="AO184" s="107">
        <f t="shared" ca="1" si="75"/>
        <v>0</v>
      </c>
      <c r="AP184" s="143">
        <f t="shared" ca="1" si="67"/>
        <v>0</v>
      </c>
      <c r="AQ184" s="143">
        <f t="shared" ca="1" si="76"/>
        <v>0</v>
      </c>
      <c r="AR184" s="49" t="str">
        <f t="shared" ca="1" si="68"/>
        <v xml:space="preserve"> </v>
      </c>
      <c r="AS184" s="107">
        <f t="shared" ca="1" si="69"/>
        <v>0</v>
      </c>
      <c r="AT184" s="107">
        <f t="shared" ca="1" si="70"/>
        <v>0</v>
      </c>
      <c r="AU184" s="107"/>
      <c r="AV184" s="107">
        <f ca="1">MAX(SUM($AQ$6:AQ184)-SUM($AT$6:AT184),0)</f>
        <v>0</v>
      </c>
      <c r="AW184" s="107">
        <f t="shared" ca="1" si="89"/>
        <v>0</v>
      </c>
      <c r="AX184" s="107">
        <v>0</v>
      </c>
      <c r="AY184" s="138" t="str">
        <f t="shared" ca="1" si="71"/>
        <v xml:space="preserve"> </v>
      </c>
      <c r="AZ184" s="107">
        <f t="shared" ca="1" si="72"/>
        <v>0</v>
      </c>
      <c r="BA184" s="107">
        <f ca="1">IF(AZ184=1,(SUM($AW$6:AW184,$AX$6:AX184)-SUM($BA$6:BA183)),0)</f>
        <v>0</v>
      </c>
      <c r="BB184" s="107"/>
      <c r="BC184" s="107">
        <f ca="1">AV184+SUM($AW$6:AW184)+SUM($AX$6:AX184)-SUM($BA$6:BA184)</f>
        <v>0</v>
      </c>
      <c r="BD184" s="107">
        <f t="shared" ca="1" si="77"/>
        <v>0</v>
      </c>
      <c r="BE184" s="51">
        <f ca="1">'PiT PD Structure'!J224</f>
        <v>8.4700401698056815E-5</v>
      </c>
      <c r="BF184" s="139">
        <f t="shared" ca="1" si="90"/>
        <v>0.45</v>
      </c>
      <c r="BG184" s="51">
        <f t="shared" ca="1" si="78"/>
        <v>1</v>
      </c>
      <c r="BH184" s="50">
        <f t="shared" ca="1" si="73"/>
        <v>0</v>
      </c>
      <c r="BI184" s="50">
        <f t="shared" ca="1" si="94"/>
        <v>3.4816594052244909E-13</v>
      </c>
      <c r="BJ184" s="140">
        <v>0</v>
      </c>
      <c r="BK184" s="140">
        <v>0</v>
      </c>
      <c r="BM184" s="78"/>
      <c r="BR184" s="75">
        <f t="shared" ca="1" si="65"/>
        <v>48883</v>
      </c>
      <c r="BS184" s="74">
        <f t="shared" ca="1" si="79"/>
        <v>10</v>
      </c>
      <c r="BT184" s="74">
        <f t="shared" ca="1" si="80"/>
        <v>0</v>
      </c>
      <c r="BU184" s="73" t="str">
        <f t="shared" ca="1" si="81"/>
        <v xml:space="preserve"> </v>
      </c>
      <c r="BW184" s="75">
        <f t="shared" ca="1" si="91"/>
        <v>48883</v>
      </c>
      <c r="BX184" s="74">
        <f t="shared" ca="1" si="92"/>
        <v>10</v>
      </c>
      <c r="BY184" s="74">
        <f t="shared" ca="1" si="82"/>
        <v>0</v>
      </c>
      <c r="BZ184" s="73" t="str">
        <f t="shared" ca="1" si="83"/>
        <v xml:space="preserve"> </v>
      </c>
      <c r="CB184" s="75">
        <f t="shared" ca="1" si="93"/>
        <v>48883</v>
      </c>
      <c r="CC184" s="74">
        <f t="shared" ca="1" si="84"/>
        <v>10</v>
      </c>
      <c r="CD184" s="74">
        <f t="shared" ca="1" si="85"/>
        <v>0</v>
      </c>
      <c r="CE184" s="73" t="str">
        <f t="shared" ca="1" si="86"/>
        <v xml:space="preserve"> </v>
      </c>
    </row>
    <row r="185" spans="1:83" x14ac:dyDescent="0.2">
      <c r="A185" s="38" t="str">
        <f t="shared" si="96"/>
        <v xml:space="preserve"> </v>
      </c>
      <c r="B185" s="108"/>
      <c r="C185" s="38"/>
      <c r="D185" s="137"/>
      <c r="E185" s="137"/>
      <c r="F185" s="137"/>
      <c r="G185" s="122"/>
      <c r="H185" s="137"/>
      <c r="I185" s="50"/>
      <c r="J185" s="50"/>
      <c r="K185" s="50"/>
      <c r="L185" s="38"/>
      <c r="M185" s="38"/>
      <c r="N185" s="38"/>
      <c r="O185" s="50"/>
      <c r="P185" s="218"/>
      <c r="Q185" s="50"/>
      <c r="R185" s="50"/>
      <c r="S185" s="38"/>
      <c r="T185" s="51"/>
      <c r="U185" s="65"/>
      <c r="V185" s="105"/>
      <c r="W185" s="66"/>
      <c r="X185" s="66"/>
      <c r="Y185" s="38"/>
      <c r="Z185" s="66">
        <f t="shared" si="66"/>
        <v>0</v>
      </c>
      <c r="AA185" s="67"/>
      <c r="AC185" s="41" t="e">
        <f>VLOOKUP(A185,'Input Sheet'!$A$2:$B$232,2,0)</f>
        <v>#N/A</v>
      </c>
      <c r="AD185" s="70"/>
      <c r="AI185" s="68"/>
      <c r="AL185" s="107">
        <f t="shared" ca="1" si="87"/>
        <v>0</v>
      </c>
      <c r="AM185" s="49">
        <f t="shared" ca="1" si="88"/>
        <v>48913</v>
      </c>
      <c r="AN185" s="137" t="str">
        <f t="shared" ca="1" si="74"/>
        <v xml:space="preserve"> </v>
      </c>
      <c r="AO185" s="107">
        <f t="shared" ca="1" si="75"/>
        <v>0</v>
      </c>
      <c r="AP185" s="143">
        <f t="shared" ca="1" si="67"/>
        <v>0</v>
      </c>
      <c r="AQ185" s="143">
        <f t="shared" ca="1" si="76"/>
        <v>0</v>
      </c>
      <c r="AR185" s="49" t="str">
        <f t="shared" ca="1" si="68"/>
        <v xml:space="preserve"> </v>
      </c>
      <c r="AS185" s="107">
        <f t="shared" ca="1" si="69"/>
        <v>0</v>
      </c>
      <c r="AT185" s="107">
        <f t="shared" ca="1" si="70"/>
        <v>0</v>
      </c>
      <c r="AU185" s="107"/>
      <c r="AV185" s="107">
        <f ca="1">MAX(SUM($AQ$6:AQ185)-SUM($AT$6:AT185),0)</f>
        <v>0</v>
      </c>
      <c r="AW185" s="107">
        <f t="shared" ca="1" si="89"/>
        <v>0</v>
      </c>
      <c r="AX185" s="107">
        <v>0</v>
      </c>
      <c r="AY185" s="138" t="str">
        <f t="shared" ca="1" si="71"/>
        <v xml:space="preserve"> </v>
      </c>
      <c r="AZ185" s="107">
        <f t="shared" ca="1" si="72"/>
        <v>0</v>
      </c>
      <c r="BA185" s="107">
        <f ca="1">IF(AZ185=1,(SUM($AW$6:AW185,$AX$6:AX185)-SUM($BA$6:BA184)),0)</f>
        <v>0</v>
      </c>
      <c r="BB185" s="107"/>
      <c r="BC185" s="107">
        <f ca="1">AV185+SUM($AW$6:AW185)+SUM($AX$6:AX185)-SUM($BA$6:BA185)</f>
        <v>0</v>
      </c>
      <c r="BD185" s="107">
        <f t="shared" ca="1" si="77"/>
        <v>0</v>
      </c>
      <c r="BE185" s="51">
        <f ca="1">'PiT PD Structure'!J225</f>
        <v>8.4693060514617891E-5</v>
      </c>
      <c r="BF185" s="139">
        <f t="shared" ca="1" si="90"/>
        <v>0.45</v>
      </c>
      <c r="BG185" s="51">
        <f t="shared" ca="1" si="78"/>
        <v>1</v>
      </c>
      <c r="BH185" s="50">
        <f t="shared" ca="1" si="73"/>
        <v>0</v>
      </c>
      <c r="BI185" s="50">
        <f t="shared" ca="1" si="94"/>
        <v>3.4816594052244909E-13</v>
      </c>
      <c r="BJ185" s="140">
        <v>0</v>
      </c>
      <c r="BK185" s="140">
        <v>0</v>
      </c>
      <c r="BM185" s="78"/>
      <c r="BR185" s="75">
        <f t="shared" ca="1" si="65"/>
        <v>48913</v>
      </c>
      <c r="BS185" s="74">
        <f t="shared" ca="1" si="79"/>
        <v>11</v>
      </c>
      <c r="BT185" s="74">
        <f t="shared" ca="1" si="80"/>
        <v>0</v>
      </c>
      <c r="BU185" s="73" t="str">
        <f t="shared" ca="1" si="81"/>
        <v xml:space="preserve"> </v>
      </c>
      <c r="BW185" s="75">
        <f t="shared" ca="1" si="91"/>
        <v>48913</v>
      </c>
      <c r="BX185" s="74">
        <f t="shared" ca="1" si="92"/>
        <v>11</v>
      </c>
      <c r="BY185" s="74">
        <f t="shared" ca="1" si="82"/>
        <v>0</v>
      </c>
      <c r="BZ185" s="73" t="str">
        <f t="shared" ca="1" si="83"/>
        <v xml:space="preserve"> </v>
      </c>
      <c r="CB185" s="75">
        <f t="shared" ca="1" si="93"/>
        <v>48913</v>
      </c>
      <c r="CC185" s="74">
        <f t="shared" ca="1" si="84"/>
        <v>11</v>
      </c>
      <c r="CD185" s="74">
        <f t="shared" ca="1" si="85"/>
        <v>0</v>
      </c>
      <c r="CE185" s="73" t="str">
        <f t="shared" ca="1" si="86"/>
        <v xml:space="preserve"> </v>
      </c>
    </row>
    <row r="186" spans="1:83" x14ac:dyDescent="0.2">
      <c r="A186" s="38" t="str">
        <f t="shared" si="96"/>
        <v xml:space="preserve"> </v>
      </c>
      <c r="B186" s="108"/>
      <c r="C186" s="38"/>
      <c r="D186" s="137"/>
      <c r="E186" s="137"/>
      <c r="F186" s="137"/>
      <c r="G186" s="122"/>
      <c r="H186" s="137"/>
      <c r="I186" s="50"/>
      <c r="J186" s="50"/>
      <c r="K186" s="50"/>
      <c r="L186" s="38"/>
      <c r="M186" s="38"/>
      <c r="N186" s="38"/>
      <c r="O186" s="50"/>
      <c r="P186" s="218"/>
      <c r="Q186" s="50"/>
      <c r="R186" s="50"/>
      <c r="S186" s="38"/>
      <c r="T186" s="51"/>
      <c r="U186" s="65"/>
      <c r="V186" s="105"/>
      <c r="W186" s="66"/>
      <c r="X186" s="66"/>
      <c r="Y186" s="38"/>
      <c r="Z186" s="66">
        <f t="shared" si="66"/>
        <v>0</v>
      </c>
      <c r="AA186" s="67"/>
      <c r="AC186" s="41" t="e">
        <f>VLOOKUP(A186,'Input Sheet'!$A$2:$B$232,2,0)</f>
        <v>#N/A</v>
      </c>
      <c r="AD186" s="70"/>
      <c r="AI186" s="68"/>
      <c r="AL186" s="107">
        <f t="shared" ca="1" si="87"/>
        <v>0</v>
      </c>
      <c r="AM186" s="49">
        <f t="shared" ca="1" si="88"/>
        <v>48944</v>
      </c>
      <c r="AN186" s="137" t="str">
        <f t="shared" ca="1" si="74"/>
        <v xml:space="preserve"> </v>
      </c>
      <c r="AO186" s="107">
        <f t="shared" ca="1" si="75"/>
        <v>0</v>
      </c>
      <c r="AP186" s="143">
        <f t="shared" ca="1" si="67"/>
        <v>0</v>
      </c>
      <c r="AQ186" s="143">
        <f t="shared" ca="1" si="76"/>
        <v>0</v>
      </c>
      <c r="AR186" s="49" t="str">
        <f t="shared" ca="1" si="68"/>
        <v xml:space="preserve"> </v>
      </c>
      <c r="AS186" s="107">
        <f t="shared" ca="1" si="69"/>
        <v>0</v>
      </c>
      <c r="AT186" s="107">
        <f t="shared" ca="1" si="70"/>
        <v>0</v>
      </c>
      <c r="AU186" s="107"/>
      <c r="AV186" s="107">
        <f ca="1">MAX(SUM($AQ$6:AQ186)-SUM($AT$6:AT186),0)</f>
        <v>0</v>
      </c>
      <c r="AW186" s="107">
        <f t="shared" ca="1" si="89"/>
        <v>0</v>
      </c>
      <c r="AX186" s="107">
        <v>0</v>
      </c>
      <c r="AY186" s="138" t="str">
        <f t="shared" ca="1" si="71"/>
        <v xml:space="preserve"> </v>
      </c>
      <c r="AZ186" s="107">
        <f t="shared" ca="1" si="72"/>
        <v>0</v>
      </c>
      <c r="BA186" s="107">
        <f ca="1">IF(AZ186=1,(SUM($AW$6:AW186,$AX$6:AX186)-SUM($BA$6:BA185)),0)</f>
        <v>0</v>
      </c>
      <c r="BB186" s="107"/>
      <c r="BC186" s="107">
        <f ca="1">AV186+SUM($AW$6:AW186)+SUM($AX$6:AX186)-SUM($BA$6:BA186)</f>
        <v>0</v>
      </c>
      <c r="BD186" s="107">
        <f t="shared" ca="1" si="77"/>
        <v>0</v>
      </c>
      <c r="BE186" s="51">
        <f ca="1">'PiT PD Structure'!J226</f>
        <v>2.1423514609899552E-3</v>
      </c>
      <c r="BF186" s="139">
        <f t="shared" ca="1" si="90"/>
        <v>0.45</v>
      </c>
      <c r="BG186" s="51">
        <f t="shared" ca="1" si="78"/>
        <v>1</v>
      </c>
      <c r="BH186" s="50">
        <f t="shared" ca="1" si="73"/>
        <v>0</v>
      </c>
      <c r="BI186" s="50">
        <f t="shared" ca="1" si="94"/>
        <v>3.4816594052244909E-13</v>
      </c>
      <c r="BJ186" s="140">
        <v>0</v>
      </c>
      <c r="BK186" s="140">
        <v>0</v>
      </c>
      <c r="BM186" s="78"/>
      <c r="BR186" s="75">
        <f t="shared" ca="1" si="65"/>
        <v>48944</v>
      </c>
      <c r="BS186" s="74">
        <f t="shared" ca="1" si="79"/>
        <v>12</v>
      </c>
      <c r="BT186" s="74">
        <f t="shared" ca="1" si="80"/>
        <v>0</v>
      </c>
      <c r="BU186" s="73" t="str">
        <f t="shared" ca="1" si="81"/>
        <v xml:space="preserve"> </v>
      </c>
      <c r="BW186" s="75">
        <f t="shared" ca="1" si="91"/>
        <v>48944</v>
      </c>
      <c r="BX186" s="74">
        <f t="shared" ca="1" si="92"/>
        <v>12</v>
      </c>
      <c r="BY186" s="74">
        <f t="shared" ca="1" si="82"/>
        <v>0</v>
      </c>
      <c r="BZ186" s="73" t="str">
        <f t="shared" ca="1" si="83"/>
        <v xml:space="preserve"> </v>
      </c>
      <c r="CB186" s="75">
        <f t="shared" ca="1" si="93"/>
        <v>48944</v>
      </c>
      <c r="CC186" s="74">
        <f t="shared" ca="1" si="84"/>
        <v>12</v>
      </c>
      <c r="CD186" s="74">
        <f t="shared" ca="1" si="85"/>
        <v>0</v>
      </c>
      <c r="CE186" s="73" t="str">
        <f t="shared" ca="1" si="86"/>
        <v xml:space="preserve"> </v>
      </c>
    </row>
    <row r="187" spans="1:83" x14ac:dyDescent="0.2">
      <c r="A187" s="38" t="str">
        <f t="shared" si="96"/>
        <v xml:space="preserve"> </v>
      </c>
      <c r="B187" s="108"/>
      <c r="C187" s="38"/>
      <c r="D187" s="137"/>
      <c r="E187" s="137"/>
      <c r="F187" s="137"/>
      <c r="G187" s="122"/>
      <c r="H187" s="137"/>
      <c r="I187" s="50"/>
      <c r="J187" s="50"/>
      <c r="K187" s="50"/>
      <c r="L187" s="38"/>
      <c r="M187" s="38"/>
      <c r="N187" s="38"/>
      <c r="O187" s="50"/>
      <c r="P187" s="218"/>
      <c r="Q187" s="50"/>
      <c r="R187" s="50"/>
      <c r="S187" s="38"/>
      <c r="T187" s="51"/>
      <c r="U187" s="65"/>
      <c r="V187" s="105"/>
      <c r="W187" s="66"/>
      <c r="X187" s="66"/>
      <c r="Y187" s="38"/>
      <c r="Z187" s="66">
        <f t="shared" si="66"/>
        <v>0</v>
      </c>
      <c r="AA187" s="67"/>
      <c r="AC187" s="41" t="e">
        <f>VLOOKUP(A187,'Input Sheet'!$A$2:$B$232,2,0)</f>
        <v>#N/A</v>
      </c>
      <c r="AD187" s="70"/>
      <c r="AI187" s="68"/>
      <c r="AL187" s="107">
        <f t="shared" ca="1" si="87"/>
        <v>0</v>
      </c>
      <c r="AM187" s="49">
        <f t="shared" ca="1" si="88"/>
        <v>48975</v>
      </c>
      <c r="AN187" s="137" t="str">
        <f t="shared" ca="1" si="74"/>
        <v xml:space="preserve"> </v>
      </c>
      <c r="AO187" s="107">
        <f t="shared" ca="1" si="75"/>
        <v>0</v>
      </c>
      <c r="AP187" s="143">
        <f t="shared" ca="1" si="67"/>
        <v>0</v>
      </c>
      <c r="AQ187" s="143">
        <f t="shared" ca="1" si="76"/>
        <v>0</v>
      </c>
      <c r="AR187" s="49" t="str">
        <f t="shared" ca="1" si="68"/>
        <v xml:space="preserve"> </v>
      </c>
      <c r="AS187" s="107">
        <f t="shared" ca="1" si="69"/>
        <v>0</v>
      </c>
      <c r="AT187" s="107">
        <f t="shared" ca="1" si="70"/>
        <v>0</v>
      </c>
      <c r="AU187" s="107"/>
      <c r="AV187" s="107">
        <f ca="1">MAX(SUM($AQ$6:AQ187)-SUM($AT$6:AT187),0)</f>
        <v>0</v>
      </c>
      <c r="AW187" s="107">
        <f t="shared" ca="1" si="89"/>
        <v>0</v>
      </c>
      <c r="AX187" s="107">
        <v>0</v>
      </c>
      <c r="AY187" s="138" t="str">
        <f t="shared" ca="1" si="71"/>
        <v xml:space="preserve"> </v>
      </c>
      <c r="AZ187" s="107">
        <f t="shared" ca="1" si="72"/>
        <v>0</v>
      </c>
      <c r="BA187" s="107">
        <f ca="1">IF(AZ187=1,(SUM($AW$6:AW187,$AX$6:AX187)-SUM($BA$6:BA186)),0)</f>
        <v>0</v>
      </c>
      <c r="BB187" s="107"/>
      <c r="BC187" s="107">
        <f ca="1">AV187+SUM($AW$6:AW187)+SUM($AX$6:AX187)-SUM($BA$6:BA187)</f>
        <v>0</v>
      </c>
      <c r="BD187" s="107">
        <f t="shared" ca="1" si="77"/>
        <v>0</v>
      </c>
      <c r="BE187" s="51">
        <f ca="1">'PiT PD Structure'!J227</f>
        <v>9.0661927401813891E-5</v>
      </c>
      <c r="BF187" s="139">
        <f t="shared" ca="1" si="90"/>
        <v>0.45</v>
      </c>
      <c r="BG187" s="51">
        <f t="shared" ca="1" si="78"/>
        <v>1</v>
      </c>
      <c r="BH187" s="50">
        <f t="shared" ca="1" si="73"/>
        <v>0</v>
      </c>
      <c r="BI187" s="50">
        <f t="shared" ca="1" si="94"/>
        <v>3.4816594052244909E-13</v>
      </c>
      <c r="BJ187" s="140">
        <v>0</v>
      </c>
      <c r="BK187" s="140">
        <v>0</v>
      </c>
      <c r="BM187" s="78"/>
      <c r="BR187" s="75">
        <f t="shared" ca="1" si="65"/>
        <v>48975</v>
      </c>
      <c r="BS187" s="74">
        <f t="shared" ca="1" si="79"/>
        <v>1</v>
      </c>
      <c r="BT187" s="74">
        <f t="shared" ca="1" si="80"/>
        <v>0</v>
      </c>
      <c r="BU187" s="73" t="str">
        <f t="shared" ca="1" si="81"/>
        <v xml:space="preserve"> </v>
      </c>
      <c r="BW187" s="75">
        <f t="shared" ca="1" si="91"/>
        <v>48975</v>
      </c>
      <c r="BX187" s="74">
        <f t="shared" ca="1" si="92"/>
        <v>1</v>
      </c>
      <c r="BY187" s="74">
        <f t="shared" ca="1" si="82"/>
        <v>0</v>
      </c>
      <c r="BZ187" s="73" t="str">
        <f t="shared" ca="1" si="83"/>
        <v xml:space="preserve"> </v>
      </c>
      <c r="CB187" s="75">
        <f t="shared" ca="1" si="93"/>
        <v>48975</v>
      </c>
      <c r="CC187" s="74">
        <f t="shared" ca="1" si="84"/>
        <v>1</v>
      </c>
      <c r="CD187" s="74">
        <f t="shared" ca="1" si="85"/>
        <v>0</v>
      </c>
      <c r="CE187" s="73" t="str">
        <f t="shared" ca="1" si="86"/>
        <v xml:space="preserve"> </v>
      </c>
    </row>
    <row r="188" spans="1:83" x14ac:dyDescent="0.2">
      <c r="A188" s="38" t="str">
        <f t="shared" si="96"/>
        <v xml:space="preserve"> </v>
      </c>
      <c r="B188" s="108"/>
      <c r="C188" s="38"/>
      <c r="D188" s="137"/>
      <c r="E188" s="137"/>
      <c r="F188" s="137"/>
      <c r="G188" s="122"/>
      <c r="H188" s="137"/>
      <c r="I188" s="50"/>
      <c r="J188" s="50"/>
      <c r="K188" s="50"/>
      <c r="L188" s="38"/>
      <c r="M188" s="38"/>
      <c r="N188" s="38"/>
      <c r="O188" s="50"/>
      <c r="P188" s="218"/>
      <c r="Q188" s="50"/>
      <c r="R188" s="50"/>
      <c r="S188" s="38"/>
      <c r="T188" s="51"/>
      <c r="U188" s="65"/>
      <c r="V188" s="105"/>
      <c r="W188" s="66"/>
      <c r="X188" s="66"/>
      <c r="Y188" s="38"/>
      <c r="Z188" s="66">
        <f t="shared" si="66"/>
        <v>0</v>
      </c>
      <c r="AA188" s="67"/>
      <c r="AC188" s="41" t="e">
        <f>VLOOKUP(A188,'Input Sheet'!$A$2:$B$232,2,0)</f>
        <v>#N/A</v>
      </c>
      <c r="AD188" s="70"/>
      <c r="AI188" s="68"/>
      <c r="AL188" s="107">
        <f t="shared" ca="1" si="87"/>
        <v>0</v>
      </c>
      <c r="AM188" s="49">
        <f t="shared" ca="1" si="88"/>
        <v>49003</v>
      </c>
      <c r="AN188" s="137" t="str">
        <f t="shared" ca="1" si="74"/>
        <v xml:space="preserve"> </v>
      </c>
      <c r="AO188" s="107">
        <f t="shared" ca="1" si="75"/>
        <v>0</v>
      </c>
      <c r="AP188" s="143">
        <f t="shared" ca="1" si="67"/>
        <v>0</v>
      </c>
      <c r="AQ188" s="143">
        <f t="shared" ca="1" si="76"/>
        <v>0</v>
      </c>
      <c r="AR188" s="49" t="str">
        <f t="shared" ca="1" si="68"/>
        <v xml:space="preserve"> </v>
      </c>
      <c r="AS188" s="107">
        <f t="shared" ca="1" si="69"/>
        <v>0</v>
      </c>
      <c r="AT188" s="107">
        <f t="shared" ca="1" si="70"/>
        <v>0</v>
      </c>
      <c r="AU188" s="107"/>
      <c r="AV188" s="107">
        <f ca="1">MAX(SUM($AQ$6:AQ188)-SUM($AT$6:AT188),0)</f>
        <v>0</v>
      </c>
      <c r="AW188" s="107">
        <f t="shared" ca="1" si="89"/>
        <v>0</v>
      </c>
      <c r="AX188" s="107">
        <v>0</v>
      </c>
      <c r="AY188" s="138" t="str">
        <f t="shared" ca="1" si="71"/>
        <v xml:space="preserve"> </v>
      </c>
      <c r="AZ188" s="107">
        <f t="shared" ca="1" si="72"/>
        <v>0</v>
      </c>
      <c r="BA188" s="107">
        <f ca="1">IF(AZ188=1,(SUM($AW$6:AW188,$AX$6:AX188)-SUM($BA$6:BA187)),0)</f>
        <v>0</v>
      </c>
      <c r="BB188" s="107"/>
      <c r="BC188" s="107">
        <f ca="1">AV188+SUM($AW$6:AW188)+SUM($AX$6:AX188)-SUM($BA$6:BA188)</f>
        <v>0</v>
      </c>
      <c r="BD188" s="107">
        <f t="shared" ca="1" si="77"/>
        <v>0</v>
      </c>
      <c r="BE188" s="51">
        <f ca="1">'PiT PD Structure'!J228</f>
        <v>9.0653496508386056E-5</v>
      </c>
      <c r="BF188" s="139">
        <f t="shared" ca="1" si="90"/>
        <v>0.45</v>
      </c>
      <c r="BG188" s="51">
        <f t="shared" ca="1" si="78"/>
        <v>1</v>
      </c>
      <c r="BH188" s="50">
        <f t="shared" ca="1" si="73"/>
        <v>0</v>
      </c>
      <c r="BI188" s="50">
        <f t="shared" ca="1" si="94"/>
        <v>3.4816594052244909E-13</v>
      </c>
      <c r="BJ188" s="140">
        <v>0</v>
      </c>
      <c r="BK188" s="140">
        <v>0</v>
      </c>
      <c r="BM188" s="78"/>
      <c r="BR188" s="75">
        <f t="shared" ca="1" si="65"/>
        <v>49003</v>
      </c>
      <c r="BS188" s="74">
        <f t="shared" ca="1" si="79"/>
        <v>2</v>
      </c>
      <c r="BT188" s="74">
        <f t="shared" ca="1" si="80"/>
        <v>0</v>
      </c>
      <c r="BU188" s="73" t="str">
        <f t="shared" ca="1" si="81"/>
        <v xml:space="preserve"> </v>
      </c>
      <c r="BW188" s="75">
        <f t="shared" ca="1" si="91"/>
        <v>49003</v>
      </c>
      <c r="BX188" s="74">
        <f t="shared" ca="1" si="92"/>
        <v>2</v>
      </c>
      <c r="BY188" s="74">
        <f t="shared" ca="1" si="82"/>
        <v>0</v>
      </c>
      <c r="BZ188" s="73" t="str">
        <f t="shared" ca="1" si="83"/>
        <v xml:space="preserve"> </v>
      </c>
      <c r="CB188" s="75">
        <f t="shared" ca="1" si="93"/>
        <v>49003</v>
      </c>
      <c r="CC188" s="74">
        <f t="shared" ca="1" si="84"/>
        <v>2</v>
      </c>
      <c r="CD188" s="74">
        <f t="shared" ca="1" si="85"/>
        <v>0</v>
      </c>
      <c r="CE188" s="73" t="str">
        <f t="shared" ca="1" si="86"/>
        <v xml:space="preserve"> </v>
      </c>
    </row>
    <row r="189" spans="1:83" x14ac:dyDescent="0.2">
      <c r="A189" s="38" t="str">
        <f t="shared" si="96"/>
        <v xml:space="preserve"> </v>
      </c>
      <c r="B189" s="108"/>
      <c r="C189" s="38"/>
      <c r="D189" s="137"/>
      <c r="E189" s="137"/>
      <c r="F189" s="137"/>
      <c r="G189" s="122"/>
      <c r="H189" s="137"/>
      <c r="I189" s="50"/>
      <c r="J189" s="50"/>
      <c r="K189" s="50"/>
      <c r="L189" s="38"/>
      <c r="M189" s="38"/>
      <c r="N189" s="38"/>
      <c r="O189" s="50"/>
      <c r="P189" s="218"/>
      <c r="Q189" s="50"/>
      <c r="R189" s="50"/>
      <c r="S189" s="38"/>
      <c r="T189" s="51"/>
      <c r="U189" s="65"/>
      <c r="V189" s="105"/>
      <c r="W189" s="66"/>
      <c r="X189" s="66"/>
      <c r="Y189" s="38"/>
      <c r="Z189" s="66">
        <f t="shared" si="66"/>
        <v>0</v>
      </c>
      <c r="AA189" s="67"/>
      <c r="AC189" s="41" t="e">
        <f>VLOOKUP(A189,'Input Sheet'!$A$2:$B$232,2,0)</f>
        <v>#N/A</v>
      </c>
      <c r="AD189" s="70"/>
      <c r="AI189" s="68"/>
      <c r="AL189" s="107">
        <f t="shared" ca="1" si="87"/>
        <v>0</v>
      </c>
      <c r="AM189" s="49">
        <f t="shared" ca="1" si="88"/>
        <v>49034</v>
      </c>
      <c r="AN189" s="137" t="str">
        <f t="shared" ca="1" si="74"/>
        <v xml:space="preserve"> </v>
      </c>
      <c r="AO189" s="107">
        <f t="shared" ca="1" si="75"/>
        <v>0</v>
      </c>
      <c r="AP189" s="143">
        <f t="shared" ca="1" si="67"/>
        <v>0</v>
      </c>
      <c r="AQ189" s="143">
        <f t="shared" ca="1" si="76"/>
        <v>0</v>
      </c>
      <c r="AR189" s="49" t="str">
        <f t="shared" ca="1" si="68"/>
        <v xml:space="preserve"> </v>
      </c>
      <c r="AS189" s="107">
        <f t="shared" ca="1" si="69"/>
        <v>0</v>
      </c>
      <c r="AT189" s="107">
        <f t="shared" ca="1" si="70"/>
        <v>0</v>
      </c>
      <c r="AU189" s="107"/>
      <c r="AV189" s="107">
        <f ca="1">MAX(SUM($AQ$6:AQ189)-SUM($AT$6:AT189),0)</f>
        <v>0</v>
      </c>
      <c r="AW189" s="107">
        <f t="shared" ca="1" si="89"/>
        <v>0</v>
      </c>
      <c r="AX189" s="107">
        <v>0</v>
      </c>
      <c r="AY189" s="138" t="str">
        <f t="shared" ca="1" si="71"/>
        <v xml:space="preserve"> </v>
      </c>
      <c r="AZ189" s="107">
        <f t="shared" ca="1" si="72"/>
        <v>0</v>
      </c>
      <c r="BA189" s="107">
        <f ca="1">IF(AZ189=1,(SUM($AW$6:AW189,$AX$6:AX189)-SUM($BA$6:BA188)),0)</f>
        <v>0</v>
      </c>
      <c r="BB189" s="107"/>
      <c r="BC189" s="107">
        <f ca="1">AV189+SUM($AW$6:AW189)+SUM($AX$6:AX189)-SUM($BA$6:BA189)</f>
        <v>0</v>
      </c>
      <c r="BD189" s="107">
        <f t="shared" ca="1" si="77"/>
        <v>0</v>
      </c>
      <c r="BE189" s="51">
        <f ca="1">'PiT PD Structure'!J229</f>
        <v>9.0645066398775676E-5</v>
      </c>
      <c r="BF189" s="139">
        <f t="shared" ca="1" si="90"/>
        <v>0.45</v>
      </c>
      <c r="BG189" s="51">
        <f t="shared" ca="1" si="78"/>
        <v>1</v>
      </c>
      <c r="BH189" s="50">
        <f t="shared" ca="1" si="73"/>
        <v>0</v>
      </c>
      <c r="BI189" s="50">
        <f t="shared" ca="1" si="94"/>
        <v>3.4816594052244909E-13</v>
      </c>
      <c r="BJ189" s="140">
        <v>0</v>
      </c>
      <c r="BK189" s="140">
        <v>0</v>
      </c>
      <c r="BM189" s="78"/>
      <c r="BR189" s="75">
        <f t="shared" ca="1" si="65"/>
        <v>49034</v>
      </c>
      <c r="BS189" s="74">
        <f t="shared" ca="1" si="79"/>
        <v>3</v>
      </c>
      <c r="BT189" s="74">
        <f t="shared" ca="1" si="80"/>
        <v>0</v>
      </c>
      <c r="BU189" s="73" t="str">
        <f t="shared" ca="1" si="81"/>
        <v xml:space="preserve"> </v>
      </c>
      <c r="BW189" s="75">
        <f t="shared" ca="1" si="91"/>
        <v>49034</v>
      </c>
      <c r="BX189" s="74">
        <f t="shared" ca="1" si="92"/>
        <v>3</v>
      </c>
      <c r="BY189" s="74">
        <f t="shared" ca="1" si="82"/>
        <v>0</v>
      </c>
      <c r="BZ189" s="73" t="str">
        <f t="shared" ca="1" si="83"/>
        <v xml:space="preserve"> </v>
      </c>
      <c r="CB189" s="75">
        <f t="shared" ca="1" si="93"/>
        <v>49034</v>
      </c>
      <c r="CC189" s="74">
        <f t="shared" ca="1" si="84"/>
        <v>3</v>
      </c>
      <c r="CD189" s="74">
        <f t="shared" ca="1" si="85"/>
        <v>0</v>
      </c>
      <c r="CE189" s="73" t="str">
        <f t="shared" ca="1" si="86"/>
        <v xml:space="preserve"> </v>
      </c>
    </row>
    <row r="190" spans="1:83" x14ac:dyDescent="0.2">
      <c r="A190" s="38" t="str">
        <f t="shared" si="96"/>
        <v xml:space="preserve"> </v>
      </c>
      <c r="B190" s="108"/>
      <c r="C190" s="38"/>
      <c r="D190" s="137"/>
      <c r="E190" s="137"/>
      <c r="F190" s="137"/>
      <c r="G190" s="122"/>
      <c r="H190" s="137"/>
      <c r="I190" s="50"/>
      <c r="J190" s="50"/>
      <c r="K190" s="50"/>
      <c r="L190" s="38"/>
      <c r="M190" s="38"/>
      <c r="N190" s="38"/>
      <c r="O190" s="50"/>
      <c r="P190" s="218"/>
      <c r="Q190" s="50"/>
      <c r="R190" s="50"/>
      <c r="S190" s="38"/>
      <c r="T190" s="51"/>
      <c r="U190" s="65"/>
      <c r="V190" s="105"/>
      <c r="W190" s="66"/>
      <c r="X190" s="66"/>
      <c r="Y190" s="38"/>
      <c r="Z190" s="66">
        <f t="shared" si="66"/>
        <v>0</v>
      </c>
      <c r="AA190" s="67"/>
      <c r="AC190" s="41" t="e">
        <f>VLOOKUP(A190,'Input Sheet'!$A$2:$B$232,2,0)</f>
        <v>#N/A</v>
      </c>
      <c r="AD190" s="70"/>
      <c r="AI190" s="68"/>
      <c r="AL190" s="107">
        <f t="shared" ca="1" si="87"/>
        <v>0</v>
      </c>
      <c r="AM190" s="49">
        <f t="shared" ca="1" si="88"/>
        <v>49064</v>
      </c>
      <c r="AN190" s="137" t="str">
        <f t="shared" ca="1" si="74"/>
        <v xml:space="preserve"> </v>
      </c>
      <c r="AO190" s="107">
        <f t="shared" ca="1" si="75"/>
        <v>0</v>
      </c>
      <c r="AP190" s="143">
        <f t="shared" ca="1" si="67"/>
        <v>0</v>
      </c>
      <c r="AQ190" s="143">
        <f t="shared" ca="1" si="76"/>
        <v>0</v>
      </c>
      <c r="AR190" s="49" t="str">
        <f t="shared" ca="1" si="68"/>
        <v xml:space="preserve"> </v>
      </c>
      <c r="AS190" s="107">
        <f t="shared" ca="1" si="69"/>
        <v>0</v>
      </c>
      <c r="AT190" s="107">
        <f t="shared" ca="1" si="70"/>
        <v>0</v>
      </c>
      <c r="AU190" s="107"/>
      <c r="AV190" s="107">
        <f ca="1">MAX(SUM($AQ$6:AQ190)-SUM($AT$6:AT190),0)</f>
        <v>0</v>
      </c>
      <c r="AW190" s="107">
        <f t="shared" ca="1" si="89"/>
        <v>0</v>
      </c>
      <c r="AX190" s="107">
        <v>0</v>
      </c>
      <c r="AY190" s="138" t="str">
        <f t="shared" ca="1" si="71"/>
        <v xml:space="preserve"> </v>
      </c>
      <c r="AZ190" s="107">
        <f t="shared" ca="1" si="72"/>
        <v>0</v>
      </c>
      <c r="BA190" s="107">
        <f ca="1">IF(AZ190=1,(SUM($AW$6:AW190,$AX$6:AX190)-SUM($BA$6:BA189)),0)</f>
        <v>0</v>
      </c>
      <c r="BB190" s="107"/>
      <c r="BC190" s="107">
        <f ca="1">AV190+SUM($AW$6:AW190)+SUM($AX$6:AX190)-SUM($BA$6:BA190)</f>
        <v>0</v>
      </c>
      <c r="BD190" s="107">
        <f t="shared" ca="1" si="77"/>
        <v>0</v>
      </c>
      <c r="BE190" s="51">
        <f ca="1">'PiT PD Structure'!J230</f>
        <v>9.063663707342684E-5</v>
      </c>
      <c r="BF190" s="139">
        <f t="shared" ca="1" si="90"/>
        <v>0.45</v>
      </c>
      <c r="BG190" s="51">
        <f t="shared" ca="1" si="78"/>
        <v>1</v>
      </c>
      <c r="BH190" s="50">
        <f t="shared" ca="1" si="73"/>
        <v>0</v>
      </c>
      <c r="BI190" s="50">
        <f t="shared" ca="1" si="94"/>
        <v>3.4816594052244909E-13</v>
      </c>
      <c r="BJ190" s="140">
        <v>0</v>
      </c>
      <c r="BK190" s="140">
        <v>0</v>
      </c>
      <c r="BM190" s="78"/>
      <c r="BR190" s="75">
        <f t="shared" ca="1" si="65"/>
        <v>49064</v>
      </c>
      <c r="BS190" s="74">
        <f t="shared" ca="1" si="79"/>
        <v>4</v>
      </c>
      <c r="BT190" s="74">
        <f t="shared" ca="1" si="80"/>
        <v>0</v>
      </c>
      <c r="BU190" s="73" t="str">
        <f t="shared" ca="1" si="81"/>
        <v xml:space="preserve"> </v>
      </c>
      <c r="BW190" s="75">
        <f t="shared" ca="1" si="91"/>
        <v>49064</v>
      </c>
      <c r="BX190" s="74">
        <f t="shared" ca="1" si="92"/>
        <v>4</v>
      </c>
      <c r="BY190" s="74">
        <f t="shared" ca="1" si="82"/>
        <v>0</v>
      </c>
      <c r="BZ190" s="73" t="str">
        <f t="shared" ca="1" si="83"/>
        <v xml:space="preserve"> </v>
      </c>
      <c r="CB190" s="75">
        <f t="shared" ca="1" si="93"/>
        <v>49064</v>
      </c>
      <c r="CC190" s="74">
        <f t="shared" ca="1" si="84"/>
        <v>4</v>
      </c>
      <c r="CD190" s="74">
        <f t="shared" ca="1" si="85"/>
        <v>0</v>
      </c>
      <c r="CE190" s="73" t="str">
        <f t="shared" ca="1" si="86"/>
        <v xml:space="preserve"> </v>
      </c>
    </row>
    <row r="191" spans="1:83" x14ac:dyDescent="0.2">
      <c r="A191" s="38" t="str">
        <f t="shared" si="96"/>
        <v xml:space="preserve"> </v>
      </c>
      <c r="B191" s="108"/>
      <c r="C191" s="38"/>
      <c r="D191" s="137"/>
      <c r="E191" s="137"/>
      <c r="F191" s="137"/>
      <c r="G191" s="122"/>
      <c r="H191" s="137"/>
      <c r="I191" s="50"/>
      <c r="J191" s="50"/>
      <c r="K191" s="50"/>
      <c r="L191" s="38"/>
      <c r="M191" s="38"/>
      <c r="N191" s="38"/>
      <c r="O191" s="50"/>
      <c r="P191" s="218"/>
      <c r="Q191" s="50"/>
      <c r="R191" s="50"/>
      <c r="S191" s="38"/>
      <c r="T191" s="51"/>
      <c r="U191" s="65"/>
      <c r="V191" s="105"/>
      <c r="W191" s="66"/>
      <c r="X191" s="66"/>
      <c r="Y191" s="38"/>
      <c r="Z191" s="66">
        <f t="shared" si="66"/>
        <v>0</v>
      </c>
      <c r="AA191" s="67"/>
      <c r="AC191" s="41" t="e">
        <f>VLOOKUP(A191,'Input Sheet'!$A$2:$B$232,2,0)</f>
        <v>#N/A</v>
      </c>
      <c r="AD191" s="70"/>
      <c r="AI191" s="68"/>
      <c r="AL191" s="107">
        <f t="shared" ca="1" si="87"/>
        <v>0</v>
      </c>
      <c r="AM191" s="49">
        <f t="shared" ca="1" si="88"/>
        <v>49095</v>
      </c>
      <c r="AN191" s="137" t="str">
        <f t="shared" ca="1" si="74"/>
        <v xml:space="preserve"> </v>
      </c>
      <c r="AO191" s="107">
        <f t="shared" ca="1" si="75"/>
        <v>0</v>
      </c>
      <c r="AP191" s="143">
        <f t="shared" ca="1" si="67"/>
        <v>0</v>
      </c>
      <c r="AQ191" s="143">
        <f t="shared" ca="1" si="76"/>
        <v>0</v>
      </c>
      <c r="AR191" s="49" t="str">
        <f t="shared" ca="1" si="68"/>
        <v xml:space="preserve"> </v>
      </c>
      <c r="AS191" s="107">
        <f t="shared" ca="1" si="69"/>
        <v>0</v>
      </c>
      <c r="AT191" s="107">
        <f t="shared" ca="1" si="70"/>
        <v>0</v>
      </c>
      <c r="AU191" s="107"/>
      <c r="AV191" s="107">
        <f ca="1">MAX(SUM($AQ$6:AQ191)-SUM($AT$6:AT191),0)</f>
        <v>0</v>
      </c>
      <c r="AW191" s="107">
        <f t="shared" ca="1" si="89"/>
        <v>0</v>
      </c>
      <c r="AX191" s="107">
        <v>0</v>
      </c>
      <c r="AY191" s="138" t="str">
        <f t="shared" ca="1" si="71"/>
        <v xml:space="preserve"> </v>
      </c>
      <c r="AZ191" s="107">
        <f t="shared" ca="1" si="72"/>
        <v>0</v>
      </c>
      <c r="BA191" s="107">
        <f ca="1">IF(AZ191=1,(SUM($AW$6:AW191,$AX$6:AX191)-SUM($BA$6:BA190)),0)</f>
        <v>0</v>
      </c>
      <c r="BB191" s="107"/>
      <c r="BC191" s="107">
        <f ca="1">AV191+SUM($AW$6:AW191)+SUM($AX$6:AX191)-SUM($BA$6:BA191)</f>
        <v>0</v>
      </c>
      <c r="BD191" s="107">
        <f t="shared" ca="1" si="77"/>
        <v>0</v>
      </c>
      <c r="BE191" s="51">
        <f ca="1">'PiT PD Structure'!J231</f>
        <v>9.062820853189546E-5</v>
      </c>
      <c r="BF191" s="139">
        <f t="shared" ca="1" si="90"/>
        <v>0.45</v>
      </c>
      <c r="BG191" s="51">
        <f t="shared" ca="1" si="78"/>
        <v>1</v>
      </c>
      <c r="BH191" s="50">
        <f t="shared" ca="1" si="73"/>
        <v>0</v>
      </c>
      <c r="BI191" s="50">
        <f t="shared" ca="1" si="94"/>
        <v>3.4816594052244909E-13</v>
      </c>
      <c r="BJ191" s="140">
        <v>0</v>
      </c>
      <c r="BK191" s="140">
        <v>0</v>
      </c>
      <c r="BM191" s="78"/>
      <c r="BR191" s="75">
        <f t="shared" ca="1" si="65"/>
        <v>49095</v>
      </c>
      <c r="BS191" s="74">
        <f t="shared" ca="1" si="79"/>
        <v>5</v>
      </c>
      <c r="BT191" s="74">
        <f t="shared" ca="1" si="80"/>
        <v>0</v>
      </c>
      <c r="BU191" s="73" t="str">
        <f t="shared" ca="1" si="81"/>
        <v xml:space="preserve"> </v>
      </c>
      <c r="BW191" s="75">
        <f t="shared" ca="1" si="91"/>
        <v>49095</v>
      </c>
      <c r="BX191" s="74">
        <f t="shared" ca="1" si="92"/>
        <v>5</v>
      </c>
      <c r="BY191" s="74">
        <f t="shared" ca="1" si="82"/>
        <v>0</v>
      </c>
      <c r="BZ191" s="73" t="str">
        <f t="shared" ca="1" si="83"/>
        <v xml:space="preserve"> </v>
      </c>
      <c r="CB191" s="75">
        <f t="shared" ca="1" si="93"/>
        <v>49095</v>
      </c>
      <c r="CC191" s="74">
        <f t="shared" ca="1" si="84"/>
        <v>5</v>
      </c>
      <c r="CD191" s="74">
        <f t="shared" ca="1" si="85"/>
        <v>0</v>
      </c>
      <c r="CE191" s="73" t="str">
        <f t="shared" ca="1" si="86"/>
        <v xml:space="preserve"> </v>
      </c>
    </row>
    <row r="192" spans="1:83" x14ac:dyDescent="0.2">
      <c r="A192" s="38" t="str">
        <f t="shared" si="96"/>
        <v xml:space="preserve"> </v>
      </c>
      <c r="B192" s="108"/>
      <c r="C192" s="38"/>
      <c r="D192" s="137"/>
      <c r="E192" s="137"/>
      <c r="F192" s="137"/>
      <c r="G192" s="122"/>
      <c r="H192" s="137"/>
      <c r="I192" s="50"/>
      <c r="J192" s="50"/>
      <c r="K192" s="50"/>
      <c r="L192" s="38"/>
      <c r="M192" s="38"/>
      <c r="N192" s="38"/>
      <c r="O192" s="50"/>
      <c r="P192" s="218"/>
      <c r="Q192" s="50"/>
      <c r="R192" s="50"/>
      <c r="S192" s="38"/>
      <c r="T192" s="51"/>
      <c r="U192" s="65"/>
      <c r="V192" s="105"/>
      <c r="W192" s="66"/>
      <c r="X192" s="66"/>
      <c r="Y192" s="38"/>
      <c r="Z192" s="66">
        <f t="shared" si="66"/>
        <v>0</v>
      </c>
      <c r="AA192" s="67"/>
      <c r="AC192" s="41" t="e">
        <f>VLOOKUP(A192,'Input Sheet'!$A$2:$B$232,2,0)</f>
        <v>#N/A</v>
      </c>
      <c r="AD192" s="70"/>
      <c r="AI192" s="68"/>
      <c r="AL192" s="107">
        <f t="shared" ca="1" si="87"/>
        <v>0</v>
      </c>
      <c r="AM192" s="49">
        <f t="shared" ca="1" si="88"/>
        <v>49125</v>
      </c>
      <c r="AN192" s="137" t="str">
        <f t="shared" ca="1" si="74"/>
        <v xml:space="preserve"> </v>
      </c>
      <c r="AO192" s="107">
        <f t="shared" ca="1" si="75"/>
        <v>0</v>
      </c>
      <c r="AP192" s="143">
        <f t="shared" ca="1" si="67"/>
        <v>0</v>
      </c>
      <c r="AQ192" s="143">
        <f t="shared" ca="1" si="76"/>
        <v>0</v>
      </c>
      <c r="AR192" s="49" t="str">
        <f t="shared" ca="1" si="68"/>
        <v xml:space="preserve"> </v>
      </c>
      <c r="AS192" s="107">
        <f t="shared" ca="1" si="69"/>
        <v>0</v>
      </c>
      <c r="AT192" s="107">
        <f t="shared" ca="1" si="70"/>
        <v>0</v>
      </c>
      <c r="AU192" s="107"/>
      <c r="AV192" s="107">
        <f ca="1">MAX(SUM($AQ$6:AQ192)-SUM($AT$6:AT192),0)</f>
        <v>0</v>
      </c>
      <c r="AW192" s="107">
        <f t="shared" ca="1" si="89"/>
        <v>0</v>
      </c>
      <c r="AX192" s="107">
        <v>0</v>
      </c>
      <c r="AY192" s="138" t="str">
        <f t="shared" ca="1" si="71"/>
        <v xml:space="preserve"> </v>
      </c>
      <c r="AZ192" s="107">
        <f t="shared" ca="1" si="72"/>
        <v>0</v>
      </c>
      <c r="BA192" s="107">
        <f ca="1">IF(AZ192=1,(SUM($AW$6:AW192,$AX$6:AX192)-SUM($BA$6:BA191)),0)</f>
        <v>0</v>
      </c>
      <c r="BB192" s="107"/>
      <c r="BC192" s="107">
        <f ca="1">AV192+SUM($AW$6:AW192)+SUM($AX$6:AX192)-SUM($BA$6:BA192)</f>
        <v>0</v>
      </c>
      <c r="BD192" s="107">
        <f t="shared" ca="1" si="77"/>
        <v>0</v>
      </c>
      <c r="BE192" s="51">
        <f ca="1">'PiT PD Structure'!J232</f>
        <v>9.0619780773959491E-5</v>
      </c>
      <c r="BF192" s="139">
        <f t="shared" ca="1" si="90"/>
        <v>0.45</v>
      </c>
      <c r="BG192" s="51">
        <f t="shared" ca="1" si="78"/>
        <v>1</v>
      </c>
      <c r="BH192" s="50">
        <f t="shared" ca="1" si="73"/>
        <v>0</v>
      </c>
      <c r="BI192" s="50">
        <f t="shared" ca="1" si="94"/>
        <v>3.4816594052244909E-13</v>
      </c>
      <c r="BJ192" s="140">
        <v>0</v>
      </c>
      <c r="BK192" s="140">
        <v>0</v>
      </c>
      <c r="BM192" s="78"/>
      <c r="BR192" s="75">
        <f t="shared" ca="1" si="65"/>
        <v>49125</v>
      </c>
      <c r="BS192" s="74">
        <f t="shared" ca="1" si="79"/>
        <v>6</v>
      </c>
      <c r="BT192" s="74">
        <f t="shared" ca="1" si="80"/>
        <v>0</v>
      </c>
      <c r="BU192" s="73" t="str">
        <f t="shared" ca="1" si="81"/>
        <v xml:space="preserve"> </v>
      </c>
      <c r="BW192" s="75">
        <f t="shared" ca="1" si="91"/>
        <v>49125</v>
      </c>
      <c r="BX192" s="74">
        <f t="shared" ca="1" si="92"/>
        <v>6</v>
      </c>
      <c r="BY192" s="74">
        <f t="shared" ca="1" si="82"/>
        <v>0</v>
      </c>
      <c r="BZ192" s="73" t="str">
        <f t="shared" ca="1" si="83"/>
        <v xml:space="preserve"> </v>
      </c>
      <c r="CB192" s="75">
        <f t="shared" ca="1" si="93"/>
        <v>49125</v>
      </c>
      <c r="CC192" s="74">
        <f t="shared" ca="1" si="84"/>
        <v>6</v>
      </c>
      <c r="CD192" s="74">
        <f t="shared" ca="1" si="85"/>
        <v>0</v>
      </c>
      <c r="CE192" s="73" t="str">
        <f t="shared" ca="1" si="86"/>
        <v xml:space="preserve"> </v>
      </c>
    </row>
    <row r="193" spans="1:83" x14ac:dyDescent="0.2">
      <c r="A193" s="38" t="str">
        <f t="shared" si="96"/>
        <v xml:space="preserve"> </v>
      </c>
      <c r="B193" s="108"/>
      <c r="C193" s="38"/>
      <c r="D193" s="137"/>
      <c r="E193" s="137"/>
      <c r="F193" s="137"/>
      <c r="G193" s="122"/>
      <c r="H193" s="137"/>
      <c r="I193" s="50"/>
      <c r="J193" s="50"/>
      <c r="K193" s="50"/>
      <c r="L193" s="38"/>
      <c r="M193" s="38"/>
      <c r="N193" s="38"/>
      <c r="O193" s="50"/>
      <c r="P193" s="218"/>
      <c r="Q193" s="50"/>
      <c r="R193" s="50"/>
      <c r="S193" s="38"/>
      <c r="T193" s="51"/>
      <c r="U193" s="65"/>
      <c r="V193" s="105"/>
      <c r="W193" s="66"/>
      <c r="X193" s="66"/>
      <c r="Y193" s="38"/>
      <c r="Z193" s="66">
        <f t="shared" si="66"/>
        <v>0</v>
      </c>
      <c r="AA193" s="67"/>
      <c r="AC193" s="41" t="e">
        <f>VLOOKUP(A193,'Input Sheet'!$A$2:$B$232,2,0)</f>
        <v>#N/A</v>
      </c>
      <c r="AD193" s="70"/>
      <c r="AI193" s="68"/>
      <c r="AL193" s="107">
        <f t="shared" ca="1" si="87"/>
        <v>0</v>
      </c>
      <c r="AM193" s="49">
        <f t="shared" ca="1" si="88"/>
        <v>49156</v>
      </c>
      <c r="AN193" s="137" t="str">
        <f t="shared" ca="1" si="74"/>
        <v xml:space="preserve"> </v>
      </c>
      <c r="AO193" s="107">
        <f t="shared" ca="1" si="75"/>
        <v>0</v>
      </c>
      <c r="AP193" s="143">
        <f t="shared" ca="1" si="67"/>
        <v>0</v>
      </c>
      <c r="AQ193" s="143">
        <f t="shared" ca="1" si="76"/>
        <v>0</v>
      </c>
      <c r="AR193" s="49" t="str">
        <f t="shared" ca="1" si="68"/>
        <v xml:space="preserve"> </v>
      </c>
      <c r="AS193" s="107">
        <f t="shared" ca="1" si="69"/>
        <v>0</v>
      </c>
      <c r="AT193" s="107">
        <f t="shared" ca="1" si="70"/>
        <v>0</v>
      </c>
      <c r="AU193" s="107"/>
      <c r="AV193" s="107">
        <f ca="1">MAX(SUM($AQ$6:AQ193)-SUM($AT$6:AT193),0)</f>
        <v>0</v>
      </c>
      <c r="AW193" s="107">
        <f t="shared" ca="1" si="89"/>
        <v>0</v>
      </c>
      <c r="AX193" s="107">
        <v>0</v>
      </c>
      <c r="AY193" s="138" t="str">
        <f t="shared" ca="1" si="71"/>
        <v xml:space="preserve"> </v>
      </c>
      <c r="AZ193" s="107">
        <f t="shared" ca="1" si="72"/>
        <v>0</v>
      </c>
      <c r="BA193" s="107">
        <f ca="1">IF(AZ193=1,(SUM($AW$6:AW193,$AX$6:AX193)-SUM($BA$6:BA192)),0)</f>
        <v>0</v>
      </c>
      <c r="BB193" s="107"/>
      <c r="BC193" s="107">
        <f ca="1">AV193+SUM($AW$6:AW193)+SUM($AX$6:AX193)-SUM($BA$6:BA193)</f>
        <v>0</v>
      </c>
      <c r="BD193" s="107">
        <f t="shared" ca="1" si="77"/>
        <v>0</v>
      </c>
      <c r="BE193" s="51">
        <f ca="1">'PiT PD Structure'!J233</f>
        <v>9.0611353799840977E-5</v>
      </c>
      <c r="BF193" s="139">
        <f t="shared" ca="1" si="90"/>
        <v>0.45</v>
      </c>
      <c r="BG193" s="51">
        <f t="shared" ca="1" si="78"/>
        <v>1</v>
      </c>
      <c r="BH193" s="50">
        <f t="shared" ca="1" si="73"/>
        <v>0</v>
      </c>
      <c r="BI193" s="50">
        <f t="shared" ca="1" si="94"/>
        <v>3.4816594052244909E-13</v>
      </c>
      <c r="BJ193" s="140">
        <v>0</v>
      </c>
      <c r="BK193" s="140">
        <v>0</v>
      </c>
      <c r="BM193" s="78"/>
      <c r="BR193" s="75">
        <f t="shared" ca="1" si="65"/>
        <v>49156</v>
      </c>
      <c r="BS193" s="74">
        <f t="shared" ca="1" si="79"/>
        <v>7</v>
      </c>
      <c r="BT193" s="74">
        <f t="shared" ca="1" si="80"/>
        <v>0</v>
      </c>
      <c r="BU193" s="73" t="str">
        <f t="shared" ca="1" si="81"/>
        <v xml:space="preserve"> </v>
      </c>
      <c r="BW193" s="75">
        <f t="shared" ca="1" si="91"/>
        <v>49156</v>
      </c>
      <c r="BX193" s="74">
        <f t="shared" ca="1" si="92"/>
        <v>7</v>
      </c>
      <c r="BY193" s="74">
        <f t="shared" ca="1" si="82"/>
        <v>0</v>
      </c>
      <c r="BZ193" s="73" t="str">
        <f t="shared" ca="1" si="83"/>
        <v xml:space="preserve"> </v>
      </c>
      <c r="CB193" s="75">
        <f t="shared" ca="1" si="93"/>
        <v>49156</v>
      </c>
      <c r="CC193" s="74">
        <f t="shared" ca="1" si="84"/>
        <v>7</v>
      </c>
      <c r="CD193" s="74">
        <f t="shared" ca="1" si="85"/>
        <v>0</v>
      </c>
      <c r="CE193" s="73" t="str">
        <f t="shared" ca="1" si="86"/>
        <v xml:space="preserve"> </v>
      </c>
    </row>
    <row r="194" spans="1:83" x14ac:dyDescent="0.2">
      <c r="A194" s="38" t="str">
        <f t="shared" si="96"/>
        <v xml:space="preserve"> </v>
      </c>
      <c r="B194" s="108"/>
      <c r="C194" s="38"/>
      <c r="D194" s="137"/>
      <c r="E194" s="137"/>
      <c r="F194" s="137"/>
      <c r="G194" s="122"/>
      <c r="H194" s="137"/>
      <c r="I194" s="50"/>
      <c r="J194" s="50"/>
      <c r="K194" s="50"/>
      <c r="L194" s="38"/>
      <c r="M194" s="38"/>
      <c r="N194" s="38"/>
      <c r="O194" s="50"/>
      <c r="P194" s="218"/>
      <c r="Q194" s="50"/>
      <c r="R194" s="50"/>
      <c r="S194" s="38"/>
      <c r="T194" s="51"/>
      <c r="U194" s="65"/>
      <c r="V194" s="105"/>
      <c r="W194" s="66"/>
      <c r="X194" s="66"/>
      <c r="Y194" s="38"/>
      <c r="Z194" s="66">
        <f t="shared" si="66"/>
        <v>0</v>
      </c>
      <c r="AA194" s="67"/>
      <c r="AC194" s="41" t="e">
        <f>VLOOKUP(A194,'Input Sheet'!$A$2:$B$232,2,0)</f>
        <v>#N/A</v>
      </c>
      <c r="AD194" s="70"/>
      <c r="AI194" s="68"/>
      <c r="AL194" s="107">
        <f t="shared" ca="1" si="87"/>
        <v>0</v>
      </c>
      <c r="AM194" s="49">
        <f t="shared" ca="1" si="88"/>
        <v>49187</v>
      </c>
      <c r="AN194" s="137" t="str">
        <f t="shared" ca="1" si="74"/>
        <v xml:space="preserve"> </v>
      </c>
      <c r="AO194" s="107">
        <f t="shared" ca="1" si="75"/>
        <v>0</v>
      </c>
      <c r="AP194" s="143">
        <f t="shared" ca="1" si="67"/>
        <v>0</v>
      </c>
      <c r="AQ194" s="143">
        <f t="shared" ca="1" si="76"/>
        <v>0</v>
      </c>
      <c r="AR194" s="49" t="str">
        <f t="shared" ca="1" si="68"/>
        <v xml:space="preserve"> </v>
      </c>
      <c r="AS194" s="107">
        <f t="shared" ca="1" si="69"/>
        <v>0</v>
      </c>
      <c r="AT194" s="107">
        <f t="shared" ca="1" si="70"/>
        <v>0</v>
      </c>
      <c r="AU194" s="107"/>
      <c r="AV194" s="107">
        <f ca="1">MAX(SUM($AQ$6:AQ194)-SUM($AT$6:AT194),0)</f>
        <v>0</v>
      </c>
      <c r="AW194" s="107">
        <f t="shared" ca="1" si="89"/>
        <v>0</v>
      </c>
      <c r="AX194" s="107">
        <v>0</v>
      </c>
      <c r="AY194" s="138" t="str">
        <f t="shared" ca="1" si="71"/>
        <v xml:space="preserve"> </v>
      </c>
      <c r="AZ194" s="107">
        <f t="shared" ca="1" si="72"/>
        <v>0</v>
      </c>
      <c r="BA194" s="107">
        <f ca="1">IF(AZ194=1,(SUM($AW$6:AW194,$AX$6:AX194)-SUM($BA$6:BA193)),0)</f>
        <v>0</v>
      </c>
      <c r="BB194" s="107"/>
      <c r="BC194" s="107">
        <f ca="1">AV194+SUM($AW$6:AW194)+SUM($AX$6:AX194)-SUM($BA$6:BA194)</f>
        <v>0</v>
      </c>
      <c r="BD194" s="107">
        <f t="shared" ca="1" si="77"/>
        <v>0</v>
      </c>
      <c r="BE194" s="51">
        <f ca="1">'PiT PD Structure'!J234</f>
        <v>9.0602927609317874E-5</v>
      </c>
      <c r="BF194" s="139">
        <f t="shared" ca="1" si="90"/>
        <v>0.45</v>
      </c>
      <c r="BG194" s="51">
        <f t="shared" ca="1" si="78"/>
        <v>1</v>
      </c>
      <c r="BH194" s="50">
        <f t="shared" ca="1" si="73"/>
        <v>0</v>
      </c>
      <c r="BI194" s="50">
        <f t="shared" ca="1" si="94"/>
        <v>3.4816594052244909E-13</v>
      </c>
      <c r="BJ194" s="140">
        <v>0</v>
      </c>
      <c r="BK194" s="140">
        <v>0</v>
      </c>
      <c r="BM194" s="78"/>
      <c r="BR194" s="75">
        <f t="shared" ca="1" si="65"/>
        <v>49187</v>
      </c>
      <c r="BS194" s="74">
        <f t="shared" ca="1" si="79"/>
        <v>8</v>
      </c>
      <c r="BT194" s="74">
        <f t="shared" ca="1" si="80"/>
        <v>0</v>
      </c>
      <c r="BU194" s="73" t="str">
        <f t="shared" ca="1" si="81"/>
        <v xml:space="preserve"> </v>
      </c>
      <c r="BW194" s="75">
        <f t="shared" ca="1" si="91"/>
        <v>49187</v>
      </c>
      <c r="BX194" s="74">
        <f t="shared" ca="1" si="92"/>
        <v>8</v>
      </c>
      <c r="BY194" s="74">
        <f t="shared" ca="1" si="82"/>
        <v>0</v>
      </c>
      <c r="BZ194" s="73" t="str">
        <f t="shared" ca="1" si="83"/>
        <v xml:space="preserve"> </v>
      </c>
      <c r="CB194" s="75">
        <f t="shared" ca="1" si="93"/>
        <v>49187</v>
      </c>
      <c r="CC194" s="74">
        <f t="shared" ca="1" si="84"/>
        <v>8</v>
      </c>
      <c r="CD194" s="74">
        <f t="shared" ca="1" si="85"/>
        <v>0</v>
      </c>
      <c r="CE194" s="73" t="str">
        <f t="shared" ca="1" si="86"/>
        <v xml:space="preserve"> </v>
      </c>
    </row>
    <row r="195" spans="1:83" x14ac:dyDescent="0.2">
      <c r="A195" s="38" t="str">
        <f t="shared" si="96"/>
        <v xml:space="preserve"> </v>
      </c>
      <c r="B195" s="108"/>
      <c r="C195" s="38"/>
      <c r="D195" s="137"/>
      <c r="E195" s="137"/>
      <c r="F195" s="137"/>
      <c r="G195" s="122"/>
      <c r="H195" s="137"/>
      <c r="I195" s="50"/>
      <c r="J195" s="50"/>
      <c r="K195" s="50"/>
      <c r="L195" s="38"/>
      <c r="M195" s="38"/>
      <c r="N195" s="38"/>
      <c r="O195" s="50"/>
      <c r="P195" s="218"/>
      <c r="Q195" s="50"/>
      <c r="R195" s="50"/>
      <c r="S195" s="38"/>
      <c r="T195" s="51"/>
      <c r="U195" s="65"/>
      <c r="V195" s="105"/>
      <c r="W195" s="66"/>
      <c r="X195" s="66"/>
      <c r="Y195" s="38"/>
      <c r="Z195" s="66">
        <f t="shared" si="66"/>
        <v>0</v>
      </c>
      <c r="AA195" s="67"/>
      <c r="AC195" s="41" t="e">
        <f>VLOOKUP(A195,'Input Sheet'!$A$2:$B$232,2,0)</f>
        <v>#N/A</v>
      </c>
      <c r="AD195" s="70"/>
      <c r="AI195" s="68"/>
      <c r="AL195" s="107">
        <f t="shared" ca="1" si="87"/>
        <v>0</v>
      </c>
      <c r="AM195" s="49">
        <f t="shared" ca="1" si="88"/>
        <v>49217</v>
      </c>
      <c r="AN195" s="137" t="str">
        <f t="shared" ca="1" si="74"/>
        <v xml:space="preserve"> </v>
      </c>
      <c r="AO195" s="107">
        <f t="shared" ca="1" si="75"/>
        <v>0</v>
      </c>
      <c r="AP195" s="143">
        <f t="shared" ca="1" si="67"/>
        <v>0</v>
      </c>
      <c r="AQ195" s="143">
        <f t="shared" ca="1" si="76"/>
        <v>0</v>
      </c>
      <c r="AR195" s="49" t="str">
        <f t="shared" ca="1" si="68"/>
        <v xml:space="preserve"> </v>
      </c>
      <c r="AS195" s="107">
        <f t="shared" ca="1" si="69"/>
        <v>0</v>
      </c>
      <c r="AT195" s="107">
        <f t="shared" ca="1" si="70"/>
        <v>0</v>
      </c>
      <c r="AU195" s="107"/>
      <c r="AV195" s="107">
        <f ca="1">MAX(SUM($AQ$6:AQ195)-SUM($AT$6:AT195),0)</f>
        <v>0</v>
      </c>
      <c r="AW195" s="107">
        <f t="shared" ca="1" si="89"/>
        <v>0</v>
      </c>
      <c r="AX195" s="107">
        <v>0</v>
      </c>
      <c r="AY195" s="138" t="str">
        <f t="shared" ca="1" si="71"/>
        <v xml:space="preserve"> </v>
      </c>
      <c r="AZ195" s="107">
        <f t="shared" ca="1" si="72"/>
        <v>0</v>
      </c>
      <c r="BA195" s="107">
        <f ca="1">IF(AZ195=1,(SUM($AW$6:AW195,$AX$6:AX195)-SUM($BA$6:BA194)),0)</f>
        <v>0</v>
      </c>
      <c r="BB195" s="107"/>
      <c r="BC195" s="107">
        <f ca="1">AV195+SUM($AW$6:AW195)+SUM($AX$6:AX195)-SUM($BA$6:BA195)</f>
        <v>0</v>
      </c>
      <c r="BD195" s="107">
        <f t="shared" ca="1" si="77"/>
        <v>0</v>
      </c>
      <c r="BE195" s="51">
        <f ca="1">'PiT PD Structure'!J235</f>
        <v>9.0594502202612226E-5</v>
      </c>
      <c r="BF195" s="139">
        <f t="shared" ca="1" si="90"/>
        <v>0.45</v>
      </c>
      <c r="BG195" s="51">
        <f t="shared" ca="1" si="78"/>
        <v>1</v>
      </c>
      <c r="BH195" s="50">
        <f t="shared" ca="1" si="73"/>
        <v>0</v>
      </c>
      <c r="BI195" s="50">
        <f t="shared" ca="1" si="94"/>
        <v>3.4816594052244909E-13</v>
      </c>
      <c r="BJ195" s="140">
        <v>0</v>
      </c>
      <c r="BK195" s="140">
        <v>0</v>
      </c>
      <c r="BM195" s="78"/>
      <c r="BR195" s="75">
        <f t="shared" ref="BR195:BR258" ca="1" si="97">EOMONTH(BR194,1)</f>
        <v>49217</v>
      </c>
      <c r="BS195" s="74">
        <f t="shared" ca="1" si="79"/>
        <v>9</v>
      </c>
      <c r="BT195" s="74">
        <f t="shared" ca="1" si="80"/>
        <v>0</v>
      </c>
      <c r="BU195" s="73" t="str">
        <f t="shared" ca="1" si="81"/>
        <v xml:space="preserve"> </v>
      </c>
      <c r="BW195" s="75">
        <f t="shared" ca="1" si="91"/>
        <v>49217</v>
      </c>
      <c r="BX195" s="74">
        <f t="shared" ca="1" si="92"/>
        <v>9</v>
      </c>
      <c r="BY195" s="74">
        <f t="shared" ca="1" si="82"/>
        <v>0</v>
      </c>
      <c r="BZ195" s="73" t="str">
        <f t="shared" ca="1" si="83"/>
        <v xml:space="preserve"> </v>
      </c>
      <c r="CB195" s="75">
        <f t="shared" ca="1" si="93"/>
        <v>49217</v>
      </c>
      <c r="CC195" s="74">
        <f t="shared" ca="1" si="84"/>
        <v>9</v>
      </c>
      <c r="CD195" s="74">
        <f t="shared" ca="1" si="85"/>
        <v>0</v>
      </c>
      <c r="CE195" s="73" t="str">
        <f t="shared" ca="1" si="86"/>
        <v xml:space="preserve"> </v>
      </c>
    </row>
    <row r="196" spans="1:83" x14ac:dyDescent="0.2">
      <c r="A196" s="38" t="str">
        <f t="shared" si="96"/>
        <v xml:space="preserve"> </v>
      </c>
      <c r="B196" s="108"/>
      <c r="C196" s="38"/>
      <c r="D196" s="137"/>
      <c r="E196" s="137"/>
      <c r="F196" s="137"/>
      <c r="G196" s="122"/>
      <c r="H196" s="137"/>
      <c r="I196" s="50"/>
      <c r="J196" s="50"/>
      <c r="K196" s="50"/>
      <c r="L196" s="38"/>
      <c r="M196" s="38"/>
      <c r="N196" s="38"/>
      <c r="O196" s="50"/>
      <c r="P196" s="218"/>
      <c r="Q196" s="50"/>
      <c r="R196" s="50"/>
      <c r="S196" s="38"/>
      <c r="T196" s="51"/>
      <c r="U196" s="65"/>
      <c r="V196" s="105"/>
      <c r="W196" s="66"/>
      <c r="X196" s="66"/>
      <c r="Y196" s="38"/>
      <c r="Z196" s="66">
        <f t="shared" si="66"/>
        <v>0</v>
      </c>
      <c r="AA196" s="67"/>
      <c r="AC196" s="41" t="e">
        <f>VLOOKUP(A196,'Input Sheet'!$A$2:$B$232,2,0)</f>
        <v>#N/A</v>
      </c>
      <c r="AD196" s="70"/>
      <c r="AI196" s="68"/>
      <c r="AL196" s="107">
        <f t="shared" ca="1" si="87"/>
        <v>0</v>
      </c>
      <c r="AM196" s="49">
        <f t="shared" ca="1" si="88"/>
        <v>49248</v>
      </c>
      <c r="AN196" s="137" t="str">
        <f t="shared" ca="1" si="74"/>
        <v xml:space="preserve"> </v>
      </c>
      <c r="AO196" s="107">
        <f t="shared" ca="1" si="75"/>
        <v>0</v>
      </c>
      <c r="AP196" s="143">
        <f t="shared" ca="1" si="67"/>
        <v>0</v>
      </c>
      <c r="AQ196" s="143">
        <f t="shared" ca="1" si="76"/>
        <v>0</v>
      </c>
      <c r="AR196" s="49" t="str">
        <f t="shared" ca="1" si="68"/>
        <v xml:space="preserve"> </v>
      </c>
      <c r="AS196" s="107">
        <f t="shared" ca="1" si="69"/>
        <v>0</v>
      </c>
      <c r="AT196" s="107">
        <f t="shared" ca="1" si="70"/>
        <v>0</v>
      </c>
      <c r="AU196" s="107"/>
      <c r="AV196" s="107">
        <f ca="1">MAX(SUM($AQ$6:AQ196)-SUM($AT$6:AT196),0)</f>
        <v>0</v>
      </c>
      <c r="AW196" s="107">
        <f t="shared" ca="1" si="89"/>
        <v>0</v>
      </c>
      <c r="AX196" s="107">
        <v>0</v>
      </c>
      <c r="AY196" s="138" t="str">
        <f t="shared" ca="1" si="71"/>
        <v xml:space="preserve"> </v>
      </c>
      <c r="AZ196" s="107">
        <f t="shared" ca="1" si="72"/>
        <v>0</v>
      </c>
      <c r="BA196" s="107">
        <f ca="1">IF(AZ196=1,(SUM($AW$6:AW196,$AX$6:AX196)-SUM($BA$6:BA195)),0)</f>
        <v>0</v>
      </c>
      <c r="BB196" s="107"/>
      <c r="BC196" s="107">
        <f ca="1">AV196+SUM($AW$6:AW196)+SUM($AX$6:AX196)-SUM($BA$6:BA196)</f>
        <v>0</v>
      </c>
      <c r="BD196" s="107">
        <f t="shared" ca="1" si="77"/>
        <v>0</v>
      </c>
      <c r="BE196" s="51">
        <f ca="1">'PiT PD Structure'!J236</f>
        <v>9.0586077579168922E-5</v>
      </c>
      <c r="BF196" s="139">
        <f t="shared" ca="1" si="90"/>
        <v>0.45</v>
      </c>
      <c r="BG196" s="51">
        <f t="shared" ca="1" si="78"/>
        <v>1</v>
      </c>
      <c r="BH196" s="50">
        <f t="shared" ca="1" si="73"/>
        <v>0</v>
      </c>
      <c r="BI196" s="50">
        <f t="shared" ca="1" si="94"/>
        <v>3.4816594052244909E-13</v>
      </c>
      <c r="BJ196" s="140">
        <v>0</v>
      </c>
      <c r="BK196" s="140">
        <v>0</v>
      </c>
      <c r="BM196" s="78"/>
      <c r="BR196" s="75">
        <f t="shared" ca="1" si="97"/>
        <v>49248</v>
      </c>
      <c r="BS196" s="74">
        <f t="shared" ca="1" si="79"/>
        <v>10</v>
      </c>
      <c r="BT196" s="74">
        <f t="shared" ca="1" si="80"/>
        <v>0</v>
      </c>
      <c r="BU196" s="73" t="str">
        <f t="shared" ca="1" si="81"/>
        <v xml:space="preserve"> </v>
      </c>
      <c r="BW196" s="75">
        <f t="shared" ca="1" si="91"/>
        <v>49248</v>
      </c>
      <c r="BX196" s="74">
        <f t="shared" ca="1" si="92"/>
        <v>10</v>
      </c>
      <c r="BY196" s="74">
        <f t="shared" ca="1" si="82"/>
        <v>0</v>
      </c>
      <c r="BZ196" s="73" t="str">
        <f t="shared" ca="1" si="83"/>
        <v xml:space="preserve"> </v>
      </c>
      <c r="CB196" s="75">
        <f t="shared" ca="1" si="93"/>
        <v>49248</v>
      </c>
      <c r="CC196" s="74">
        <f t="shared" ca="1" si="84"/>
        <v>10</v>
      </c>
      <c r="CD196" s="74">
        <f t="shared" ca="1" si="85"/>
        <v>0</v>
      </c>
      <c r="CE196" s="73" t="str">
        <f t="shared" ca="1" si="86"/>
        <v xml:space="preserve"> </v>
      </c>
    </row>
    <row r="197" spans="1:83" x14ac:dyDescent="0.2">
      <c r="A197" s="38" t="str">
        <f t="shared" si="96"/>
        <v xml:space="preserve"> </v>
      </c>
      <c r="B197" s="108"/>
      <c r="C197" s="38"/>
      <c r="D197" s="137"/>
      <c r="E197" s="137"/>
      <c r="F197" s="137"/>
      <c r="G197" s="122"/>
      <c r="H197" s="137"/>
      <c r="I197" s="50"/>
      <c r="J197" s="50"/>
      <c r="K197" s="50"/>
      <c r="L197" s="38"/>
      <c r="M197" s="38"/>
      <c r="N197" s="38"/>
      <c r="O197" s="50"/>
      <c r="P197" s="218"/>
      <c r="Q197" s="50"/>
      <c r="R197" s="50"/>
      <c r="S197" s="38"/>
      <c r="T197" s="51"/>
      <c r="U197" s="65"/>
      <c r="V197" s="105"/>
      <c r="W197" s="66"/>
      <c r="X197" s="66"/>
      <c r="Y197" s="38"/>
      <c r="Z197" s="66">
        <f t="shared" ref="Z197:Z260" si="98">IF(Y197="Stage 1",X197,IF(Y197="Stage 2",W197,O197))</f>
        <v>0</v>
      </c>
      <c r="AA197" s="67"/>
      <c r="AC197" s="41" t="e">
        <f>VLOOKUP(A197,'Input Sheet'!$A$2:$B$232,2,0)</f>
        <v>#N/A</v>
      </c>
      <c r="AD197" s="70"/>
      <c r="AI197" s="68"/>
      <c r="AL197" s="107">
        <f t="shared" ca="1" si="87"/>
        <v>0</v>
      </c>
      <c r="AM197" s="49">
        <f t="shared" ca="1" si="88"/>
        <v>49278</v>
      </c>
      <c r="AN197" s="137" t="str">
        <f t="shared" ca="1" si="74"/>
        <v xml:space="preserve"> </v>
      </c>
      <c r="AO197" s="107">
        <f t="shared" ca="1" si="75"/>
        <v>0</v>
      </c>
      <c r="AP197" s="143">
        <f t="shared" ca="1" si="67"/>
        <v>0</v>
      </c>
      <c r="AQ197" s="143">
        <f t="shared" ca="1" si="76"/>
        <v>0</v>
      </c>
      <c r="AR197" s="49" t="str">
        <f t="shared" ca="1" si="68"/>
        <v xml:space="preserve"> </v>
      </c>
      <c r="AS197" s="107">
        <f t="shared" ca="1" si="69"/>
        <v>0</v>
      </c>
      <c r="AT197" s="107">
        <f t="shared" ca="1" si="70"/>
        <v>0</v>
      </c>
      <c r="AU197" s="107"/>
      <c r="AV197" s="107">
        <f ca="1">MAX(SUM($AQ$6:AQ197)-SUM($AT$6:AT197),0)</f>
        <v>0</v>
      </c>
      <c r="AW197" s="107">
        <f t="shared" ca="1" si="89"/>
        <v>0</v>
      </c>
      <c r="AX197" s="107">
        <v>0</v>
      </c>
      <c r="AY197" s="138" t="str">
        <f t="shared" ca="1" si="71"/>
        <v xml:space="preserve"> </v>
      </c>
      <c r="AZ197" s="107">
        <f t="shared" ca="1" si="72"/>
        <v>0</v>
      </c>
      <c r="BA197" s="107">
        <f ca="1">IF(AZ197=1,(SUM($AW$6:AW197,$AX$6:AX197)-SUM($BA$6:BA196)),0)</f>
        <v>0</v>
      </c>
      <c r="BB197" s="107"/>
      <c r="BC197" s="107">
        <f ca="1">AV197+SUM($AW$6:AW197)+SUM($AX$6:AX197)-SUM($BA$6:BA197)</f>
        <v>0</v>
      </c>
      <c r="BD197" s="107">
        <f t="shared" ca="1" si="77"/>
        <v>0</v>
      </c>
      <c r="BE197" s="51">
        <f ca="1">'PiT PD Structure'!J237</f>
        <v>9.0577653738765918E-5</v>
      </c>
      <c r="BF197" s="139">
        <f t="shared" ca="1" si="90"/>
        <v>0.45</v>
      </c>
      <c r="BG197" s="51">
        <f t="shared" ca="1" si="78"/>
        <v>1</v>
      </c>
      <c r="BH197" s="50">
        <f t="shared" ca="1" si="73"/>
        <v>0</v>
      </c>
      <c r="BI197" s="50">
        <f t="shared" ca="1" si="94"/>
        <v>3.4816594052244909E-13</v>
      </c>
      <c r="BJ197" s="140">
        <v>0</v>
      </c>
      <c r="BK197" s="140">
        <v>0</v>
      </c>
      <c r="BM197" s="78"/>
      <c r="BR197" s="75">
        <f t="shared" ca="1" si="97"/>
        <v>49278</v>
      </c>
      <c r="BS197" s="74">
        <f t="shared" ca="1" si="79"/>
        <v>11</v>
      </c>
      <c r="BT197" s="74">
        <f t="shared" ca="1" si="80"/>
        <v>0</v>
      </c>
      <c r="BU197" s="73" t="str">
        <f t="shared" ca="1" si="81"/>
        <v xml:space="preserve"> </v>
      </c>
      <c r="BW197" s="75">
        <f t="shared" ca="1" si="91"/>
        <v>49278</v>
      </c>
      <c r="BX197" s="74">
        <f t="shared" ca="1" si="92"/>
        <v>11</v>
      </c>
      <c r="BY197" s="74">
        <f t="shared" ca="1" si="82"/>
        <v>0</v>
      </c>
      <c r="BZ197" s="73" t="str">
        <f t="shared" ca="1" si="83"/>
        <v xml:space="preserve"> </v>
      </c>
      <c r="CB197" s="75">
        <f t="shared" ca="1" si="93"/>
        <v>49278</v>
      </c>
      <c r="CC197" s="74">
        <f t="shared" ca="1" si="84"/>
        <v>11</v>
      </c>
      <c r="CD197" s="74">
        <f t="shared" ca="1" si="85"/>
        <v>0</v>
      </c>
      <c r="CE197" s="73" t="str">
        <f t="shared" ca="1" si="86"/>
        <v xml:space="preserve"> </v>
      </c>
    </row>
    <row r="198" spans="1:83" x14ac:dyDescent="0.2">
      <c r="A198" s="38" t="str">
        <f t="shared" si="96"/>
        <v xml:space="preserve"> </v>
      </c>
      <c r="B198" s="108"/>
      <c r="C198" s="38"/>
      <c r="D198" s="137"/>
      <c r="E198" s="137"/>
      <c r="F198" s="137"/>
      <c r="G198" s="122"/>
      <c r="H198" s="137"/>
      <c r="I198" s="50"/>
      <c r="J198" s="50"/>
      <c r="K198" s="50"/>
      <c r="L198" s="38"/>
      <c r="M198" s="38"/>
      <c r="N198" s="38"/>
      <c r="O198" s="50"/>
      <c r="P198" s="218"/>
      <c r="Q198" s="50"/>
      <c r="R198" s="50"/>
      <c r="S198" s="38"/>
      <c r="T198" s="51"/>
      <c r="U198" s="65"/>
      <c r="V198" s="105"/>
      <c r="W198" s="66"/>
      <c r="X198" s="66"/>
      <c r="Y198" s="38"/>
      <c r="Z198" s="66">
        <f t="shared" si="98"/>
        <v>0</v>
      </c>
      <c r="AA198" s="67"/>
      <c r="AC198" s="41" t="e">
        <f>VLOOKUP(A198,'Input Sheet'!$A$2:$B$232,2,0)</f>
        <v>#N/A</v>
      </c>
      <c r="AD198" s="70"/>
      <c r="AI198" s="68"/>
      <c r="AL198" s="107">
        <f t="shared" ca="1" si="87"/>
        <v>0</v>
      </c>
      <c r="AM198" s="49">
        <f t="shared" ca="1" si="88"/>
        <v>49309</v>
      </c>
      <c r="AN198" s="137" t="str">
        <f t="shared" ca="1" si="74"/>
        <v xml:space="preserve"> </v>
      </c>
      <c r="AO198" s="107">
        <f t="shared" ca="1" si="75"/>
        <v>0</v>
      </c>
      <c r="AP198" s="143">
        <f t="shared" ref="AP198:AP261" ca="1" si="99">AO198*$AV$2</f>
        <v>0</v>
      </c>
      <c r="AQ198" s="143">
        <f t="shared" ca="1" si="76"/>
        <v>0</v>
      </c>
      <c r="AR198" s="49" t="str">
        <f t="shared" ref="AR198:AR241" ca="1" si="100">BU198</f>
        <v xml:space="preserve"> </v>
      </c>
      <c r="AS198" s="107">
        <f t="shared" ref="AS198:AS241" ca="1" si="101">BT198</f>
        <v>0</v>
      </c>
      <c r="AT198" s="107">
        <f t="shared" ref="AT198:AT261" ca="1" si="102">AS198*$BI$2</f>
        <v>0</v>
      </c>
      <c r="AU198" s="107"/>
      <c r="AV198" s="107">
        <f ca="1">MAX(SUM($AQ$6:AQ198)-SUM($AT$6:AT198),0)</f>
        <v>0</v>
      </c>
      <c r="AW198" s="107">
        <f t="shared" ca="1" si="89"/>
        <v>0</v>
      </c>
      <c r="AX198" s="107">
        <v>0</v>
      </c>
      <c r="AY198" s="138" t="str">
        <f t="shared" ref="AY198:AY241" ca="1" si="103">BZ198</f>
        <v xml:space="preserve"> </v>
      </c>
      <c r="AZ198" s="107">
        <f t="shared" ref="AZ198:AZ241" ca="1" si="104">BY198</f>
        <v>0</v>
      </c>
      <c r="BA198" s="107">
        <f ca="1">IF(AZ198=1,(SUM($AW$6:AW198,$AX$6:AX198)-SUM($BA$6:BA197)),0)</f>
        <v>0</v>
      </c>
      <c r="BB198" s="107"/>
      <c r="BC198" s="107">
        <f ca="1">AV198+SUM($AW$6:AW198)+SUM($AX$6:AX198)-SUM($BA$6:BA198)</f>
        <v>0</v>
      </c>
      <c r="BD198" s="107">
        <f t="shared" ca="1" si="77"/>
        <v>0</v>
      </c>
      <c r="BE198" s="51">
        <f ca="1">'PiT PD Structure'!J238</f>
        <v>2.3124792301484343E-3</v>
      </c>
      <c r="BF198" s="139">
        <f t="shared" ca="1" si="90"/>
        <v>0.45</v>
      </c>
      <c r="BG198" s="51">
        <f t="shared" ca="1" si="78"/>
        <v>1</v>
      </c>
      <c r="BH198" s="50">
        <f t="shared" ref="BH198:BH241" ca="1" si="105">IF(AL198=0,0,BC198*BE198*BF198*BG198)</f>
        <v>0</v>
      </c>
      <c r="BI198" s="50">
        <f t="shared" ca="1" si="94"/>
        <v>3.4816594052244909E-13</v>
      </c>
      <c r="BJ198" s="140">
        <v>0</v>
      </c>
      <c r="BK198" s="140">
        <v>0</v>
      </c>
      <c r="BM198" s="78"/>
      <c r="BR198" s="75">
        <f t="shared" ca="1" si="97"/>
        <v>49309</v>
      </c>
      <c r="BS198" s="74">
        <f t="shared" ca="1" si="79"/>
        <v>12</v>
      </c>
      <c r="BT198" s="74">
        <f t="shared" ca="1" si="80"/>
        <v>0</v>
      </c>
      <c r="BU198" s="73" t="str">
        <f t="shared" ca="1" si="81"/>
        <v xml:space="preserve"> </v>
      </c>
      <c r="BW198" s="75">
        <f t="shared" ca="1" si="91"/>
        <v>49309</v>
      </c>
      <c r="BX198" s="74">
        <f t="shared" ca="1" si="92"/>
        <v>12</v>
      </c>
      <c r="BY198" s="74">
        <f t="shared" ca="1" si="82"/>
        <v>0</v>
      </c>
      <c r="BZ198" s="73" t="str">
        <f t="shared" ca="1" si="83"/>
        <v xml:space="preserve"> </v>
      </c>
      <c r="CB198" s="75">
        <f t="shared" ca="1" si="93"/>
        <v>49309</v>
      </c>
      <c r="CC198" s="74">
        <f t="shared" ca="1" si="84"/>
        <v>12</v>
      </c>
      <c r="CD198" s="74">
        <f t="shared" ca="1" si="85"/>
        <v>0</v>
      </c>
      <c r="CE198" s="73" t="str">
        <f t="shared" ca="1" si="86"/>
        <v xml:space="preserve"> </v>
      </c>
    </row>
    <row r="199" spans="1:83" x14ac:dyDescent="0.2">
      <c r="A199" s="38" t="str">
        <f t="shared" si="96"/>
        <v xml:space="preserve"> </v>
      </c>
      <c r="B199" s="108"/>
      <c r="C199" s="38"/>
      <c r="D199" s="137"/>
      <c r="E199" s="137"/>
      <c r="F199" s="137"/>
      <c r="G199" s="122"/>
      <c r="H199" s="137"/>
      <c r="I199" s="50"/>
      <c r="J199" s="50"/>
      <c r="K199" s="50"/>
      <c r="L199" s="38"/>
      <c r="M199" s="38"/>
      <c r="N199" s="38"/>
      <c r="O199" s="50"/>
      <c r="P199" s="218"/>
      <c r="Q199" s="50"/>
      <c r="R199" s="50"/>
      <c r="S199" s="38"/>
      <c r="T199" s="51"/>
      <c r="U199" s="65"/>
      <c r="V199" s="105"/>
      <c r="W199" s="66"/>
      <c r="X199" s="66"/>
      <c r="Y199" s="38"/>
      <c r="Z199" s="66">
        <f t="shared" si="98"/>
        <v>0</v>
      </c>
      <c r="AA199" s="67"/>
      <c r="AC199" s="41" t="e">
        <f>VLOOKUP(A199,'Input Sheet'!$A$2:$B$232,2,0)</f>
        <v>#N/A</v>
      </c>
      <c r="AD199" s="70"/>
      <c r="AI199" s="68"/>
      <c r="AL199" s="107">
        <f t="shared" ca="1" si="87"/>
        <v>0</v>
      </c>
      <c r="AM199" s="49">
        <f t="shared" ca="1" si="88"/>
        <v>49340</v>
      </c>
      <c r="AN199" s="137" t="str">
        <f t="shared" ref="AN199:AN241" ca="1" si="106">CE199</f>
        <v xml:space="preserve"> </v>
      </c>
      <c r="AO199" s="107">
        <f t="shared" ref="AO199:AO262" ca="1" si="107">IF(EOMONTH(AM199,0)=EOMONTH($AN$2,12),1,0)</f>
        <v>0</v>
      </c>
      <c r="AP199" s="143">
        <f t="shared" ca="1" si="99"/>
        <v>0</v>
      </c>
      <c r="AQ199" s="143">
        <f t="shared" ref="AQ199:AQ241" ca="1" si="108">IF(AND(AP199&gt;0,AM199&lt;=$AR$2),AQ198+AP199,0)</f>
        <v>0</v>
      </c>
      <c r="AR199" s="49" t="str">
        <f t="shared" ca="1" si="100"/>
        <v xml:space="preserve"> </v>
      </c>
      <c r="AS199" s="107">
        <f t="shared" ca="1" si="101"/>
        <v>0</v>
      </c>
      <c r="AT199" s="107">
        <f t="shared" ca="1" si="102"/>
        <v>0</v>
      </c>
      <c r="AU199" s="107"/>
      <c r="AV199" s="107">
        <f ca="1">MAX(SUM($AQ$6:AQ199)-SUM($AT$6:AT199),0)</f>
        <v>0</v>
      </c>
      <c r="AW199" s="107">
        <f t="shared" ca="1" si="89"/>
        <v>0</v>
      </c>
      <c r="AX199" s="107">
        <v>0</v>
      </c>
      <c r="AY199" s="138" t="str">
        <f t="shared" ca="1" si="103"/>
        <v xml:space="preserve"> </v>
      </c>
      <c r="AZ199" s="107">
        <f t="shared" ca="1" si="104"/>
        <v>0</v>
      </c>
      <c r="BA199" s="107">
        <f ca="1">IF(AZ199=1,(SUM($AW$6:AW199,$AX$6:AX199)-SUM($BA$6:BA198)),0)</f>
        <v>0</v>
      </c>
      <c r="BB199" s="107"/>
      <c r="BC199" s="107">
        <f ca="1">AV199+SUM($AW$6:AW199)+SUM($AX$6:AX199)-SUM($BA$6:BA199)</f>
        <v>0</v>
      </c>
      <c r="BD199" s="107">
        <f t="shared" ref="BD199:BD241" ca="1" si="109">IF(AL199&gt;0,AM199-AM198,0)</f>
        <v>0</v>
      </c>
      <c r="BE199" s="51">
        <f ca="1">'PiT PD Structure'!J239</f>
        <v>9.6624703471825946E-5</v>
      </c>
      <c r="BF199" s="139">
        <f t="shared" ca="1" si="90"/>
        <v>0.45</v>
      </c>
      <c r="BG199" s="51">
        <f t="shared" ref="BG199:BG241" ca="1" si="110">1/(1+$BE$2)^(BD199/360)</f>
        <v>1</v>
      </c>
      <c r="BH199" s="50">
        <f t="shared" ca="1" si="105"/>
        <v>0</v>
      </c>
      <c r="BI199" s="50">
        <f t="shared" ca="1" si="94"/>
        <v>3.4816594052244909E-13</v>
      </c>
      <c r="BJ199" s="140">
        <v>0</v>
      </c>
      <c r="BK199" s="140">
        <v>0</v>
      </c>
      <c r="BM199" s="78"/>
      <c r="BR199" s="75">
        <f t="shared" ca="1" si="97"/>
        <v>49340</v>
      </c>
      <c r="BS199" s="74">
        <f t="shared" ref="BS199:BS262" ca="1" si="111">MONTH(BR199)</f>
        <v>1</v>
      </c>
      <c r="BT199" s="74">
        <f t="shared" ref="BT199:BT262" ca="1" si="112">IF(EOMONTH(BR199,0)&gt;EOMONTH($AR$2,0),0,IF(EOMONTH(BR199,0)&gt;=EOMONTH($AO$2,0),(IF($BS$3=1,IF(MONTH($AO$2)=BS199,1,0),IF($BS$3=2,IF(OR(MONTH($AO$2)=BS199,MONTH($AO$2)+6=BS199,MONTH($AO$2)-6=BS199),1,0),IF($BS$3=4,IF(OR(MONTH($AO$2)=BS199,MONTH($AO$2)+3=BS199,MONTH($AO$2)+6=BS199,MONTH($AO$2)+9=BS199,MONTH($AO$2)-9=BS199,MONTH($AO$2)-3=BS199,MONTH($AO$2)-6=BS199),1,0),IF($BS$3=6,IF(OR(MONTH($AO$2)=BS199,MONTH($AO$2)+2=BS199,MONTH($AO$2)+4=BS199,MONTH($AO$2)+6=BS199,MONTH($AO$2)+8=BS199,MONTH($AO$2)+10=BS199,MONTH($AO$2)-2=BS199,MONTH($AO$2)-4=BS199,MONTH($AO$2)-6=BS199,MONTH($AO$2)-8=BS199,MONTH($AO$2)-10=BS199),1,0),IF($BS$3=12,1,IF(AND($BS$3=0,EOMONTH(BR199,0)=EOMONTH($AR$2,0)),1,0))))))),0))</f>
        <v>0</v>
      </c>
      <c r="BU199" s="73" t="str">
        <f t="shared" ref="BU199:BU262" ca="1" si="113">IF(BT199=1,BR199," ")</f>
        <v xml:space="preserve"> </v>
      </c>
      <c r="BW199" s="75">
        <f t="shared" ca="1" si="91"/>
        <v>49340</v>
      </c>
      <c r="BX199" s="74">
        <f t="shared" ca="1" si="92"/>
        <v>1</v>
      </c>
      <c r="BY199" s="74">
        <f t="shared" ref="BY199:BY262" ca="1" si="114">IF(EOMONTH(BW199,0)&gt;EOMONTH($AR$2,0),0,IF(EOMONTH(BW199,0)&gt;=EOMONTH($AP$2,0),(IF($BX$3=1,IF(MONTH($AP$2)=BX199,1,0),IF($BX$3=2,IF(OR(MONTH($AP$2)=BX199,MONTH($AP$2)+6=BX199,MONTH($AP$2)-6=BX199),1,0),IF($BX$3=4,IF(OR(MONTH($AP$2)=BX199,MONTH($AP$2)+3=BX199,MONTH($AP$2)+6=BX199,MONTH($AP$2)+9=BX199,MONTH($AP$2)-9=BX199,MONTH($AP$2)-3=BX199,MONTH($AP$2)-6=BX199),1,0),IF($BX$3=6,IF(OR(MONTH($AP$2)=BX199,MONTH($AP$2)+2=BX199,MONTH($AP$2)+4=BX199,MONTH($AP$2)+6=BX199,MONTH($AP$2)+8=BX199,MONTH($AP$2)+10=BX199,MONTH($AP$2)-2=BX199,MONTH($AP$2)-4=BX199,MONTH($AP$2)-6=BX199,MONTH($AP$2)-8=BX199,MONTH($AP$2)-10=BX199),1,0),IF($BX$3=12,1,IF(AND($BX$3=0,EOMONTH(BW199,0)=EOMONTH($AR$2,0)),1,0))))))),0))</f>
        <v>0</v>
      </c>
      <c r="BZ199" s="73" t="str">
        <f t="shared" ref="BZ199:BZ262" ca="1" si="115">IF(BY199=1,BW199," ")</f>
        <v xml:space="preserve"> </v>
      </c>
      <c r="CB199" s="75">
        <f t="shared" ca="1" si="93"/>
        <v>49340</v>
      </c>
      <c r="CC199" s="74">
        <f t="shared" ref="CC199:CC241" ca="1" si="116">MONTH(CB199)</f>
        <v>1</v>
      </c>
      <c r="CD199" s="74">
        <f t="shared" ref="CD199:CD262" ca="1" si="117">IF(EOMONTH(CB199,0)&gt;EOMONTH($AR$2,0),0,IF(EOMONTH(BR199,0)&gt;=EOMONTH($AO$2,0),IF($CC$3=1,IF(MONTH($AO$2)=CC199,1,0),IF($CC$3=2,IF(OR(MONTH($AO$2)=CC199,MONTH($AO$2)+6=CC199),1,0),IF($CC$3=4,IF(OR(MONTH($AO$2)=CC199,MONTH($AO$2)+3=CC199,MONTH($AO$2)+6=CC199,MONTH($AO$2)+9=CC199,MONTH($AO$2)-9=CC199,MONTH($AO$2)-3=CC199,MONTH($AO$2)-6=CC199),1,0),IF($CC$3=6,IF(OR(MONTH($AO$2)=CC199,MONTH($AO$2)+2=CC199,MONTH($AO$2)+4=CC199,MONTH($AO$2)+6=CC199,MONTH($AO$2)+8=CC199,MONTH($AO$2)+10=CC199,MONTH($AO$2)-2=CC199,MONTH($AO$2)-4=CC199,MONTH($AO$2)-6=CC199,MONTH($AO$2)-8=CC199,MONTH($AO$2)-10=CC199),1,0),IF($CC$3=12,1,IF(AND($CC$3=0,EOMONTH(CB199,0)=EOMONTH($AR$2,0)),1,0)))))),0))</f>
        <v>0</v>
      </c>
      <c r="CE199" s="73" t="str">
        <f t="shared" ref="CE199:CE241" ca="1" si="118">IF(CD199=1,CB199," ")</f>
        <v xml:space="preserve"> </v>
      </c>
    </row>
    <row r="200" spans="1:83" x14ac:dyDescent="0.2">
      <c r="A200" s="38" t="str">
        <f t="shared" si="96"/>
        <v xml:space="preserve"> </v>
      </c>
      <c r="B200" s="108"/>
      <c r="C200" s="38"/>
      <c r="D200" s="137"/>
      <c r="E200" s="137"/>
      <c r="F200" s="137"/>
      <c r="G200" s="122"/>
      <c r="H200" s="137"/>
      <c r="I200" s="50"/>
      <c r="J200" s="50"/>
      <c r="K200" s="50"/>
      <c r="L200" s="38"/>
      <c r="M200" s="38"/>
      <c r="N200" s="38"/>
      <c r="O200" s="50"/>
      <c r="P200" s="218"/>
      <c r="Q200" s="50"/>
      <c r="R200" s="50"/>
      <c r="S200" s="38"/>
      <c r="T200" s="51"/>
      <c r="U200" s="65"/>
      <c r="V200" s="105"/>
      <c r="W200" s="66"/>
      <c r="X200" s="66"/>
      <c r="Y200" s="38"/>
      <c r="Z200" s="66">
        <f t="shared" si="98"/>
        <v>0</v>
      </c>
      <c r="AA200" s="67"/>
      <c r="AC200" s="41" t="e">
        <f>VLOOKUP(A200,'Input Sheet'!$A$2:$B$232,2,0)</f>
        <v>#N/A</v>
      </c>
      <c r="AD200" s="70"/>
      <c r="AI200" s="68"/>
      <c r="AL200" s="107">
        <f t="shared" ref="AL200:AL241" ca="1" si="119">IF(AM200&lt;=$AR$2,AL199+1,0)</f>
        <v>0</v>
      </c>
      <c r="AM200" s="49">
        <f t="shared" ref="AM200:AM263" ca="1" si="120">EOMONTH(AM199,1)</f>
        <v>49368</v>
      </c>
      <c r="AN200" s="137" t="str">
        <f t="shared" ca="1" si="106"/>
        <v xml:space="preserve"> </v>
      </c>
      <c r="AO200" s="107">
        <f t="shared" ca="1" si="107"/>
        <v>0</v>
      </c>
      <c r="AP200" s="143">
        <f t="shared" ca="1" si="99"/>
        <v>0</v>
      </c>
      <c r="AQ200" s="143">
        <f t="shared" ca="1" si="108"/>
        <v>0</v>
      </c>
      <c r="AR200" s="49" t="str">
        <f t="shared" ca="1" si="100"/>
        <v xml:space="preserve"> </v>
      </c>
      <c r="AS200" s="107">
        <f t="shared" ca="1" si="101"/>
        <v>0</v>
      </c>
      <c r="AT200" s="107">
        <f t="shared" ca="1" si="102"/>
        <v>0</v>
      </c>
      <c r="AU200" s="107"/>
      <c r="AV200" s="107">
        <f ca="1">MAX(SUM($AQ$6:AQ200)-SUM($AT$6:AT200),0)</f>
        <v>0</v>
      </c>
      <c r="AW200" s="107">
        <f t="shared" ref="AW200:AW263" ca="1" si="121">IFERROR(IF(AND(AV199&gt;0,AM200&lt;=$AR$2),(AV199*($AZ$2*(DATEDIF(AM200,$AR$2,"d")/365)))/(DATEDIF(AM200,$AR$2,"m")),0),0)</f>
        <v>0</v>
      </c>
      <c r="AX200" s="107">
        <v>0</v>
      </c>
      <c r="AY200" s="138" t="str">
        <f t="shared" ca="1" si="103"/>
        <v xml:space="preserve"> </v>
      </c>
      <c r="AZ200" s="107">
        <f t="shared" ca="1" si="104"/>
        <v>0</v>
      </c>
      <c r="BA200" s="107">
        <f ca="1">IF(AZ200=1,(SUM($AW$6:AW200,$AX$6:AX200)-SUM($BA$6:BA199)),0)</f>
        <v>0</v>
      </c>
      <c r="BB200" s="107"/>
      <c r="BC200" s="107">
        <f ca="1">AV200+SUM($AW$6:AW200)+SUM($AX$6:AX200)-SUM($BA$6:BA200)</f>
        <v>0</v>
      </c>
      <c r="BD200" s="107">
        <f t="shared" ca="1" si="109"/>
        <v>0</v>
      </c>
      <c r="BE200" s="51">
        <f ca="1">'PiT PD Structure'!J240</f>
        <v>9.6615094504648447E-5</v>
      </c>
      <c r="BF200" s="139">
        <f t="shared" ref="BF200:BF263" ca="1" si="122">BF199</f>
        <v>0.45</v>
      </c>
      <c r="BG200" s="51">
        <f t="shared" ca="1" si="110"/>
        <v>1</v>
      </c>
      <c r="BH200" s="50">
        <f t="shared" ca="1" si="105"/>
        <v>0</v>
      </c>
      <c r="BI200" s="50">
        <f t="shared" ca="1" si="94"/>
        <v>3.4816594052244909E-13</v>
      </c>
      <c r="BJ200" s="140">
        <v>0</v>
      </c>
      <c r="BK200" s="140">
        <v>0</v>
      </c>
      <c r="BM200" s="78"/>
      <c r="BR200" s="75">
        <f t="shared" ca="1" si="97"/>
        <v>49368</v>
      </c>
      <c r="BS200" s="74">
        <f t="shared" ca="1" si="111"/>
        <v>2</v>
      </c>
      <c r="BT200" s="74">
        <f t="shared" ca="1" si="112"/>
        <v>0</v>
      </c>
      <c r="BU200" s="73" t="str">
        <f t="shared" ca="1" si="113"/>
        <v xml:space="preserve"> </v>
      </c>
      <c r="BW200" s="75">
        <f t="shared" ref="BW200:BW263" ca="1" si="123">EOMONTH(BR199,1)</f>
        <v>49368</v>
      </c>
      <c r="BX200" s="74">
        <f t="shared" ref="BX200:BX263" ca="1" si="124">MONTH(BR200)</f>
        <v>2</v>
      </c>
      <c r="BY200" s="74">
        <f t="shared" ca="1" si="114"/>
        <v>0</v>
      </c>
      <c r="BZ200" s="73" t="str">
        <f t="shared" ca="1" si="115"/>
        <v xml:space="preserve"> </v>
      </c>
      <c r="CB200" s="75">
        <f t="shared" ref="CB200:CB263" ca="1" si="125">EOMONTH(CB199,1)</f>
        <v>49368</v>
      </c>
      <c r="CC200" s="74">
        <f t="shared" ca="1" si="116"/>
        <v>2</v>
      </c>
      <c r="CD200" s="74">
        <f t="shared" ca="1" si="117"/>
        <v>0</v>
      </c>
      <c r="CE200" s="73" t="str">
        <f t="shared" ca="1" si="118"/>
        <v xml:space="preserve"> </v>
      </c>
    </row>
    <row r="201" spans="1:83" x14ac:dyDescent="0.2">
      <c r="A201" s="38" t="str">
        <f t="shared" si="96"/>
        <v xml:space="preserve"> </v>
      </c>
      <c r="B201" s="108"/>
      <c r="C201" s="38"/>
      <c r="D201" s="137"/>
      <c r="E201" s="137"/>
      <c r="F201" s="137"/>
      <c r="G201" s="122"/>
      <c r="H201" s="137"/>
      <c r="I201" s="50"/>
      <c r="J201" s="50"/>
      <c r="K201" s="50"/>
      <c r="L201" s="38"/>
      <c r="M201" s="38"/>
      <c r="N201" s="38"/>
      <c r="O201" s="50"/>
      <c r="P201" s="218"/>
      <c r="Q201" s="50"/>
      <c r="R201" s="50"/>
      <c r="S201" s="38"/>
      <c r="T201" s="51"/>
      <c r="U201" s="65"/>
      <c r="V201" s="105"/>
      <c r="W201" s="66"/>
      <c r="X201" s="66"/>
      <c r="Y201" s="38"/>
      <c r="Z201" s="66">
        <f t="shared" si="98"/>
        <v>0</v>
      </c>
      <c r="AA201" s="67"/>
      <c r="AC201" s="41" t="e">
        <f>VLOOKUP(A201,'Input Sheet'!$A$2:$B$232,2,0)</f>
        <v>#N/A</v>
      </c>
      <c r="AD201" s="70"/>
      <c r="AI201" s="68"/>
      <c r="AL201" s="107">
        <f t="shared" ca="1" si="119"/>
        <v>0</v>
      </c>
      <c r="AM201" s="49">
        <f t="shared" ca="1" si="120"/>
        <v>49399</v>
      </c>
      <c r="AN201" s="137" t="str">
        <f t="shared" ca="1" si="106"/>
        <v xml:space="preserve"> </v>
      </c>
      <c r="AO201" s="107">
        <f t="shared" ca="1" si="107"/>
        <v>0</v>
      </c>
      <c r="AP201" s="143">
        <f t="shared" ca="1" si="99"/>
        <v>0</v>
      </c>
      <c r="AQ201" s="143">
        <f t="shared" ca="1" si="108"/>
        <v>0</v>
      </c>
      <c r="AR201" s="49" t="str">
        <f t="shared" ca="1" si="100"/>
        <v xml:space="preserve"> </v>
      </c>
      <c r="AS201" s="107">
        <f t="shared" ca="1" si="101"/>
        <v>0</v>
      </c>
      <c r="AT201" s="107">
        <f t="shared" ca="1" si="102"/>
        <v>0</v>
      </c>
      <c r="AU201" s="107"/>
      <c r="AV201" s="107">
        <f ca="1">MAX(SUM($AQ$6:AQ201)-SUM($AT$6:AT201),0)</f>
        <v>0</v>
      </c>
      <c r="AW201" s="107">
        <f t="shared" ca="1" si="121"/>
        <v>0</v>
      </c>
      <c r="AX201" s="107">
        <v>0</v>
      </c>
      <c r="AY201" s="138" t="str">
        <f t="shared" ca="1" si="103"/>
        <v xml:space="preserve"> </v>
      </c>
      <c r="AZ201" s="107">
        <f t="shared" ca="1" si="104"/>
        <v>0</v>
      </c>
      <c r="BA201" s="107">
        <f ca="1">IF(AZ201=1,(SUM($AW$6:AW201,$AX$6:AX201)-SUM($BA$6:BA200)),0)</f>
        <v>0</v>
      </c>
      <c r="BB201" s="107"/>
      <c r="BC201" s="107">
        <f ca="1">AV201+SUM($AW$6:AW201)+SUM($AX$6:AX201)-SUM($BA$6:BA201)</f>
        <v>0</v>
      </c>
      <c r="BD201" s="107">
        <f t="shared" ca="1" si="109"/>
        <v>0</v>
      </c>
      <c r="BE201" s="51">
        <f ca="1">'PiT PD Structure'!J241</f>
        <v>9.660548649281786E-5</v>
      </c>
      <c r="BF201" s="139">
        <f t="shared" ca="1" si="122"/>
        <v>0.45</v>
      </c>
      <c r="BG201" s="51">
        <f t="shared" ca="1" si="110"/>
        <v>1</v>
      </c>
      <c r="BH201" s="50">
        <f t="shared" ca="1" si="105"/>
        <v>0</v>
      </c>
      <c r="BI201" s="50">
        <f t="shared" ref="BI201:BI241" ca="1" si="126">BI200-BH200</f>
        <v>3.4816594052244909E-13</v>
      </c>
      <c r="BJ201" s="140">
        <v>0</v>
      </c>
      <c r="BK201" s="140">
        <v>0</v>
      </c>
      <c r="BM201" s="78"/>
      <c r="BR201" s="75">
        <f t="shared" ca="1" si="97"/>
        <v>49399</v>
      </c>
      <c r="BS201" s="74">
        <f t="shared" ca="1" si="111"/>
        <v>3</v>
      </c>
      <c r="BT201" s="74">
        <f t="shared" ca="1" si="112"/>
        <v>0</v>
      </c>
      <c r="BU201" s="73" t="str">
        <f t="shared" ca="1" si="113"/>
        <v xml:space="preserve"> </v>
      </c>
      <c r="BW201" s="75">
        <f t="shared" ca="1" si="123"/>
        <v>49399</v>
      </c>
      <c r="BX201" s="74">
        <f t="shared" ca="1" si="124"/>
        <v>3</v>
      </c>
      <c r="BY201" s="74">
        <f t="shared" ca="1" si="114"/>
        <v>0</v>
      </c>
      <c r="BZ201" s="73" t="str">
        <f t="shared" ca="1" si="115"/>
        <v xml:space="preserve"> </v>
      </c>
      <c r="CB201" s="75">
        <f t="shared" ca="1" si="125"/>
        <v>49399</v>
      </c>
      <c r="CC201" s="74">
        <f t="shared" ca="1" si="116"/>
        <v>3</v>
      </c>
      <c r="CD201" s="74">
        <f t="shared" ca="1" si="117"/>
        <v>0</v>
      </c>
      <c r="CE201" s="73" t="str">
        <f t="shared" ca="1" si="118"/>
        <v xml:space="preserve"> </v>
      </c>
    </row>
    <row r="202" spans="1:83" x14ac:dyDescent="0.2">
      <c r="A202" s="38" t="str">
        <f t="shared" ref="A202:A265" si="127">IF(B202=0," ",A201+1)</f>
        <v xml:space="preserve"> </v>
      </c>
      <c r="B202" s="108"/>
      <c r="C202" s="38"/>
      <c r="D202" s="137"/>
      <c r="E202" s="137"/>
      <c r="F202" s="137"/>
      <c r="G202" s="122"/>
      <c r="H202" s="137"/>
      <c r="I202" s="50"/>
      <c r="J202" s="50"/>
      <c r="K202" s="50"/>
      <c r="L202" s="38"/>
      <c r="M202" s="38"/>
      <c r="N202" s="38"/>
      <c r="O202" s="50"/>
      <c r="P202" s="218"/>
      <c r="Q202" s="50"/>
      <c r="R202" s="50"/>
      <c r="S202" s="38"/>
      <c r="T202" s="51"/>
      <c r="U202" s="65"/>
      <c r="V202" s="105"/>
      <c r="W202" s="66"/>
      <c r="X202" s="66"/>
      <c r="Y202" s="38"/>
      <c r="Z202" s="66">
        <f t="shared" si="98"/>
        <v>0</v>
      </c>
      <c r="AA202" s="67"/>
      <c r="AC202" s="41" t="e">
        <f>VLOOKUP(A202,'Input Sheet'!$A$2:$B$232,2,0)</f>
        <v>#N/A</v>
      </c>
      <c r="AD202" s="70"/>
      <c r="AI202" s="68"/>
      <c r="AL202" s="107">
        <f t="shared" ca="1" si="119"/>
        <v>0</v>
      </c>
      <c r="AM202" s="49">
        <f t="shared" ca="1" si="120"/>
        <v>49429</v>
      </c>
      <c r="AN202" s="137" t="str">
        <f t="shared" ca="1" si="106"/>
        <v xml:space="preserve"> </v>
      </c>
      <c r="AO202" s="107">
        <f t="shared" ca="1" si="107"/>
        <v>0</v>
      </c>
      <c r="AP202" s="143">
        <f t="shared" ca="1" si="99"/>
        <v>0</v>
      </c>
      <c r="AQ202" s="143">
        <f t="shared" ca="1" si="108"/>
        <v>0</v>
      </c>
      <c r="AR202" s="49" t="str">
        <f t="shared" ca="1" si="100"/>
        <v xml:space="preserve"> </v>
      </c>
      <c r="AS202" s="107">
        <f t="shared" ca="1" si="101"/>
        <v>0</v>
      </c>
      <c r="AT202" s="107">
        <f t="shared" ca="1" si="102"/>
        <v>0</v>
      </c>
      <c r="AU202" s="107"/>
      <c r="AV202" s="107">
        <f ca="1">MAX(SUM($AQ$6:AQ202)-SUM($AT$6:AT202),0)</f>
        <v>0</v>
      </c>
      <c r="AW202" s="107">
        <f t="shared" ca="1" si="121"/>
        <v>0</v>
      </c>
      <c r="AX202" s="107">
        <v>0</v>
      </c>
      <c r="AY202" s="138" t="str">
        <f t="shared" ca="1" si="103"/>
        <v xml:space="preserve"> </v>
      </c>
      <c r="AZ202" s="107">
        <f t="shared" ca="1" si="104"/>
        <v>0</v>
      </c>
      <c r="BA202" s="107">
        <f ca="1">IF(AZ202=1,(SUM($AW$6:AW202,$AX$6:AX202)-SUM($BA$6:BA201)),0)</f>
        <v>0</v>
      </c>
      <c r="BB202" s="107"/>
      <c r="BC202" s="107">
        <f ca="1">AV202+SUM($AW$6:AW202)+SUM($AX$6:AX202)-SUM($BA$6:BA202)</f>
        <v>0</v>
      </c>
      <c r="BD202" s="107">
        <f t="shared" ca="1" si="109"/>
        <v>0</v>
      </c>
      <c r="BE202" s="51">
        <f ca="1">'PiT PD Structure'!J242</f>
        <v>9.6595879436556231E-5</v>
      </c>
      <c r="BF202" s="139">
        <f t="shared" ca="1" si="122"/>
        <v>0.45</v>
      </c>
      <c r="BG202" s="51">
        <f t="shared" ca="1" si="110"/>
        <v>1</v>
      </c>
      <c r="BH202" s="50">
        <f t="shared" ca="1" si="105"/>
        <v>0</v>
      </c>
      <c r="BI202" s="50">
        <f t="shared" ca="1" si="126"/>
        <v>3.4816594052244909E-13</v>
      </c>
      <c r="BJ202" s="140">
        <v>0</v>
      </c>
      <c r="BK202" s="140">
        <v>0</v>
      </c>
      <c r="BM202" s="78"/>
      <c r="BR202" s="75">
        <f t="shared" ca="1" si="97"/>
        <v>49429</v>
      </c>
      <c r="BS202" s="74">
        <f t="shared" ca="1" si="111"/>
        <v>4</v>
      </c>
      <c r="BT202" s="74">
        <f t="shared" ca="1" si="112"/>
        <v>0</v>
      </c>
      <c r="BU202" s="73" t="str">
        <f t="shared" ca="1" si="113"/>
        <v xml:space="preserve"> </v>
      </c>
      <c r="BW202" s="75">
        <f t="shared" ca="1" si="123"/>
        <v>49429</v>
      </c>
      <c r="BX202" s="74">
        <f t="shared" ca="1" si="124"/>
        <v>4</v>
      </c>
      <c r="BY202" s="74">
        <f t="shared" ca="1" si="114"/>
        <v>0</v>
      </c>
      <c r="BZ202" s="73" t="str">
        <f t="shared" ca="1" si="115"/>
        <v xml:space="preserve"> </v>
      </c>
      <c r="CB202" s="75">
        <f t="shared" ca="1" si="125"/>
        <v>49429</v>
      </c>
      <c r="CC202" s="74">
        <f t="shared" ca="1" si="116"/>
        <v>4</v>
      </c>
      <c r="CD202" s="74">
        <f t="shared" ca="1" si="117"/>
        <v>0</v>
      </c>
      <c r="CE202" s="73" t="str">
        <f t="shared" ca="1" si="118"/>
        <v xml:space="preserve"> </v>
      </c>
    </row>
    <row r="203" spans="1:83" x14ac:dyDescent="0.2">
      <c r="A203" s="38" t="str">
        <f t="shared" si="127"/>
        <v xml:space="preserve"> </v>
      </c>
      <c r="B203" s="108"/>
      <c r="C203" s="38"/>
      <c r="D203" s="137"/>
      <c r="E203" s="137"/>
      <c r="F203" s="137"/>
      <c r="G203" s="122"/>
      <c r="H203" s="137"/>
      <c r="I203" s="50"/>
      <c r="J203" s="50"/>
      <c r="K203" s="50"/>
      <c r="L203" s="38"/>
      <c r="M203" s="38"/>
      <c r="N203" s="38"/>
      <c r="O203" s="50"/>
      <c r="P203" s="218"/>
      <c r="Q203" s="50"/>
      <c r="R203" s="50"/>
      <c r="S203" s="38"/>
      <c r="T203" s="51"/>
      <c r="U203" s="65"/>
      <c r="V203" s="105"/>
      <c r="W203" s="66"/>
      <c r="X203" s="66"/>
      <c r="Y203" s="38"/>
      <c r="Z203" s="66">
        <f t="shared" si="98"/>
        <v>0</v>
      </c>
      <c r="AA203" s="67"/>
      <c r="AC203" s="41" t="e">
        <f>VLOOKUP(A203,'Input Sheet'!$A$2:$B$232,2,0)</f>
        <v>#N/A</v>
      </c>
      <c r="AD203" s="70"/>
      <c r="AI203" s="68"/>
      <c r="AL203" s="107">
        <f t="shared" ca="1" si="119"/>
        <v>0</v>
      </c>
      <c r="AM203" s="49">
        <f t="shared" ca="1" si="120"/>
        <v>49460</v>
      </c>
      <c r="AN203" s="137" t="str">
        <f t="shared" ca="1" si="106"/>
        <v xml:space="preserve"> </v>
      </c>
      <c r="AO203" s="107">
        <f t="shared" ca="1" si="107"/>
        <v>0</v>
      </c>
      <c r="AP203" s="143">
        <f t="shared" ca="1" si="99"/>
        <v>0</v>
      </c>
      <c r="AQ203" s="143">
        <f t="shared" ca="1" si="108"/>
        <v>0</v>
      </c>
      <c r="AR203" s="49" t="str">
        <f t="shared" ca="1" si="100"/>
        <v xml:space="preserve"> </v>
      </c>
      <c r="AS203" s="107">
        <f t="shared" ca="1" si="101"/>
        <v>0</v>
      </c>
      <c r="AT203" s="107">
        <f t="shared" ca="1" si="102"/>
        <v>0</v>
      </c>
      <c r="AU203" s="107"/>
      <c r="AV203" s="107">
        <f ca="1">MAX(SUM($AQ$6:AQ203)-SUM($AT$6:AT203),0)</f>
        <v>0</v>
      </c>
      <c r="AW203" s="107">
        <f t="shared" ca="1" si="121"/>
        <v>0</v>
      </c>
      <c r="AX203" s="107">
        <v>0</v>
      </c>
      <c r="AY203" s="138" t="str">
        <f t="shared" ca="1" si="103"/>
        <v xml:space="preserve"> </v>
      </c>
      <c r="AZ203" s="107">
        <f t="shared" ca="1" si="104"/>
        <v>0</v>
      </c>
      <c r="BA203" s="107">
        <f ca="1">IF(AZ203=1,(SUM($AW$6:AW203,$AX$6:AX203)-SUM($BA$6:BA202)),0)</f>
        <v>0</v>
      </c>
      <c r="BB203" s="107"/>
      <c r="BC203" s="107">
        <f ca="1">AV203+SUM($AW$6:AW203)+SUM($AX$6:AX203)-SUM($BA$6:BA203)</f>
        <v>0</v>
      </c>
      <c r="BD203" s="107">
        <f t="shared" ca="1" si="109"/>
        <v>0</v>
      </c>
      <c r="BE203" s="51">
        <f ca="1">'PiT PD Structure'!J243</f>
        <v>9.6586273335641515E-5</v>
      </c>
      <c r="BF203" s="139">
        <f t="shared" ca="1" si="122"/>
        <v>0.45</v>
      </c>
      <c r="BG203" s="51">
        <f t="shared" ca="1" si="110"/>
        <v>1</v>
      </c>
      <c r="BH203" s="50">
        <f t="shared" ca="1" si="105"/>
        <v>0</v>
      </c>
      <c r="BI203" s="50">
        <f t="shared" ca="1" si="126"/>
        <v>3.4816594052244909E-13</v>
      </c>
      <c r="BJ203" s="140">
        <v>0</v>
      </c>
      <c r="BK203" s="140">
        <v>0</v>
      </c>
      <c r="BM203" s="78"/>
      <c r="BR203" s="75">
        <f t="shared" ca="1" si="97"/>
        <v>49460</v>
      </c>
      <c r="BS203" s="74">
        <f t="shared" ca="1" si="111"/>
        <v>5</v>
      </c>
      <c r="BT203" s="74">
        <f t="shared" ca="1" si="112"/>
        <v>0</v>
      </c>
      <c r="BU203" s="73" t="str">
        <f t="shared" ca="1" si="113"/>
        <v xml:space="preserve"> </v>
      </c>
      <c r="BW203" s="75">
        <f t="shared" ca="1" si="123"/>
        <v>49460</v>
      </c>
      <c r="BX203" s="74">
        <f t="shared" ca="1" si="124"/>
        <v>5</v>
      </c>
      <c r="BY203" s="74">
        <f t="shared" ca="1" si="114"/>
        <v>0</v>
      </c>
      <c r="BZ203" s="73" t="str">
        <f t="shared" ca="1" si="115"/>
        <v xml:space="preserve"> </v>
      </c>
      <c r="CB203" s="75">
        <f t="shared" ca="1" si="125"/>
        <v>49460</v>
      </c>
      <c r="CC203" s="74">
        <f t="shared" ca="1" si="116"/>
        <v>5</v>
      </c>
      <c r="CD203" s="74">
        <f t="shared" ca="1" si="117"/>
        <v>0</v>
      </c>
      <c r="CE203" s="73" t="str">
        <f t="shared" ca="1" si="118"/>
        <v xml:space="preserve"> </v>
      </c>
    </row>
    <row r="204" spans="1:83" x14ac:dyDescent="0.2">
      <c r="A204" s="38" t="str">
        <f t="shared" si="127"/>
        <v xml:space="preserve"> </v>
      </c>
      <c r="B204" s="108"/>
      <c r="C204" s="38"/>
      <c r="D204" s="137"/>
      <c r="E204" s="137"/>
      <c r="F204" s="137"/>
      <c r="G204" s="122"/>
      <c r="H204" s="137"/>
      <c r="I204" s="50"/>
      <c r="J204" s="50"/>
      <c r="K204" s="50"/>
      <c r="L204" s="38"/>
      <c r="M204" s="38"/>
      <c r="N204" s="38"/>
      <c r="O204" s="50"/>
      <c r="P204" s="218"/>
      <c r="Q204" s="50"/>
      <c r="R204" s="50"/>
      <c r="S204" s="38"/>
      <c r="T204" s="51"/>
      <c r="U204" s="65"/>
      <c r="V204" s="105"/>
      <c r="W204" s="66"/>
      <c r="X204" s="66"/>
      <c r="Y204" s="38"/>
      <c r="Z204" s="66">
        <f t="shared" si="98"/>
        <v>0</v>
      </c>
      <c r="AA204" s="67"/>
      <c r="AC204" s="41" t="e">
        <f>VLOOKUP(A204,'Input Sheet'!$A$2:$B$232,2,0)</f>
        <v>#N/A</v>
      </c>
      <c r="AD204" s="70"/>
      <c r="AI204" s="68"/>
      <c r="AL204" s="107">
        <f t="shared" ca="1" si="119"/>
        <v>0</v>
      </c>
      <c r="AM204" s="49">
        <f t="shared" ca="1" si="120"/>
        <v>49490</v>
      </c>
      <c r="AN204" s="137" t="str">
        <f t="shared" ca="1" si="106"/>
        <v xml:space="preserve"> </v>
      </c>
      <c r="AO204" s="107">
        <f t="shared" ca="1" si="107"/>
        <v>0</v>
      </c>
      <c r="AP204" s="143">
        <f t="shared" ca="1" si="99"/>
        <v>0</v>
      </c>
      <c r="AQ204" s="143">
        <f t="shared" ca="1" si="108"/>
        <v>0</v>
      </c>
      <c r="AR204" s="49" t="str">
        <f t="shared" ca="1" si="100"/>
        <v xml:space="preserve"> </v>
      </c>
      <c r="AS204" s="107">
        <f t="shared" ca="1" si="101"/>
        <v>0</v>
      </c>
      <c r="AT204" s="107">
        <f t="shared" ca="1" si="102"/>
        <v>0</v>
      </c>
      <c r="AU204" s="107"/>
      <c r="AV204" s="107">
        <f ca="1">MAX(SUM($AQ$6:AQ204)-SUM($AT$6:AT204),0)</f>
        <v>0</v>
      </c>
      <c r="AW204" s="107">
        <f t="shared" ca="1" si="121"/>
        <v>0</v>
      </c>
      <c r="AX204" s="107">
        <v>0</v>
      </c>
      <c r="AY204" s="138" t="str">
        <f t="shared" ca="1" si="103"/>
        <v xml:space="preserve"> </v>
      </c>
      <c r="AZ204" s="107">
        <f t="shared" ca="1" si="104"/>
        <v>0</v>
      </c>
      <c r="BA204" s="107">
        <f ca="1">IF(AZ204=1,(SUM($AW$6:AW204,$AX$6:AX204)-SUM($BA$6:BA203)),0)</f>
        <v>0</v>
      </c>
      <c r="BB204" s="107"/>
      <c r="BC204" s="107">
        <f ca="1">AV204+SUM($AW$6:AW204)+SUM($AX$6:AX204)-SUM($BA$6:BA204)</f>
        <v>0</v>
      </c>
      <c r="BD204" s="107">
        <f t="shared" ca="1" si="109"/>
        <v>0</v>
      </c>
      <c r="BE204" s="51">
        <f ca="1">'PiT PD Structure'!J244</f>
        <v>9.6576668189962689E-5</v>
      </c>
      <c r="BF204" s="139">
        <f t="shared" ca="1" si="122"/>
        <v>0.45</v>
      </c>
      <c r="BG204" s="51">
        <f t="shared" ca="1" si="110"/>
        <v>1</v>
      </c>
      <c r="BH204" s="50">
        <f t="shared" ca="1" si="105"/>
        <v>0</v>
      </c>
      <c r="BI204" s="50">
        <f t="shared" ca="1" si="126"/>
        <v>3.4816594052244909E-13</v>
      </c>
      <c r="BJ204" s="140">
        <v>0</v>
      </c>
      <c r="BK204" s="140">
        <v>0</v>
      </c>
      <c r="BM204" s="78"/>
      <c r="BR204" s="75">
        <f t="shared" ca="1" si="97"/>
        <v>49490</v>
      </c>
      <c r="BS204" s="74">
        <f t="shared" ca="1" si="111"/>
        <v>6</v>
      </c>
      <c r="BT204" s="74">
        <f t="shared" ca="1" si="112"/>
        <v>0</v>
      </c>
      <c r="BU204" s="73" t="str">
        <f t="shared" ca="1" si="113"/>
        <v xml:space="preserve"> </v>
      </c>
      <c r="BW204" s="75">
        <f t="shared" ca="1" si="123"/>
        <v>49490</v>
      </c>
      <c r="BX204" s="74">
        <f t="shared" ca="1" si="124"/>
        <v>6</v>
      </c>
      <c r="BY204" s="74">
        <f t="shared" ca="1" si="114"/>
        <v>0</v>
      </c>
      <c r="BZ204" s="73" t="str">
        <f t="shared" ca="1" si="115"/>
        <v xml:space="preserve"> </v>
      </c>
      <c r="CB204" s="75">
        <f t="shared" ca="1" si="125"/>
        <v>49490</v>
      </c>
      <c r="CC204" s="74">
        <f t="shared" ca="1" si="116"/>
        <v>6</v>
      </c>
      <c r="CD204" s="74">
        <f t="shared" ca="1" si="117"/>
        <v>0</v>
      </c>
      <c r="CE204" s="73" t="str">
        <f t="shared" ca="1" si="118"/>
        <v xml:space="preserve"> </v>
      </c>
    </row>
    <row r="205" spans="1:83" x14ac:dyDescent="0.2">
      <c r="A205" s="38" t="str">
        <f t="shared" si="127"/>
        <v xml:space="preserve"> </v>
      </c>
      <c r="B205" s="108"/>
      <c r="C205" s="38"/>
      <c r="D205" s="137"/>
      <c r="E205" s="137"/>
      <c r="F205" s="137"/>
      <c r="G205" s="122"/>
      <c r="H205" s="137"/>
      <c r="I205" s="50"/>
      <c r="J205" s="50"/>
      <c r="K205" s="50"/>
      <c r="L205" s="38"/>
      <c r="M205" s="38"/>
      <c r="N205" s="38"/>
      <c r="O205" s="50"/>
      <c r="P205" s="218"/>
      <c r="Q205" s="50"/>
      <c r="R205" s="50"/>
      <c r="S205" s="38"/>
      <c r="T205" s="51"/>
      <c r="U205" s="65"/>
      <c r="V205" s="105"/>
      <c r="W205" s="66"/>
      <c r="X205" s="66"/>
      <c r="Y205" s="38"/>
      <c r="Z205" s="66">
        <f t="shared" si="98"/>
        <v>0</v>
      </c>
      <c r="AA205" s="67"/>
      <c r="AC205" s="41" t="e">
        <f>VLOOKUP(A205,'Input Sheet'!$A$2:$B$232,2,0)</f>
        <v>#N/A</v>
      </c>
      <c r="AD205" s="70"/>
      <c r="AI205" s="68"/>
      <c r="AL205" s="107">
        <f t="shared" ca="1" si="119"/>
        <v>0</v>
      </c>
      <c r="AM205" s="49">
        <f t="shared" ca="1" si="120"/>
        <v>49521</v>
      </c>
      <c r="AN205" s="137" t="str">
        <f t="shared" ca="1" si="106"/>
        <v xml:space="preserve"> </v>
      </c>
      <c r="AO205" s="107">
        <f t="shared" ca="1" si="107"/>
        <v>0</v>
      </c>
      <c r="AP205" s="143">
        <f t="shared" ca="1" si="99"/>
        <v>0</v>
      </c>
      <c r="AQ205" s="143">
        <f t="shared" ca="1" si="108"/>
        <v>0</v>
      </c>
      <c r="AR205" s="49" t="str">
        <f t="shared" ca="1" si="100"/>
        <v xml:space="preserve"> </v>
      </c>
      <c r="AS205" s="107">
        <f t="shared" ca="1" si="101"/>
        <v>0</v>
      </c>
      <c r="AT205" s="107">
        <f t="shared" ca="1" si="102"/>
        <v>0</v>
      </c>
      <c r="AU205" s="107"/>
      <c r="AV205" s="107">
        <f ca="1">MAX(SUM($AQ$6:AQ205)-SUM($AT$6:AT205),0)</f>
        <v>0</v>
      </c>
      <c r="AW205" s="107">
        <f t="shared" ca="1" si="121"/>
        <v>0</v>
      </c>
      <c r="AX205" s="107">
        <v>0</v>
      </c>
      <c r="AY205" s="138" t="str">
        <f t="shared" ca="1" si="103"/>
        <v xml:space="preserve"> </v>
      </c>
      <c r="AZ205" s="107">
        <f t="shared" ca="1" si="104"/>
        <v>0</v>
      </c>
      <c r="BA205" s="107">
        <f ca="1">IF(AZ205=1,(SUM($AW$6:AW205,$AX$6:AX205)-SUM($BA$6:BA204)),0)</f>
        <v>0</v>
      </c>
      <c r="BB205" s="107"/>
      <c r="BC205" s="107">
        <f ca="1">AV205+SUM($AW$6:AW205)+SUM($AX$6:AX205)-SUM($BA$6:BA205)</f>
        <v>0</v>
      </c>
      <c r="BD205" s="107">
        <f t="shared" ca="1" si="109"/>
        <v>0</v>
      </c>
      <c r="BE205" s="51">
        <f ca="1">'PiT PD Structure'!J245</f>
        <v>9.6567063999630776E-5</v>
      </c>
      <c r="BF205" s="139">
        <f t="shared" ca="1" si="122"/>
        <v>0.45</v>
      </c>
      <c r="BG205" s="51">
        <f t="shared" ca="1" si="110"/>
        <v>1</v>
      </c>
      <c r="BH205" s="50">
        <f t="shared" ca="1" si="105"/>
        <v>0</v>
      </c>
      <c r="BI205" s="50">
        <f t="shared" ca="1" si="126"/>
        <v>3.4816594052244909E-13</v>
      </c>
      <c r="BJ205" s="140">
        <v>0</v>
      </c>
      <c r="BK205" s="140">
        <v>0</v>
      </c>
      <c r="BM205" s="78"/>
      <c r="BR205" s="75">
        <f t="shared" ca="1" si="97"/>
        <v>49521</v>
      </c>
      <c r="BS205" s="74">
        <f t="shared" ca="1" si="111"/>
        <v>7</v>
      </c>
      <c r="BT205" s="74">
        <f t="shared" ca="1" si="112"/>
        <v>0</v>
      </c>
      <c r="BU205" s="73" t="str">
        <f t="shared" ca="1" si="113"/>
        <v xml:space="preserve"> </v>
      </c>
      <c r="BW205" s="75">
        <f t="shared" ca="1" si="123"/>
        <v>49521</v>
      </c>
      <c r="BX205" s="74">
        <f t="shared" ca="1" si="124"/>
        <v>7</v>
      </c>
      <c r="BY205" s="74">
        <f t="shared" ca="1" si="114"/>
        <v>0</v>
      </c>
      <c r="BZ205" s="73" t="str">
        <f t="shared" ca="1" si="115"/>
        <v xml:space="preserve"> </v>
      </c>
      <c r="CB205" s="75">
        <f t="shared" ca="1" si="125"/>
        <v>49521</v>
      </c>
      <c r="CC205" s="74">
        <f t="shared" ca="1" si="116"/>
        <v>7</v>
      </c>
      <c r="CD205" s="74">
        <f t="shared" ca="1" si="117"/>
        <v>0</v>
      </c>
      <c r="CE205" s="73" t="str">
        <f t="shared" ca="1" si="118"/>
        <v xml:space="preserve"> </v>
      </c>
    </row>
    <row r="206" spans="1:83" x14ac:dyDescent="0.2">
      <c r="A206" s="38" t="str">
        <f t="shared" si="127"/>
        <v xml:space="preserve"> </v>
      </c>
      <c r="B206" s="108"/>
      <c r="C206" s="38"/>
      <c r="D206" s="137"/>
      <c r="E206" s="137"/>
      <c r="F206" s="137"/>
      <c r="G206" s="122"/>
      <c r="H206" s="137"/>
      <c r="I206" s="50"/>
      <c r="J206" s="50"/>
      <c r="K206" s="50"/>
      <c r="L206" s="38"/>
      <c r="M206" s="38"/>
      <c r="N206" s="38"/>
      <c r="O206" s="50"/>
      <c r="P206" s="218"/>
      <c r="Q206" s="50"/>
      <c r="R206" s="50"/>
      <c r="S206" s="38"/>
      <c r="T206" s="51"/>
      <c r="U206" s="65"/>
      <c r="V206" s="105"/>
      <c r="W206" s="66"/>
      <c r="X206" s="66"/>
      <c r="Y206" s="38"/>
      <c r="Z206" s="66">
        <f t="shared" si="98"/>
        <v>0</v>
      </c>
      <c r="AA206" s="67"/>
      <c r="AC206" s="41" t="e">
        <f>VLOOKUP(A206,'Input Sheet'!$A$2:$B$232,2,0)</f>
        <v>#N/A</v>
      </c>
      <c r="AD206" s="70"/>
      <c r="AI206" s="68"/>
      <c r="AL206" s="107">
        <f t="shared" ca="1" si="119"/>
        <v>0</v>
      </c>
      <c r="AM206" s="49">
        <f t="shared" ca="1" si="120"/>
        <v>49552</v>
      </c>
      <c r="AN206" s="137" t="str">
        <f t="shared" ca="1" si="106"/>
        <v xml:space="preserve"> </v>
      </c>
      <c r="AO206" s="107">
        <f t="shared" ca="1" si="107"/>
        <v>0</v>
      </c>
      <c r="AP206" s="143">
        <f t="shared" ca="1" si="99"/>
        <v>0</v>
      </c>
      <c r="AQ206" s="143">
        <f t="shared" ca="1" si="108"/>
        <v>0</v>
      </c>
      <c r="AR206" s="49" t="str">
        <f t="shared" ca="1" si="100"/>
        <v xml:space="preserve"> </v>
      </c>
      <c r="AS206" s="107">
        <f t="shared" ca="1" si="101"/>
        <v>0</v>
      </c>
      <c r="AT206" s="107">
        <f t="shared" ca="1" si="102"/>
        <v>0</v>
      </c>
      <c r="AU206" s="107"/>
      <c r="AV206" s="107">
        <f ca="1">MAX(SUM($AQ$6:AQ206)-SUM($AT$6:AT206),0)</f>
        <v>0</v>
      </c>
      <c r="AW206" s="107">
        <f t="shared" ca="1" si="121"/>
        <v>0</v>
      </c>
      <c r="AX206" s="107">
        <v>0</v>
      </c>
      <c r="AY206" s="138" t="str">
        <f t="shared" ca="1" si="103"/>
        <v xml:space="preserve"> </v>
      </c>
      <c r="AZ206" s="107">
        <f t="shared" ca="1" si="104"/>
        <v>0</v>
      </c>
      <c r="BA206" s="107">
        <f ca="1">IF(AZ206=1,(SUM($AW$6:AW206,$AX$6:AX206)-SUM($BA$6:BA205)),0)</f>
        <v>0</v>
      </c>
      <c r="BB206" s="107"/>
      <c r="BC206" s="107">
        <f ca="1">AV206+SUM($AW$6:AW206)+SUM($AX$6:AX206)-SUM($BA$6:BA206)</f>
        <v>0</v>
      </c>
      <c r="BD206" s="107">
        <f t="shared" ca="1" si="109"/>
        <v>0</v>
      </c>
      <c r="BE206" s="51">
        <f ca="1">'PiT PD Structure'!J246</f>
        <v>9.6557460764312708E-5</v>
      </c>
      <c r="BF206" s="139">
        <f t="shared" ca="1" si="122"/>
        <v>0.45</v>
      </c>
      <c r="BG206" s="51">
        <f t="shared" ca="1" si="110"/>
        <v>1</v>
      </c>
      <c r="BH206" s="50">
        <f t="shared" ca="1" si="105"/>
        <v>0</v>
      </c>
      <c r="BI206" s="50">
        <f t="shared" ca="1" si="126"/>
        <v>3.4816594052244909E-13</v>
      </c>
      <c r="BJ206" s="140">
        <v>0</v>
      </c>
      <c r="BK206" s="140">
        <v>0</v>
      </c>
      <c r="BM206" s="78"/>
      <c r="BR206" s="75">
        <f t="shared" ca="1" si="97"/>
        <v>49552</v>
      </c>
      <c r="BS206" s="74">
        <f t="shared" ca="1" si="111"/>
        <v>8</v>
      </c>
      <c r="BT206" s="74">
        <f t="shared" ca="1" si="112"/>
        <v>0</v>
      </c>
      <c r="BU206" s="73" t="str">
        <f t="shared" ca="1" si="113"/>
        <v xml:space="preserve"> </v>
      </c>
      <c r="BW206" s="75">
        <f t="shared" ca="1" si="123"/>
        <v>49552</v>
      </c>
      <c r="BX206" s="74">
        <f t="shared" ca="1" si="124"/>
        <v>8</v>
      </c>
      <c r="BY206" s="74">
        <f t="shared" ca="1" si="114"/>
        <v>0</v>
      </c>
      <c r="BZ206" s="73" t="str">
        <f t="shared" ca="1" si="115"/>
        <v xml:space="preserve"> </v>
      </c>
      <c r="CB206" s="75">
        <f t="shared" ca="1" si="125"/>
        <v>49552</v>
      </c>
      <c r="CC206" s="74">
        <f t="shared" ca="1" si="116"/>
        <v>8</v>
      </c>
      <c r="CD206" s="74">
        <f t="shared" ca="1" si="117"/>
        <v>0</v>
      </c>
      <c r="CE206" s="73" t="str">
        <f t="shared" ca="1" si="118"/>
        <v xml:space="preserve"> </v>
      </c>
    </row>
    <row r="207" spans="1:83" x14ac:dyDescent="0.2">
      <c r="A207" s="38" t="str">
        <f t="shared" si="127"/>
        <v xml:space="preserve"> </v>
      </c>
      <c r="B207" s="108"/>
      <c r="C207" s="38"/>
      <c r="D207" s="137"/>
      <c r="E207" s="137"/>
      <c r="F207" s="137"/>
      <c r="G207" s="122"/>
      <c r="H207" s="137"/>
      <c r="I207" s="50"/>
      <c r="J207" s="50"/>
      <c r="K207" s="50"/>
      <c r="L207" s="38"/>
      <c r="M207" s="38"/>
      <c r="N207" s="38"/>
      <c r="O207" s="50"/>
      <c r="P207" s="218"/>
      <c r="Q207" s="50"/>
      <c r="R207" s="50"/>
      <c r="S207" s="38"/>
      <c r="T207" s="51"/>
      <c r="U207" s="65"/>
      <c r="V207" s="105"/>
      <c r="W207" s="66"/>
      <c r="X207" s="66"/>
      <c r="Y207" s="38"/>
      <c r="Z207" s="66">
        <f t="shared" si="98"/>
        <v>0</v>
      </c>
      <c r="AA207" s="67"/>
      <c r="AC207" s="41" t="e">
        <f>VLOOKUP(A207,'Input Sheet'!$A$2:$B$232,2,0)</f>
        <v>#N/A</v>
      </c>
      <c r="AD207" s="70"/>
      <c r="AI207" s="68"/>
      <c r="AL207" s="107">
        <f t="shared" ca="1" si="119"/>
        <v>0</v>
      </c>
      <c r="AM207" s="49">
        <f t="shared" ca="1" si="120"/>
        <v>49582</v>
      </c>
      <c r="AN207" s="137" t="str">
        <f t="shared" ca="1" si="106"/>
        <v xml:space="preserve"> </v>
      </c>
      <c r="AO207" s="107">
        <f t="shared" ca="1" si="107"/>
        <v>0</v>
      </c>
      <c r="AP207" s="143">
        <f t="shared" ca="1" si="99"/>
        <v>0</v>
      </c>
      <c r="AQ207" s="143">
        <f t="shared" ca="1" si="108"/>
        <v>0</v>
      </c>
      <c r="AR207" s="49" t="str">
        <f t="shared" ca="1" si="100"/>
        <v xml:space="preserve"> </v>
      </c>
      <c r="AS207" s="107">
        <f t="shared" ca="1" si="101"/>
        <v>0</v>
      </c>
      <c r="AT207" s="107">
        <f t="shared" ca="1" si="102"/>
        <v>0</v>
      </c>
      <c r="AU207" s="107"/>
      <c r="AV207" s="107">
        <f ca="1">MAX(SUM($AQ$6:AQ207)-SUM($AT$6:AT207),0)</f>
        <v>0</v>
      </c>
      <c r="AW207" s="107">
        <f t="shared" ca="1" si="121"/>
        <v>0</v>
      </c>
      <c r="AX207" s="107">
        <v>0</v>
      </c>
      <c r="AY207" s="138" t="str">
        <f t="shared" ca="1" si="103"/>
        <v xml:space="preserve"> </v>
      </c>
      <c r="AZ207" s="107">
        <f t="shared" ca="1" si="104"/>
        <v>0</v>
      </c>
      <c r="BA207" s="107">
        <f ca="1">IF(AZ207=1,(SUM($AW$6:AW207,$AX$6:AX207)-SUM($BA$6:BA206)),0)</f>
        <v>0</v>
      </c>
      <c r="BB207" s="107"/>
      <c r="BC207" s="107">
        <f ca="1">AV207+SUM($AW$6:AW207)+SUM($AX$6:AX207)-SUM($BA$6:BA207)</f>
        <v>0</v>
      </c>
      <c r="BD207" s="107">
        <f t="shared" ca="1" si="109"/>
        <v>0</v>
      </c>
      <c r="BE207" s="51">
        <f ca="1">'PiT PD Structure'!J247</f>
        <v>9.6547858483897464E-5</v>
      </c>
      <c r="BF207" s="139">
        <f t="shared" ca="1" si="122"/>
        <v>0.45</v>
      </c>
      <c r="BG207" s="51">
        <f t="shared" ca="1" si="110"/>
        <v>1</v>
      </c>
      <c r="BH207" s="50">
        <f t="shared" ca="1" si="105"/>
        <v>0</v>
      </c>
      <c r="BI207" s="50">
        <f t="shared" ca="1" si="126"/>
        <v>3.4816594052244909E-13</v>
      </c>
      <c r="BJ207" s="140">
        <v>0</v>
      </c>
      <c r="BK207" s="140">
        <v>0</v>
      </c>
      <c r="BM207" s="78"/>
      <c r="BR207" s="75">
        <f t="shared" ca="1" si="97"/>
        <v>49582</v>
      </c>
      <c r="BS207" s="74">
        <f t="shared" ca="1" si="111"/>
        <v>9</v>
      </c>
      <c r="BT207" s="74">
        <f t="shared" ca="1" si="112"/>
        <v>0</v>
      </c>
      <c r="BU207" s="73" t="str">
        <f t="shared" ca="1" si="113"/>
        <v xml:space="preserve"> </v>
      </c>
      <c r="BW207" s="75">
        <f t="shared" ca="1" si="123"/>
        <v>49582</v>
      </c>
      <c r="BX207" s="74">
        <f t="shared" ca="1" si="124"/>
        <v>9</v>
      </c>
      <c r="BY207" s="74">
        <f t="shared" ca="1" si="114"/>
        <v>0</v>
      </c>
      <c r="BZ207" s="73" t="str">
        <f t="shared" ca="1" si="115"/>
        <v xml:space="preserve"> </v>
      </c>
      <c r="CB207" s="75">
        <f t="shared" ca="1" si="125"/>
        <v>49582</v>
      </c>
      <c r="CC207" s="74">
        <f t="shared" ca="1" si="116"/>
        <v>9</v>
      </c>
      <c r="CD207" s="74">
        <f t="shared" ca="1" si="117"/>
        <v>0</v>
      </c>
      <c r="CE207" s="73" t="str">
        <f t="shared" ca="1" si="118"/>
        <v xml:space="preserve"> </v>
      </c>
    </row>
    <row r="208" spans="1:83" x14ac:dyDescent="0.2">
      <c r="A208" s="38" t="str">
        <f t="shared" si="127"/>
        <v xml:space="preserve"> </v>
      </c>
      <c r="B208" s="108"/>
      <c r="C208" s="38"/>
      <c r="D208" s="137"/>
      <c r="E208" s="137"/>
      <c r="F208" s="137"/>
      <c r="G208" s="122"/>
      <c r="H208" s="137"/>
      <c r="I208" s="50"/>
      <c r="J208" s="50"/>
      <c r="K208" s="50"/>
      <c r="L208" s="38"/>
      <c r="M208" s="38"/>
      <c r="N208" s="38"/>
      <c r="O208" s="50"/>
      <c r="P208" s="218"/>
      <c r="Q208" s="50"/>
      <c r="R208" s="50"/>
      <c r="S208" s="38"/>
      <c r="T208" s="51"/>
      <c r="U208" s="65"/>
      <c r="V208" s="105"/>
      <c r="W208" s="66"/>
      <c r="X208" s="66"/>
      <c r="Y208" s="38"/>
      <c r="Z208" s="66">
        <f t="shared" si="98"/>
        <v>0</v>
      </c>
      <c r="AA208" s="67"/>
      <c r="AC208" s="41" t="e">
        <f>VLOOKUP(A208,'Input Sheet'!$A$2:$B$232,2,0)</f>
        <v>#N/A</v>
      </c>
      <c r="AD208" s="70"/>
      <c r="AI208" s="68"/>
      <c r="AL208" s="107">
        <f t="shared" ca="1" si="119"/>
        <v>0</v>
      </c>
      <c r="AM208" s="49">
        <f t="shared" ca="1" si="120"/>
        <v>49613</v>
      </c>
      <c r="AN208" s="137" t="str">
        <f t="shared" ca="1" si="106"/>
        <v xml:space="preserve"> </v>
      </c>
      <c r="AO208" s="107">
        <f t="shared" ca="1" si="107"/>
        <v>0</v>
      </c>
      <c r="AP208" s="143">
        <f t="shared" ca="1" si="99"/>
        <v>0</v>
      </c>
      <c r="AQ208" s="143">
        <f t="shared" ca="1" si="108"/>
        <v>0</v>
      </c>
      <c r="AR208" s="49" t="str">
        <f t="shared" ca="1" si="100"/>
        <v xml:space="preserve"> </v>
      </c>
      <c r="AS208" s="107">
        <f t="shared" ca="1" si="101"/>
        <v>0</v>
      </c>
      <c r="AT208" s="107">
        <f t="shared" ca="1" si="102"/>
        <v>0</v>
      </c>
      <c r="AU208" s="107"/>
      <c r="AV208" s="107">
        <f ca="1">MAX(SUM($AQ$6:AQ208)-SUM($AT$6:AT208),0)</f>
        <v>0</v>
      </c>
      <c r="AW208" s="107">
        <f t="shared" ca="1" si="121"/>
        <v>0</v>
      </c>
      <c r="AX208" s="107">
        <v>0</v>
      </c>
      <c r="AY208" s="138" t="str">
        <f t="shared" ca="1" si="103"/>
        <v xml:space="preserve"> </v>
      </c>
      <c r="AZ208" s="107">
        <f t="shared" ca="1" si="104"/>
        <v>0</v>
      </c>
      <c r="BA208" s="107">
        <f ca="1">IF(AZ208=1,(SUM($AW$6:AW208,$AX$6:AX208)-SUM($BA$6:BA207)),0)</f>
        <v>0</v>
      </c>
      <c r="BB208" s="107"/>
      <c r="BC208" s="107">
        <f ca="1">AV208+SUM($AW$6:AW208)+SUM($AX$6:AX208)-SUM($BA$6:BA208)</f>
        <v>0</v>
      </c>
      <c r="BD208" s="107">
        <f t="shared" ca="1" si="109"/>
        <v>0</v>
      </c>
      <c r="BE208" s="51">
        <f ca="1">'PiT PD Structure'!J248</f>
        <v>9.6538257158607088E-5</v>
      </c>
      <c r="BF208" s="139">
        <f t="shared" ca="1" si="122"/>
        <v>0.45</v>
      </c>
      <c r="BG208" s="51">
        <f t="shared" ca="1" si="110"/>
        <v>1</v>
      </c>
      <c r="BH208" s="50">
        <f t="shared" ca="1" si="105"/>
        <v>0</v>
      </c>
      <c r="BI208" s="50">
        <f t="shared" ca="1" si="126"/>
        <v>3.4816594052244909E-13</v>
      </c>
      <c r="BJ208" s="140">
        <v>0</v>
      </c>
      <c r="BK208" s="140">
        <v>0</v>
      </c>
      <c r="BM208" s="78"/>
      <c r="BR208" s="75">
        <f t="shared" ca="1" si="97"/>
        <v>49613</v>
      </c>
      <c r="BS208" s="74">
        <f t="shared" ca="1" si="111"/>
        <v>10</v>
      </c>
      <c r="BT208" s="74">
        <f t="shared" ca="1" si="112"/>
        <v>0</v>
      </c>
      <c r="BU208" s="73" t="str">
        <f t="shared" ca="1" si="113"/>
        <v xml:space="preserve"> </v>
      </c>
      <c r="BW208" s="75">
        <f t="shared" ca="1" si="123"/>
        <v>49613</v>
      </c>
      <c r="BX208" s="74">
        <f t="shared" ca="1" si="124"/>
        <v>10</v>
      </c>
      <c r="BY208" s="74">
        <f t="shared" ca="1" si="114"/>
        <v>0</v>
      </c>
      <c r="BZ208" s="73" t="str">
        <f t="shared" ca="1" si="115"/>
        <v xml:space="preserve"> </v>
      </c>
      <c r="CB208" s="75">
        <f t="shared" ca="1" si="125"/>
        <v>49613</v>
      </c>
      <c r="CC208" s="74">
        <f t="shared" ca="1" si="116"/>
        <v>10</v>
      </c>
      <c r="CD208" s="74">
        <f t="shared" ca="1" si="117"/>
        <v>0</v>
      </c>
      <c r="CE208" s="73" t="str">
        <f t="shared" ca="1" si="118"/>
        <v xml:space="preserve"> </v>
      </c>
    </row>
    <row r="209" spans="1:83" x14ac:dyDescent="0.2">
      <c r="A209" s="38" t="str">
        <f t="shared" si="127"/>
        <v xml:space="preserve"> </v>
      </c>
      <c r="B209" s="108"/>
      <c r="C209" s="38"/>
      <c r="D209" s="137"/>
      <c r="E209" s="137"/>
      <c r="F209" s="137"/>
      <c r="G209" s="122"/>
      <c r="H209" s="137"/>
      <c r="I209" s="50"/>
      <c r="J209" s="50"/>
      <c r="K209" s="50"/>
      <c r="L209" s="38"/>
      <c r="M209" s="38"/>
      <c r="N209" s="38"/>
      <c r="O209" s="50"/>
      <c r="P209" s="218"/>
      <c r="Q209" s="50"/>
      <c r="R209" s="50"/>
      <c r="S209" s="38"/>
      <c r="T209" s="51"/>
      <c r="U209" s="65"/>
      <c r="V209" s="105"/>
      <c r="W209" s="66"/>
      <c r="X209" s="66"/>
      <c r="Y209" s="38"/>
      <c r="Z209" s="66">
        <f t="shared" si="98"/>
        <v>0</v>
      </c>
      <c r="AA209" s="67"/>
      <c r="AC209" s="41" t="e">
        <f>VLOOKUP(A209,'Input Sheet'!$A$2:$B$232,2,0)</f>
        <v>#N/A</v>
      </c>
      <c r="AD209" s="70"/>
      <c r="AI209" s="68"/>
      <c r="AL209" s="107">
        <f t="shared" ca="1" si="119"/>
        <v>0</v>
      </c>
      <c r="AM209" s="49">
        <f t="shared" ca="1" si="120"/>
        <v>49643</v>
      </c>
      <c r="AN209" s="137" t="str">
        <f t="shared" ca="1" si="106"/>
        <v xml:space="preserve"> </v>
      </c>
      <c r="AO209" s="107">
        <f t="shared" ca="1" si="107"/>
        <v>0</v>
      </c>
      <c r="AP209" s="143">
        <f t="shared" ca="1" si="99"/>
        <v>0</v>
      </c>
      <c r="AQ209" s="143">
        <f t="shared" ca="1" si="108"/>
        <v>0</v>
      </c>
      <c r="AR209" s="49" t="str">
        <f t="shared" ca="1" si="100"/>
        <v xml:space="preserve"> </v>
      </c>
      <c r="AS209" s="107">
        <f t="shared" ca="1" si="101"/>
        <v>0</v>
      </c>
      <c r="AT209" s="107">
        <f t="shared" ca="1" si="102"/>
        <v>0</v>
      </c>
      <c r="AU209" s="107"/>
      <c r="AV209" s="107">
        <f ca="1">MAX(SUM($AQ$6:AQ209)-SUM($AT$6:AT209),0)</f>
        <v>0</v>
      </c>
      <c r="AW209" s="107">
        <f t="shared" ca="1" si="121"/>
        <v>0</v>
      </c>
      <c r="AX209" s="107">
        <v>0</v>
      </c>
      <c r="AY209" s="138" t="str">
        <f t="shared" ca="1" si="103"/>
        <v xml:space="preserve"> </v>
      </c>
      <c r="AZ209" s="107">
        <f t="shared" ca="1" si="104"/>
        <v>0</v>
      </c>
      <c r="BA209" s="107">
        <f ca="1">IF(AZ209=1,(SUM($AW$6:AW209,$AX$6:AX209)-SUM($BA$6:BA208)),0)</f>
        <v>0</v>
      </c>
      <c r="BB209" s="107"/>
      <c r="BC209" s="107">
        <f ca="1">AV209+SUM($AW$6:AW209)+SUM($AX$6:AX209)-SUM($BA$6:BA209)</f>
        <v>0</v>
      </c>
      <c r="BD209" s="107">
        <f t="shared" ca="1" si="109"/>
        <v>0</v>
      </c>
      <c r="BE209" s="51">
        <f ca="1">'PiT PD Structure'!J249</f>
        <v>9.6528656788108513E-5</v>
      </c>
      <c r="BF209" s="139">
        <f t="shared" ca="1" si="122"/>
        <v>0.45</v>
      </c>
      <c r="BG209" s="51">
        <f t="shared" ca="1" si="110"/>
        <v>1</v>
      </c>
      <c r="BH209" s="50">
        <f t="shared" ca="1" si="105"/>
        <v>0</v>
      </c>
      <c r="BI209" s="50">
        <f t="shared" ca="1" si="126"/>
        <v>3.4816594052244909E-13</v>
      </c>
      <c r="BJ209" s="140">
        <v>0</v>
      </c>
      <c r="BK209" s="140">
        <v>0</v>
      </c>
      <c r="BM209" s="78"/>
      <c r="BR209" s="75">
        <f t="shared" ca="1" si="97"/>
        <v>49643</v>
      </c>
      <c r="BS209" s="74">
        <f t="shared" ca="1" si="111"/>
        <v>11</v>
      </c>
      <c r="BT209" s="74">
        <f t="shared" ca="1" si="112"/>
        <v>0</v>
      </c>
      <c r="BU209" s="73" t="str">
        <f t="shared" ca="1" si="113"/>
        <v xml:space="preserve"> </v>
      </c>
      <c r="BW209" s="75">
        <f t="shared" ca="1" si="123"/>
        <v>49643</v>
      </c>
      <c r="BX209" s="74">
        <f t="shared" ca="1" si="124"/>
        <v>11</v>
      </c>
      <c r="BY209" s="74">
        <f t="shared" ca="1" si="114"/>
        <v>0</v>
      </c>
      <c r="BZ209" s="73" t="str">
        <f t="shared" ca="1" si="115"/>
        <v xml:space="preserve"> </v>
      </c>
      <c r="CB209" s="75">
        <f t="shared" ca="1" si="125"/>
        <v>49643</v>
      </c>
      <c r="CC209" s="74">
        <f t="shared" ca="1" si="116"/>
        <v>11</v>
      </c>
      <c r="CD209" s="74">
        <f t="shared" ca="1" si="117"/>
        <v>0</v>
      </c>
      <c r="CE209" s="73" t="str">
        <f t="shared" ca="1" si="118"/>
        <v xml:space="preserve"> </v>
      </c>
    </row>
    <row r="210" spans="1:83" x14ac:dyDescent="0.2">
      <c r="A210" s="38" t="str">
        <f t="shared" si="127"/>
        <v xml:space="preserve"> </v>
      </c>
      <c r="B210" s="108"/>
      <c r="C210" s="38"/>
      <c r="D210" s="137"/>
      <c r="E210" s="137"/>
      <c r="F210" s="137"/>
      <c r="G210" s="122"/>
      <c r="H210" s="137"/>
      <c r="I210" s="50"/>
      <c r="J210" s="50"/>
      <c r="K210" s="50"/>
      <c r="L210" s="38"/>
      <c r="M210" s="38"/>
      <c r="N210" s="38"/>
      <c r="O210" s="50"/>
      <c r="P210" s="218"/>
      <c r="Q210" s="50"/>
      <c r="R210" s="50"/>
      <c r="S210" s="38"/>
      <c r="T210" s="51"/>
      <c r="U210" s="65"/>
      <c r="V210" s="105"/>
      <c r="W210" s="66"/>
      <c r="X210" s="66"/>
      <c r="Y210" s="38"/>
      <c r="Z210" s="66">
        <f t="shared" si="98"/>
        <v>0</v>
      </c>
      <c r="AA210" s="67"/>
      <c r="AC210" s="41" t="e">
        <f>VLOOKUP(A210,'Input Sheet'!$A$2:$B$232,2,0)</f>
        <v>#N/A</v>
      </c>
      <c r="AD210" s="70"/>
      <c r="AI210" s="68"/>
      <c r="AL210" s="107">
        <f t="shared" ca="1" si="119"/>
        <v>0</v>
      </c>
      <c r="AM210" s="49">
        <f t="shared" ca="1" si="120"/>
        <v>49674</v>
      </c>
      <c r="AN210" s="137" t="str">
        <f t="shared" ca="1" si="106"/>
        <v xml:space="preserve"> </v>
      </c>
      <c r="AO210" s="107">
        <f t="shared" ca="1" si="107"/>
        <v>0</v>
      </c>
      <c r="AP210" s="143">
        <f t="shared" ca="1" si="99"/>
        <v>0</v>
      </c>
      <c r="AQ210" s="143">
        <f t="shared" ca="1" si="108"/>
        <v>0</v>
      </c>
      <c r="AR210" s="49" t="str">
        <f t="shared" ca="1" si="100"/>
        <v xml:space="preserve"> </v>
      </c>
      <c r="AS210" s="107">
        <f t="shared" ca="1" si="101"/>
        <v>0</v>
      </c>
      <c r="AT210" s="107">
        <f t="shared" ca="1" si="102"/>
        <v>0</v>
      </c>
      <c r="AU210" s="107"/>
      <c r="AV210" s="107">
        <f ca="1">MAX(SUM($AQ$6:AQ210)-SUM($AT$6:AT210),0)</f>
        <v>0</v>
      </c>
      <c r="AW210" s="107">
        <f t="shared" ca="1" si="121"/>
        <v>0</v>
      </c>
      <c r="AX210" s="107">
        <v>0</v>
      </c>
      <c r="AY210" s="138" t="str">
        <f t="shared" ca="1" si="103"/>
        <v xml:space="preserve"> </v>
      </c>
      <c r="AZ210" s="107">
        <f t="shared" ca="1" si="104"/>
        <v>0</v>
      </c>
      <c r="BA210" s="107">
        <f ca="1">IF(AZ210=1,(SUM($AW$6:AW210,$AX$6:AX210)-SUM($BA$6:BA209)),0)</f>
        <v>0</v>
      </c>
      <c r="BB210" s="107"/>
      <c r="BC210" s="107">
        <f ca="1">AV210+SUM($AW$6:AW210)+SUM($AX$6:AX210)-SUM($BA$6:BA210)</f>
        <v>0</v>
      </c>
      <c r="BD210" s="107">
        <f t="shared" ca="1" si="109"/>
        <v>0</v>
      </c>
      <c r="BE210" s="51">
        <f ca="1">'PiT PD Structure'!J250</f>
        <v>2.4793486888575744E-3</v>
      </c>
      <c r="BF210" s="139">
        <f t="shared" ca="1" si="122"/>
        <v>0.45</v>
      </c>
      <c r="BG210" s="51">
        <f t="shared" ca="1" si="110"/>
        <v>1</v>
      </c>
      <c r="BH210" s="50">
        <f t="shared" ca="1" si="105"/>
        <v>0</v>
      </c>
      <c r="BI210" s="50">
        <f t="shared" ca="1" si="126"/>
        <v>3.4816594052244909E-13</v>
      </c>
      <c r="BJ210" s="140">
        <v>0</v>
      </c>
      <c r="BK210" s="140">
        <v>0</v>
      </c>
      <c r="BM210" s="78"/>
      <c r="BR210" s="75">
        <f t="shared" ca="1" si="97"/>
        <v>49674</v>
      </c>
      <c r="BS210" s="74">
        <f t="shared" ca="1" si="111"/>
        <v>12</v>
      </c>
      <c r="BT210" s="74">
        <f t="shared" ca="1" si="112"/>
        <v>0</v>
      </c>
      <c r="BU210" s="73" t="str">
        <f t="shared" ca="1" si="113"/>
        <v xml:space="preserve"> </v>
      </c>
      <c r="BW210" s="75">
        <f t="shared" ca="1" si="123"/>
        <v>49674</v>
      </c>
      <c r="BX210" s="74">
        <f t="shared" ca="1" si="124"/>
        <v>12</v>
      </c>
      <c r="BY210" s="74">
        <f t="shared" ca="1" si="114"/>
        <v>0</v>
      </c>
      <c r="BZ210" s="73" t="str">
        <f t="shared" ca="1" si="115"/>
        <v xml:space="preserve"> </v>
      </c>
      <c r="CB210" s="75">
        <f t="shared" ca="1" si="125"/>
        <v>49674</v>
      </c>
      <c r="CC210" s="74">
        <f t="shared" ca="1" si="116"/>
        <v>12</v>
      </c>
      <c r="CD210" s="74">
        <f t="shared" ca="1" si="117"/>
        <v>0</v>
      </c>
      <c r="CE210" s="73" t="str">
        <f t="shared" ca="1" si="118"/>
        <v xml:space="preserve"> </v>
      </c>
    </row>
    <row r="211" spans="1:83" x14ac:dyDescent="0.2">
      <c r="A211" s="38" t="str">
        <f t="shared" si="127"/>
        <v xml:space="preserve"> </v>
      </c>
      <c r="B211" s="108"/>
      <c r="C211" s="38"/>
      <c r="D211" s="137"/>
      <c r="E211" s="137"/>
      <c r="F211" s="137"/>
      <c r="G211" s="122"/>
      <c r="H211" s="137"/>
      <c r="I211" s="50"/>
      <c r="J211" s="50"/>
      <c r="K211" s="50"/>
      <c r="L211" s="38"/>
      <c r="M211" s="38"/>
      <c r="N211" s="38"/>
      <c r="O211" s="50"/>
      <c r="P211" s="218"/>
      <c r="Q211" s="50"/>
      <c r="R211" s="50"/>
      <c r="S211" s="38"/>
      <c r="T211" s="51"/>
      <c r="U211" s="65"/>
      <c r="V211" s="105"/>
      <c r="W211" s="66"/>
      <c r="X211" s="66"/>
      <c r="Y211" s="38"/>
      <c r="Z211" s="66">
        <f t="shared" si="98"/>
        <v>0</v>
      </c>
      <c r="AA211" s="67"/>
      <c r="AC211" s="41" t="e">
        <f>VLOOKUP(A211,'Input Sheet'!$A$2:$B$232,2,0)</f>
        <v>#N/A</v>
      </c>
      <c r="AD211" s="70"/>
      <c r="AI211" s="68"/>
      <c r="AL211" s="107">
        <f t="shared" ca="1" si="119"/>
        <v>0</v>
      </c>
      <c r="AM211" s="49">
        <f t="shared" ca="1" si="120"/>
        <v>49705</v>
      </c>
      <c r="AN211" s="137" t="str">
        <f t="shared" ca="1" si="106"/>
        <v xml:space="preserve"> </v>
      </c>
      <c r="AO211" s="107">
        <f t="shared" ca="1" si="107"/>
        <v>0</v>
      </c>
      <c r="AP211" s="143">
        <f t="shared" ca="1" si="99"/>
        <v>0</v>
      </c>
      <c r="AQ211" s="143">
        <f t="shared" ca="1" si="108"/>
        <v>0</v>
      </c>
      <c r="AR211" s="49" t="str">
        <f t="shared" ca="1" si="100"/>
        <v xml:space="preserve"> </v>
      </c>
      <c r="AS211" s="107">
        <f t="shared" ca="1" si="101"/>
        <v>0</v>
      </c>
      <c r="AT211" s="107">
        <f t="shared" ca="1" si="102"/>
        <v>0</v>
      </c>
      <c r="AU211" s="107"/>
      <c r="AV211" s="107">
        <f ca="1">MAX(SUM($AQ$6:AQ211)-SUM($AT$6:AT211),0)</f>
        <v>0</v>
      </c>
      <c r="AW211" s="107">
        <f t="shared" ca="1" si="121"/>
        <v>0</v>
      </c>
      <c r="AX211" s="107">
        <v>0</v>
      </c>
      <c r="AY211" s="138" t="str">
        <f t="shared" ca="1" si="103"/>
        <v xml:space="preserve"> </v>
      </c>
      <c r="AZ211" s="107">
        <f t="shared" ca="1" si="104"/>
        <v>0</v>
      </c>
      <c r="BA211" s="107">
        <f ca="1">IF(AZ211=1,(SUM($AW$6:AW211,$AX$6:AX211)-SUM($BA$6:BA210)),0)</f>
        <v>0</v>
      </c>
      <c r="BB211" s="107"/>
      <c r="BC211" s="107">
        <f ca="1">AV211+SUM($AW$6:AW211)+SUM($AX$6:AX211)-SUM($BA$6:BA211)</f>
        <v>0</v>
      </c>
      <c r="BD211" s="107">
        <f t="shared" ca="1" si="109"/>
        <v>0</v>
      </c>
      <c r="BE211" s="51">
        <f ca="1">'PiT PD Structure'!J251</f>
        <v>1.0261678926326567E-4</v>
      </c>
      <c r="BF211" s="139">
        <f t="shared" ca="1" si="122"/>
        <v>0.45</v>
      </c>
      <c r="BG211" s="51">
        <f t="shared" ca="1" si="110"/>
        <v>1</v>
      </c>
      <c r="BH211" s="50">
        <f t="shared" ca="1" si="105"/>
        <v>0</v>
      </c>
      <c r="BI211" s="50">
        <f t="shared" ca="1" si="126"/>
        <v>3.4816594052244909E-13</v>
      </c>
      <c r="BJ211" s="140">
        <v>0</v>
      </c>
      <c r="BK211" s="140">
        <v>0</v>
      </c>
      <c r="BM211" s="78"/>
      <c r="BR211" s="75">
        <f t="shared" ca="1" si="97"/>
        <v>49705</v>
      </c>
      <c r="BS211" s="74">
        <f t="shared" ca="1" si="111"/>
        <v>1</v>
      </c>
      <c r="BT211" s="74">
        <f t="shared" ca="1" si="112"/>
        <v>0</v>
      </c>
      <c r="BU211" s="73" t="str">
        <f t="shared" ca="1" si="113"/>
        <v xml:space="preserve"> </v>
      </c>
      <c r="BW211" s="75">
        <f t="shared" ca="1" si="123"/>
        <v>49705</v>
      </c>
      <c r="BX211" s="74">
        <f t="shared" ca="1" si="124"/>
        <v>1</v>
      </c>
      <c r="BY211" s="74">
        <f t="shared" ca="1" si="114"/>
        <v>0</v>
      </c>
      <c r="BZ211" s="73" t="str">
        <f t="shared" ca="1" si="115"/>
        <v xml:space="preserve"> </v>
      </c>
      <c r="CB211" s="75">
        <f t="shared" ca="1" si="125"/>
        <v>49705</v>
      </c>
      <c r="CC211" s="74">
        <f t="shared" ca="1" si="116"/>
        <v>1</v>
      </c>
      <c r="CD211" s="74">
        <f t="shared" ca="1" si="117"/>
        <v>0</v>
      </c>
      <c r="CE211" s="73" t="str">
        <f t="shared" ca="1" si="118"/>
        <v xml:space="preserve"> </v>
      </c>
    </row>
    <row r="212" spans="1:83" x14ac:dyDescent="0.2">
      <c r="A212" s="38" t="str">
        <f t="shared" si="127"/>
        <v xml:space="preserve"> </v>
      </c>
      <c r="B212" s="108"/>
      <c r="C212" s="38"/>
      <c r="D212" s="137"/>
      <c r="E212" s="137"/>
      <c r="F212" s="137"/>
      <c r="G212" s="122"/>
      <c r="H212" s="137"/>
      <c r="I212" s="50"/>
      <c r="J212" s="50"/>
      <c r="K212" s="50"/>
      <c r="L212" s="38"/>
      <c r="M212" s="38"/>
      <c r="N212" s="38"/>
      <c r="O212" s="50"/>
      <c r="P212" s="218"/>
      <c r="Q212" s="50"/>
      <c r="R212" s="50"/>
      <c r="S212" s="38"/>
      <c r="T212" s="51"/>
      <c r="U212" s="65"/>
      <c r="V212" s="105"/>
      <c r="W212" s="66"/>
      <c r="X212" s="66"/>
      <c r="Y212" s="38"/>
      <c r="Z212" s="66">
        <f t="shared" si="98"/>
        <v>0</v>
      </c>
      <c r="AA212" s="67"/>
      <c r="AC212" s="41" t="e">
        <f>VLOOKUP(A212,'Input Sheet'!$A$2:$B$232,2,0)</f>
        <v>#N/A</v>
      </c>
      <c r="AD212" s="70"/>
      <c r="AI212" s="68"/>
      <c r="AL212" s="107">
        <f t="shared" ca="1" si="119"/>
        <v>0</v>
      </c>
      <c r="AM212" s="49">
        <f t="shared" ca="1" si="120"/>
        <v>49734</v>
      </c>
      <c r="AN212" s="137" t="str">
        <f t="shared" ca="1" si="106"/>
        <v xml:space="preserve"> </v>
      </c>
      <c r="AO212" s="107">
        <f t="shared" ca="1" si="107"/>
        <v>0</v>
      </c>
      <c r="AP212" s="143">
        <f t="shared" ca="1" si="99"/>
        <v>0</v>
      </c>
      <c r="AQ212" s="143">
        <f t="shared" ca="1" si="108"/>
        <v>0</v>
      </c>
      <c r="AR212" s="49" t="str">
        <f t="shared" ca="1" si="100"/>
        <v xml:space="preserve"> </v>
      </c>
      <c r="AS212" s="107">
        <f t="shared" ca="1" si="101"/>
        <v>0</v>
      </c>
      <c r="AT212" s="107">
        <f t="shared" ca="1" si="102"/>
        <v>0</v>
      </c>
      <c r="AU212" s="107"/>
      <c r="AV212" s="107">
        <f ca="1">MAX(SUM($AQ$6:AQ212)-SUM($AT$6:AT212),0)</f>
        <v>0</v>
      </c>
      <c r="AW212" s="107">
        <f t="shared" ca="1" si="121"/>
        <v>0</v>
      </c>
      <c r="AX212" s="107">
        <v>0</v>
      </c>
      <c r="AY212" s="138" t="str">
        <f t="shared" ca="1" si="103"/>
        <v xml:space="preserve"> </v>
      </c>
      <c r="AZ212" s="107">
        <f t="shared" ca="1" si="104"/>
        <v>0</v>
      </c>
      <c r="BA212" s="107">
        <f ca="1">IF(AZ212=1,(SUM($AW$6:AW212,$AX$6:AX212)-SUM($BA$6:BA211)),0)</f>
        <v>0</v>
      </c>
      <c r="BB212" s="107"/>
      <c r="BC212" s="107">
        <f ca="1">AV212+SUM($AW$6:AW212)+SUM($AX$6:AX212)-SUM($BA$6:BA212)</f>
        <v>0</v>
      </c>
      <c r="BD212" s="107">
        <f t="shared" ca="1" si="109"/>
        <v>0</v>
      </c>
      <c r="BE212" s="51">
        <f ca="1">'PiT PD Structure'!J252</f>
        <v>1.0260591191180168E-4</v>
      </c>
      <c r="BF212" s="139">
        <f t="shared" ca="1" si="122"/>
        <v>0.45</v>
      </c>
      <c r="BG212" s="51">
        <f t="shared" ca="1" si="110"/>
        <v>1</v>
      </c>
      <c r="BH212" s="50">
        <f t="shared" ca="1" si="105"/>
        <v>0</v>
      </c>
      <c r="BI212" s="50">
        <f t="shared" ca="1" si="126"/>
        <v>3.4816594052244909E-13</v>
      </c>
      <c r="BJ212" s="140">
        <v>0</v>
      </c>
      <c r="BK212" s="140">
        <v>0</v>
      </c>
      <c r="BM212" s="78"/>
      <c r="BR212" s="75">
        <f t="shared" ca="1" si="97"/>
        <v>49734</v>
      </c>
      <c r="BS212" s="74">
        <f t="shared" ca="1" si="111"/>
        <v>2</v>
      </c>
      <c r="BT212" s="74">
        <f t="shared" ca="1" si="112"/>
        <v>0</v>
      </c>
      <c r="BU212" s="73" t="str">
        <f t="shared" ca="1" si="113"/>
        <v xml:space="preserve"> </v>
      </c>
      <c r="BW212" s="75">
        <f t="shared" ca="1" si="123"/>
        <v>49734</v>
      </c>
      <c r="BX212" s="74">
        <f t="shared" ca="1" si="124"/>
        <v>2</v>
      </c>
      <c r="BY212" s="74">
        <f t="shared" ca="1" si="114"/>
        <v>0</v>
      </c>
      <c r="BZ212" s="73" t="str">
        <f t="shared" ca="1" si="115"/>
        <v xml:space="preserve"> </v>
      </c>
      <c r="CB212" s="75">
        <f t="shared" ca="1" si="125"/>
        <v>49734</v>
      </c>
      <c r="CC212" s="74">
        <f t="shared" ca="1" si="116"/>
        <v>2</v>
      </c>
      <c r="CD212" s="74">
        <f t="shared" ca="1" si="117"/>
        <v>0</v>
      </c>
      <c r="CE212" s="73" t="str">
        <f t="shared" ca="1" si="118"/>
        <v xml:space="preserve"> </v>
      </c>
    </row>
    <row r="213" spans="1:83" x14ac:dyDescent="0.2">
      <c r="A213" s="38" t="str">
        <f t="shared" si="127"/>
        <v xml:space="preserve"> </v>
      </c>
      <c r="B213" s="108"/>
      <c r="C213" s="38"/>
      <c r="D213" s="137"/>
      <c r="E213" s="137"/>
      <c r="F213" s="137"/>
      <c r="G213" s="122"/>
      <c r="H213" s="137"/>
      <c r="I213" s="50"/>
      <c r="J213" s="50"/>
      <c r="K213" s="50"/>
      <c r="L213" s="38"/>
      <c r="M213" s="38"/>
      <c r="N213" s="38"/>
      <c r="O213" s="50"/>
      <c r="P213" s="218"/>
      <c r="Q213" s="50"/>
      <c r="R213" s="50"/>
      <c r="S213" s="38"/>
      <c r="T213" s="51"/>
      <c r="U213" s="65"/>
      <c r="V213" s="105"/>
      <c r="W213" s="66"/>
      <c r="X213" s="66"/>
      <c r="Y213" s="38"/>
      <c r="Z213" s="66">
        <f t="shared" si="98"/>
        <v>0</v>
      </c>
      <c r="AA213" s="67"/>
      <c r="AC213" s="41" t="e">
        <f>VLOOKUP(A213,'Input Sheet'!$A$2:$B$232,2,0)</f>
        <v>#N/A</v>
      </c>
      <c r="AD213" s="70"/>
      <c r="AI213" s="68"/>
      <c r="AL213" s="107">
        <f t="shared" ca="1" si="119"/>
        <v>0</v>
      </c>
      <c r="AM213" s="49">
        <f t="shared" ca="1" si="120"/>
        <v>49765</v>
      </c>
      <c r="AN213" s="137" t="str">
        <f t="shared" ca="1" si="106"/>
        <v xml:space="preserve"> </v>
      </c>
      <c r="AO213" s="107">
        <f t="shared" ca="1" si="107"/>
        <v>0</v>
      </c>
      <c r="AP213" s="143">
        <f t="shared" ca="1" si="99"/>
        <v>0</v>
      </c>
      <c r="AQ213" s="143">
        <f t="shared" ca="1" si="108"/>
        <v>0</v>
      </c>
      <c r="AR213" s="49" t="str">
        <f t="shared" ca="1" si="100"/>
        <v xml:space="preserve"> </v>
      </c>
      <c r="AS213" s="107">
        <f t="shared" ca="1" si="101"/>
        <v>0</v>
      </c>
      <c r="AT213" s="107">
        <f t="shared" ca="1" si="102"/>
        <v>0</v>
      </c>
      <c r="AU213" s="107"/>
      <c r="AV213" s="107">
        <f ca="1">MAX(SUM($AQ$6:AQ213)-SUM($AT$6:AT213),0)</f>
        <v>0</v>
      </c>
      <c r="AW213" s="107">
        <f t="shared" ca="1" si="121"/>
        <v>0</v>
      </c>
      <c r="AX213" s="107">
        <v>0</v>
      </c>
      <c r="AY213" s="138" t="str">
        <f t="shared" ca="1" si="103"/>
        <v xml:space="preserve"> </v>
      </c>
      <c r="AZ213" s="107">
        <f t="shared" ca="1" si="104"/>
        <v>0</v>
      </c>
      <c r="BA213" s="107">
        <f ca="1">IF(AZ213=1,(SUM($AW$6:AW213,$AX$6:AX213)-SUM($BA$6:BA212)),0)</f>
        <v>0</v>
      </c>
      <c r="BB213" s="107"/>
      <c r="BC213" s="107">
        <f ca="1">AV213+SUM($AW$6:AW213)+SUM($AX$6:AX213)-SUM($BA$6:BA213)</f>
        <v>0</v>
      </c>
      <c r="BD213" s="107">
        <f t="shared" ca="1" si="109"/>
        <v>0</v>
      </c>
      <c r="BE213" s="51">
        <f ca="1">'PiT PD Structure'!J253</f>
        <v>1.0259503571341533E-4</v>
      </c>
      <c r="BF213" s="139">
        <f t="shared" ca="1" si="122"/>
        <v>0.45</v>
      </c>
      <c r="BG213" s="51">
        <f t="shared" ca="1" si="110"/>
        <v>1</v>
      </c>
      <c r="BH213" s="50">
        <f t="shared" ca="1" si="105"/>
        <v>0</v>
      </c>
      <c r="BI213" s="50">
        <f t="shared" ca="1" si="126"/>
        <v>3.4816594052244909E-13</v>
      </c>
      <c r="BJ213" s="140">
        <v>0</v>
      </c>
      <c r="BK213" s="140">
        <v>0</v>
      </c>
      <c r="BM213" s="78"/>
      <c r="BR213" s="75">
        <f t="shared" ca="1" si="97"/>
        <v>49765</v>
      </c>
      <c r="BS213" s="74">
        <f t="shared" ca="1" si="111"/>
        <v>3</v>
      </c>
      <c r="BT213" s="74">
        <f t="shared" ca="1" si="112"/>
        <v>0</v>
      </c>
      <c r="BU213" s="73" t="str">
        <f t="shared" ca="1" si="113"/>
        <v xml:space="preserve"> </v>
      </c>
      <c r="BW213" s="75">
        <f t="shared" ca="1" si="123"/>
        <v>49765</v>
      </c>
      <c r="BX213" s="74">
        <f t="shared" ca="1" si="124"/>
        <v>3</v>
      </c>
      <c r="BY213" s="74">
        <f t="shared" ca="1" si="114"/>
        <v>0</v>
      </c>
      <c r="BZ213" s="73" t="str">
        <f t="shared" ca="1" si="115"/>
        <v xml:space="preserve"> </v>
      </c>
      <c r="CB213" s="75">
        <f t="shared" ca="1" si="125"/>
        <v>49765</v>
      </c>
      <c r="CC213" s="74">
        <f t="shared" ca="1" si="116"/>
        <v>3</v>
      </c>
      <c r="CD213" s="74">
        <f t="shared" ca="1" si="117"/>
        <v>0</v>
      </c>
      <c r="CE213" s="73" t="str">
        <f t="shared" ca="1" si="118"/>
        <v xml:space="preserve"> </v>
      </c>
    </row>
    <row r="214" spans="1:83" x14ac:dyDescent="0.2">
      <c r="A214" s="38" t="str">
        <f t="shared" si="127"/>
        <v xml:space="preserve"> </v>
      </c>
      <c r="B214" s="108"/>
      <c r="C214" s="38"/>
      <c r="D214" s="137"/>
      <c r="E214" s="137"/>
      <c r="F214" s="137"/>
      <c r="G214" s="122"/>
      <c r="H214" s="137"/>
      <c r="I214" s="50"/>
      <c r="J214" s="50"/>
      <c r="K214" s="50"/>
      <c r="L214" s="38"/>
      <c r="M214" s="38"/>
      <c r="N214" s="38"/>
      <c r="O214" s="50"/>
      <c r="P214" s="218"/>
      <c r="Q214" s="50"/>
      <c r="R214" s="50"/>
      <c r="S214" s="38"/>
      <c r="T214" s="51"/>
      <c r="U214" s="65"/>
      <c r="V214" s="105"/>
      <c r="W214" s="66"/>
      <c r="X214" s="66"/>
      <c r="Y214" s="38"/>
      <c r="Z214" s="66">
        <f t="shared" si="98"/>
        <v>0</v>
      </c>
      <c r="AA214" s="67"/>
      <c r="AC214" s="41" t="e">
        <f>VLOOKUP(A214,'Input Sheet'!$A$2:$B$232,2,0)</f>
        <v>#N/A</v>
      </c>
      <c r="AD214" s="70"/>
      <c r="AI214" s="68"/>
      <c r="AL214" s="107">
        <f t="shared" ca="1" si="119"/>
        <v>0</v>
      </c>
      <c r="AM214" s="49">
        <f t="shared" ca="1" si="120"/>
        <v>49795</v>
      </c>
      <c r="AN214" s="137" t="str">
        <f t="shared" ca="1" si="106"/>
        <v xml:space="preserve"> </v>
      </c>
      <c r="AO214" s="107">
        <f t="shared" ca="1" si="107"/>
        <v>0</v>
      </c>
      <c r="AP214" s="143">
        <f t="shared" ca="1" si="99"/>
        <v>0</v>
      </c>
      <c r="AQ214" s="143">
        <f t="shared" ca="1" si="108"/>
        <v>0</v>
      </c>
      <c r="AR214" s="49" t="str">
        <f t="shared" ca="1" si="100"/>
        <v xml:space="preserve"> </v>
      </c>
      <c r="AS214" s="107">
        <f t="shared" ca="1" si="101"/>
        <v>0</v>
      </c>
      <c r="AT214" s="107">
        <f t="shared" ca="1" si="102"/>
        <v>0</v>
      </c>
      <c r="AU214" s="107"/>
      <c r="AV214" s="107">
        <f ca="1">MAX(SUM($AQ$6:AQ214)-SUM($AT$6:AT214),0)</f>
        <v>0</v>
      </c>
      <c r="AW214" s="107">
        <f t="shared" ca="1" si="121"/>
        <v>0</v>
      </c>
      <c r="AX214" s="107">
        <v>0</v>
      </c>
      <c r="AY214" s="138" t="str">
        <f t="shared" ca="1" si="103"/>
        <v xml:space="preserve"> </v>
      </c>
      <c r="AZ214" s="107">
        <f t="shared" ca="1" si="104"/>
        <v>0</v>
      </c>
      <c r="BA214" s="107">
        <f ca="1">IF(AZ214=1,(SUM($AW$6:AW214,$AX$6:AX214)-SUM($BA$6:BA213)),0)</f>
        <v>0</v>
      </c>
      <c r="BB214" s="107"/>
      <c r="BC214" s="107">
        <f ca="1">AV214+SUM($AW$6:AW214)+SUM($AX$6:AX214)-SUM($BA$6:BA214)</f>
        <v>0</v>
      </c>
      <c r="BD214" s="107">
        <f t="shared" ca="1" si="109"/>
        <v>0</v>
      </c>
      <c r="BE214" s="51">
        <f ca="1">'PiT PD Structure'!J254</f>
        <v>1.0258416066788456E-4</v>
      </c>
      <c r="BF214" s="139">
        <f t="shared" ca="1" si="122"/>
        <v>0.45</v>
      </c>
      <c r="BG214" s="51">
        <f t="shared" ca="1" si="110"/>
        <v>1</v>
      </c>
      <c r="BH214" s="50">
        <f t="shared" ca="1" si="105"/>
        <v>0</v>
      </c>
      <c r="BI214" s="50">
        <f t="shared" ca="1" si="126"/>
        <v>3.4816594052244909E-13</v>
      </c>
      <c r="BJ214" s="140">
        <v>0</v>
      </c>
      <c r="BK214" s="140">
        <v>0</v>
      </c>
      <c r="BM214" s="78"/>
      <c r="BR214" s="75">
        <f t="shared" ca="1" si="97"/>
        <v>49795</v>
      </c>
      <c r="BS214" s="74">
        <f t="shared" ca="1" si="111"/>
        <v>4</v>
      </c>
      <c r="BT214" s="74">
        <f t="shared" ca="1" si="112"/>
        <v>0</v>
      </c>
      <c r="BU214" s="73" t="str">
        <f t="shared" ca="1" si="113"/>
        <v xml:space="preserve"> </v>
      </c>
      <c r="BW214" s="75">
        <f t="shared" ca="1" si="123"/>
        <v>49795</v>
      </c>
      <c r="BX214" s="74">
        <f t="shared" ca="1" si="124"/>
        <v>4</v>
      </c>
      <c r="BY214" s="74">
        <f t="shared" ca="1" si="114"/>
        <v>0</v>
      </c>
      <c r="BZ214" s="73" t="str">
        <f t="shared" ca="1" si="115"/>
        <v xml:space="preserve"> </v>
      </c>
      <c r="CB214" s="75">
        <f t="shared" ca="1" si="125"/>
        <v>49795</v>
      </c>
      <c r="CC214" s="74">
        <f t="shared" ca="1" si="116"/>
        <v>4</v>
      </c>
      <c r="CD214" s="74">
        <f t="shared" ca="1" si="117"/>
        <v>0</v>
      </c>
      <c r="CE214" s="73" t="str">
        <f t="shared" ca="1" si="118"/>
        <v xml:space="preserve"> </v>
      </c>
    </row>
    <row r="215" spans="1:83" x14ac:dyDescent="0.2">
      <c r="A215" s="38" t="str">
        <f t="shared" si="127"/>
        <v xml:space="preserve"> </v>
      </c>
      <c r="B215" s="108"/>
      <c r="C215" s="38"/>
      <c r="D215" s="137"/>
      <c r="E215" s="137"/>
      <c r="F215" s="137"/>
      <c r="G215" s="122"/>
      <c r="H215" s="137"/>
      <c r="I215" s="50"/>
      <c r="J215" s="50"/>
      <c r="K215" s="50"/>
      <c r="L215" s="38"/>
      <c r="M215" s="38"/>
      <c r="N215" s="38"/>
      <c r="O215" s="50"/>
      <c r="P215" s="218"/>
      <c r="Q215" s="50"/>
      <c r="R215" s="50"/>
      <c r="S215" s="38"/>
      <c r="T215" s="51"/>
      <c r="U215" s="65"/>
      <c r="V215" s="105"/>
      <c r="W215" s="66"/>
      <c r="X215" s="66"/>
      <c r="Y215" s="38"/>
      <c r="Z215" s="66">
        <f t="shared" si="98"/>
        <v>0</v>
      </c>
      <c r="AA215" s="67"/>
      <c r="AC215" s="41" t="e">
        <f>VLOOKUP(A215,'Input Sheet'!$A$2:$B$232,2,0)</f>
        <v>#N/A</v>
      </c>
      <c r="AD215" s="70"/>
      <c r="AI215" s="68"/>
      <c r="AL215" s="107">
        <f t="shared" ca="1" si="119"/>
        <v>0</v>
      </c>
      <c r="AM215" s="49">
        <f t="shared" ca="1" si="120"/>
        <v>49826</v>
      </c>
      <c r="AN215" s="137" t="str">
        <f t="shared" ca="1" si="106"/>
        <v xml:space="preserve"> </v>
      </c>
      <c r="AO215" s="107">
        <f t="shared" ca="1" si="107"/>
        <v>0</v>
      </c>
      <c r="AP215" s="143">
        <f t="shared" ca="1" si="99"/>
        <v>0</v>
      </c>
      <c r="AQ215" s="143">
        <f t="shared" ca="1" si="108"/>
        <v>0</v>
      </c>
      <c r="AR215" s="49" t="str">
        <f t="shared" ca="1" si="100"/>
        <v xml:space="preserve"> </v>
      </c>
      <c r="AS215" s="107">
        <f t="shared" ca="1" si="101"/>
        <v>0</v>
      </c>
      <c r="AT215" s="107">
        <f t="shared" ca="1" si="102"/>
        <v>0</v>
      </c>
      <c r="AU215" s="107"/>
      <c r="AV215" s="107">
        <f ca="1">MAX(SUM($AQ$6:AQ215)-SUM($AT$6:AT215),0)</f>
        <v>0</v>
      </c>
      <c r="AW215" s="107">
        <f t="shared" ca="1" si="121"/>
        <v>0</v>
      </c>
      <c r="AX215" s="107">
        <v>0</v>
      </c>
      <c r="AY215" s="138" t="str">
        <f t="shared" ca="1" si="103"/>
        <v xml:space="preserve"> </v>
      </c>
      <c r="AZ215" s="107">
        <f t="shared" ca="1" si="104"/>
        <v>0</v>
      </c>
      <c r="BA215" s="107">
        <f ca="1">IF(AZ215=1,(SUM($AW$6:AW215,$AX$6:AX215)-SUM($BA$6:BA214)),0)</f>
        <v>0</v>
      </c>
      <c r="BB215" s="107"/>
      <c r="BC215" s="107">
        <f ca="1">AV215+SUM($AW$6:AW215)+SUM($AX$6:AX215)-SUM($BA$6:BA215)</f>
        <v>0</v>
      </c>
      <c r="BD215" s="107">
        <f t="shared" ca="1" si="109"/>
        <v>0</v>
      </c>
      <c r="BE215" s="51">
        <f ca="1">'PiT PD Structure'!J255</f>
        <v>1.0257328677509836E-4</v>
      </c>
      <c r="BF215" s="139">
        <f t="shared" ca="1" si="122"/>
        <v>0.45</v>
      </c>
      <c r="BG215" s="51">
        <f t="shared" ca="1" si="110"/>
        <v>1</v>
      </c>
      <c r="BH215" s="50">
        <f t="shared" ca="1" si="105"/>
        <v>0</v>
      </c>
      <c r="BI215" s="50">
        <f t="shared" ca="1" si="126"/>
        <v>3.4816594052244909E-13</v>
      </c>
      <c r="BJ215" s="140">
        <v>0</v>
      </c>
      <c r="BK215" s="140">
        <v>0</v>
      </c>
      <c r="BM215" s="78"/>
      <c r="BR215" s="75">
        <f t="shared" ca="1" si="97"/>
        <v>49826</v>
      </c>
      <c r="BS215" s="74">
        <f t="shared" ca="1" si="111"/>
        <v>5</v>
      </c>
      <c r="BT215" s="74">
        <f t="shared" ca="1" si="112"/>
        <v>0</v>
      </c>
      <c r="BU215" s="73" t="str">
        <f t="shared" ca="1" si="113"/>
        <v xml:space="preserve"> </v>
      </c>
      <c r="BW215" s="75">
        <f t="shared" ca="1" si="123"/>
        <v>49826</v>
      </c>
      <c r="BX215" s="74">
        <f t="shared" ca="1" si="124"/>
        <v>5</v>
      </c>
      <c r="BY215" s="74">
        <f t="shared" ca="1" si="114"/>
        <v>0</v>
      </c>
      <c r="BZ215" s="73" t="str">
        <f t="shared" ca="1" si="115"/>
        <v xml:space="preserve"> </v>
      </c>
      <c r="CB215" s="75">
        <f t="shared" ca="1" si="125"/>
        <v>49826</v>
      </c>
      <c r="CC215" s="74">
        <f t="shared" ca="1" si="116"/>
        <v>5</v>
      </c>
      <c r="CD215" s="74">
        <f t="shared" ca="1" si="117"/>
        <v>0</v>
      </c>
      <c r="CE215" s="73" t="str">
        <f t="shared" ca="1" si="118"/>
        <v xml:space="preserve"> </v>
      </c>
    </row>
    <row r="216" spans="1:83" x14ac:dyDescent="0.2">
      <c r="A216" s="38" t="str">
        <f t="shared" si="127"/>
        <v xml:space="preserve"> </v>
      </c>
      <c r="B216" s="108"/>
      <c r="C216" s="38"/>
      <c r="D216" s="137"/>
      <c r="E216" s="137"/>
      <c r="F216" s="137"/>
      <c r="G216" s="122"/>
      <c r="H216" s="137"/>
      <c r="I216" s="50"/>
      <c r="J216" s="50"/>
      <c r="K216" s="50"/>
      <c r="L216" s="38"/>
      <c r="M216" s="38"/>
      <c r="N216" s="38"/>
      <c r="O216" s="50"/>
      <c r="P216" s="218"/>
      <c r="Q216" s="50"/>
      <c r="R216" s="50"/>
      <c r="S216" s="38"/>
      <c r="T216" s="51"/>
      <c r="U216" s="65"/>
      <c r="V216" s="105"/>
      <c r="W216" s="66"/>
      <c r="X216" s="66"/>
      <c r="Y216" s="38"/>
      <c r="Z216" s="66">
        <f t="shared" si="98"/>
        <v>0</v>
      </c>
      <c r="AA216" s="67"/>
      <c r="AC216" s="41" t="e">
        <f>VLOOKUP(A216,'Input Sheet'!$A$2:$B$232,2,0)</f>
        <v>#N/A</v>
      </c>
      <c r="AD216" s="70"/>
      <c r="AI216" s="68"/>
      <c r="AL216" s="107">
        <f t="shared" ca="1" si="119"/>
        <v>0</v>
      </c>
      <c r="AM216" s="49">
        <f t="shared" ca="1" si="120"/>
        <v>49856</v>
      </c>
      <c r="AN216" s="137" t="str">
        <f t="shared" ca="1" si="106"/>
        <v xml:space="preserve"> </v>
      </c>
      <c r="AO216" s="107">
        <f t="shared" ca="1" si="107"/>
        <v>0</v>
      </c>
      <c r="AP216" s="143">
        <f t="shared" ca="1" si="99"/>
        <v>0</v>
      </c>
      <c r="AQ216" s="143">
        <f t="shared" ca="1" si="108"/>
        <v>0</v>
      </c>
      <c r="AR216" s="49" t="str">
        <f t="shared" ca="1" si="100"/>
        <v xml:space="preserve"> </v>
      </c>
      <c r="AS216" s="107">
        <f t="shared" ca="1" si="101"/>
        <v>0</v>
      </c>
      <c r="AT216" s="107">
        <f t="shared" ca="1" si="102"/>
        <v>0</v>
      </c>
      <c r="AU216" s="107"/>
      <c r="AV216" s="107">
        <f ca="1">MAX(SUM($AQ$6:AQ216)-SUM($AT$6:AT216),0)</f>
        <v>0</v>
      </c>
      <c r="AW216" s="107">
        <f t="shared" ca="1" si="121"/>
        <v>0</v>
      </c>
      <c r="AX216" s="107">
        <v>0</v>
      </c>
      <c r="AY216" s="138" t="str">
        <f t="shared" ca="1" si="103"/>
        <v xml:space="preserve"> </v>
      </c>
      <c r="AZ216" s="107">
        <f t="shared" ca="1" si="104"/>
        <v>0</v>
      </c>
      <c r="BA216" s="107">
        <f ca="1">IF(AZ216=1,(SUM($AW$6:AW216,$AX$6:AX216)-SUM($BA$6:BA215)),0)</f>
        <v>0</v>
      </c>
      <c r="BB216" s="107"/>
      <c r="BC216" s="107">
        <f ca="1">AV216+SUM($AW$6:AW216)+SUM($AX$6:AX216)-SUM($BA$6:BA216)</f>
        <v>0</v>
      </c>
      <c r="BD216" s="107">
        <f t="shared" ca="1" si="109"/>
        <v>0</v>
      </c>
      <c r="BE216" s="51">
        <f ca="1">'PiT PD Structure'!J256</f>
        <v>1.025624140349457E-4</v>
      </c>
      <c r="BF216" s="139">
        <f t="shared" ca="1" si="122"/>
        <v>0.45</v>
      </c>
      <c r="BG216" s="51">
        <f t="shared" ca="1" si="110"/>
        <v>1</v>
      </c>
      <c r="BH216" s="50">
        <f t="shared" ca="1" si="105"/>
        <v>0</v>
      </c>
      <c r="BI216" s="50">
        <f t="shared" ca="1" si="126"/>
        <v>3.4816594052244909E-13</v>
      </c>
      <c r="BJ216" s="140">
        <v>0</v>
      </c>
      <c r="BK216" s="140">
        <v>0</v>
      </c>
      <c r="BM216" s="78"/>
      <c r="BR216" s="75">
        <f t="shared" ca="1" si="97"/>
        <v>49856</v>
      </c>
      <c r="BS216" s="74">
        <f t="shared" ca="1" si="111"/>
        <v>6</v>
      </c>
      <c r="BT216" s="74">
        <f t="shared" ca="1" si="112"/>
        <v>0</v>
      </c>
      <c r="BU216" s="73" t="str">
        <f t="shared" ca="1" si="113"/>
        <v xml:space="preserve"> </v>
      </c>
      <c r="BW216" s="75">
        <f t="shared" ca="1" si="123"/>
        <v>49856</v>
      </c>
      <c r="BX216" s="74">
        <f t="shared" ca="1" si="124"/>
        <v>6</v>
      </c>
      <c r="BY216" s="74">
        <f t="shared" ca="1" si="114"/>
        <v>0</v>
      </c>
      <c r="BZ216" s="73" t="str">
        <f t="shared" ca="1" si="115"/>
        <v xml:space="preserve"> </v>
      </c>
      <c r="CB216" s="75">
        <f t="shared" ca="1" si="125"/>
        <v>49856</v>
      </c>
      <c r="CC216" s="74">
        <f t="shared" ca="1" si="116"/>
        <v>6</v>
      </c>
      <c r="CD216" s="74">
        <f t="shared" ca="1" si="117"/>
        <v>0</v>
      </c>
      <c r="CE216" s="73" t="str">
        <f t="shared" ca="1" si="118"/>
        <v xml:space="preserve"> </v>
      </c>
    </row>
    <row r="217" spans="1:83" x14ac:dyDescent="0.2">
      <c r="A217" s="38" t="str">
        <f t="shared" si="127"/>
        <v xml:space="preserve"> </v>
      </c>
      <c r="B217" s="108"/>
      <c r="C217" s="38"/>
      <c r="D217" s="137"/>
      <c r="E217" s="137"/>
      <c r="F217" s="137"/>
      <c r="G217" s="122"/>
      <c r="H217" s="137"/>
      <c r="I217" s="50"/>
      <c r="J217" s="50"/>
      <c r="K217" s="50"/>
      <c r="L217" s="38"/>
      <c r="M217" s="38"/>
      <c r="N217" s="38"/>
      <c r="O217" s="50"/>
      <c r="P217" s="218"/>
      <c r="Q217" s="50"/>
      <c r="R217" s="50"/>
      <c r="S217" s="38"/>
      <c r="T217" s="51"/>
      <c r="U217" s="65"/>
      <c r="V217" s="105"/>
      <c r="W217" s="66"/>
      <c r="X217" s="66"/>
      <c r="Y217" s="38"/>
      <c r="Z217" s="66">
        <f t="shared" si="98"/>
        <v>0</v>
      </c>
      <c r="AA217" s="67"/>
      <c r="AC217" s="41" t="e">
        <f>VLOOKUP(A217,'Input Sheet'!$A$2:$B$232,2,0)</f>
        <v>#N/A</v>
      </c>
      <c r="AD217" s="70"/>
      <c r="AI217" s="68"/>
      <c r="AL217" s="107">
        <f t="shared" ca="1" si="119"/>
        <v>0</v>
      </c>
      <c r="AM217" s="49">
        <f t="shared" ca="1" si="120"/>
        <v>49887</v>
      </c>
      <c r="AN217" s="137" t="str">
        <f t="shared" ca="1" si="106"/>
        <v xml:space="preserve"> </v>
      </c>
      <c r="AO217" s="107">
        <f t="shared" ca="1" si="107"/>
        <v>0</v>
      </c>
      <c r="AP217" s="143">
        <f t="shared" ca="1" si="99"/>
        <v>0</v>
      </c>
      <c r="AQ217" s="143">
        <f t="shared" ca="1" si="108"/>
        <v>0</v>
      </c>
      <c r="AR217" s="49" t="str">
        <f t="shared" ca="1" si="100"/>
        <v xml:space="preserve"> </v>
      </c>
      <c r="AS217" s="107">
        <f t="shared" ca="1" si="101"/>
        <v>0</v>
      </c>
      <c r="AT217" s="107">
        <f t="shared" ca="1" si="102"/>
        <v>0</v>
      </c>
      <c r="AU217" s="107"/>
      <c r="AV217" s="107">
        <f ca="1">MAX(SUM($AQ$6:AQ217)-SUM($AT$6:AT217),0)</f>
        <v>0</v>
      </c>
      <c r="AW217" s="107">
        <f t="shared" ca="1" si="121"/>
        <v>0</v>
      </c>
      <c r="AX217" s="107">
        <v>0</v>
      </c>
      <c r="AY217" s="138" t="str">
        <f t="shared" ca="1" si="103"/>
        <v xml:space="preserve"> </v>
      </c>
      <c r="AZ217" s="107">
        <f t="shared" ca="1" si="104"/>
        <v>0</v>
      </c>
      <c r="BA217" s="107">
        <f ca="1">IF(AZ217=1,(SUM($AW$6:AW217,$AX$6:AX217)-SUM($BA$6:BA216)),0)</f>
        <v>0</v>
      </c>
      <c r="BB217" s="107"/>
      <c r="BC217" s="107">
        <f ca="1">AV217+SUM($AW$6:AW217)+SUM($AX$6:AX217)-SUM($BA$6:BA217)</f>
        <v>0</v>
      </c>
      <c r="BD217" s="107">
        <f t="shared" ca="1" si="109"/>
        <v>0</v>
      </c>
      <c r="BE217" s="51">
        <f ca="1">'PiT PD Structure'!J257</f>
        <v>1.0255154244742659E-4</v>
      </c>
      <c r="BF217" s="139">
        <f t="shared" ca="1" si="122"/>
        <v>0.45</v>
      </c>
      <c r="BG217" s="51">
        <f t="shared" ca="1" si="110"/>
        <v>1</v>
      </c>
      <c r="BH217" s="50">
        <f t="shared" ca="1" si="105"/>
        <v>0</v>
      </c>
      <c r="BI217" s="50">
        <f t="shared" ca="1" si="126"/>
        <v>3.4816594052244909E-13</v>
      </c>
      <c r="BJ217" s="140">
        <v>0</v>
      </c>
      <c r="BK217" s="140">
        <v>0</v>
      </c>
      <c r="BM217" s="78"/>
      <c r="BR217" s="75">
        <f t="shared" ca="1" si="97"/>
        <v>49887</v>
      </c>
      <c r="BS217" s="74">
        <f t="shared" ca="1" si="111"/>
        <v>7</v>
      </c>
      <c r="BT217" s="74">
        <f t="shared" ca="1" si="112"/>
        <v>0</v>
      </c>
      <c r="BU217" s="73" t="str">
        <f t="shared" ca="1" si="113"/>
        <v xml:space="preserve"> </v>
      </c>
      <c r="BW217" s="75">
        <f t="shared" ca="1" si="123"/>
        <v>49887</v>
      </c>
      <c r="BX217" s="74">
        <f t="shared" ca="1" si="124"/>
        <v>7</v>
      </c>
      <c r="BY217" s="74">
        <f t="shared" ca="1" si="114"/>
        <v>0</v>
      </c>
      <c r="BZ217" s="73" t="str">
        <f t="shared" ca="1" si="115"/>
        <v xml:space="preserve"> </v>
      </c>
      <c r="CB217" s="75">
        <f t="shared" ca="1" si="125"/>
        <v>49887</v>
      </c>
      <c r="CC217" s="74">
        <f t="shared" ca="1" si="116"/>
        <v>7</v>
      </c>
      <c r="CD217" s="74">
        <f t="shared" ca="1" si="117"/>
        <v>0</v>
      </c>
      <c r="CE217" s="73" t="str">
        <f t="shared" ca="1" si="118"/>
        <v xml:space="preserve"> </v>
      </c>
    </row>
    <row r="218" spans="1:83" x14ac:dyDescent="0.2">
      <c r="A218" s="38" t="str">
        <f t="shared" si="127"/>
        <v xml:space="preserve"> </v>
      </c>
      <c r="B218" s="108"/>
      <c r="C218" s="38"/>
      <c r="D218" s="137"/>
      <c r="E218" s="137"/>
      <c r="F218" s="137"/>
      <c r="G218" s="122"/>
      <c r="H218" s="137"/>
      <c r="I218" s="50"/>
      <c r="J218" s="50"/>
      <c r="K218" s="50"/>
      <c r="L218" s="38"/>
      <c r="M218" s="38"/>
      <c r="N218" s="38"/>
      <c r="O218" s="50"/>
      <c r="P218" s="218"/>
      <c r="Q218" s="50"/>
      <c r="R218" s="50"/>
      <c r="S218" s="38"/>
      <c r="T218" s="51"/>
      <c r="U218" s="65"/>
      <c r="V218" s="105"/>
      <c r="W218" s="66"/>
      <c r="X218" s="66"/>
      <c r="Y218" s="38"/>
      <c r="Z218" s="66">
        <f t="shared" si="98"/>
        <v>0</v>
      </c>
      <c r="AA218" s="67"/>
      <c r="AC218" s="41" t="e">
        <f>VLOOKUP(A218,'Input Sheet'!$A$2:$B$232,2,0)</f>
        <v>#N/A</v>
      </c>
      <c r="AD218" s="70"/>
      <c r="AI218" s="68"/>
      <c r="AL218" s="107">
        <f t="shared" ca="1" si="119"/>
        <v>0</v>
      </c>
      <c r="AM218" s="49">
        <f t="shared" ca="1" si="120"/>
        <v>49918</v>
      </c>
      <c r="AN218" s="137" t="str">
        <f t="shared" ca="1" si="106"/>
        <v xml:space="preserve"> </v>
      </c>
      <c r="AO218" s="107">
        <f t="shared" ca="1" si="107"/>
        <v>0</v>
      </c>
      <c r="AP218" s="143">
        <f t="shared" ca="1" si="99"/>
        <v>0</v>
      </c>
      <c r="AQ218" s="143">
        <f t="shared" ca="1" si="108"/>
        <v>0</v>
      </c>
      <c r="AR218" s="49" t="str">
        <f t="shared" ca="1" si="100"/>
        <v xml:space="preserve"> </v>
      </c>
      <c r="AS218" s="107">
        <f t="shared" ca="1" si="101"/>
        <v>0</v>
      </c>
      <c r="AT218" s="107">
        <f t="shared" ca="1" si="102"/>
        <v>0</v>
      </c>
      <c r="AU218" s="107"/>
      <c r="AV218" s="107">
        <f ca="1">MAX(SUM($AQ$6:AQ218)-SUM($AT$6:AT218),0)</f>
        <v>0</v>
      </c>
      <c r="AW218" s="107">
        <f t="shared" ca="1" si="121"/>
        <v>0</v>
      </c>
      <c r="AX218" s="107">
        <v>0</v>
      </c>
      <c r="AY218" s="138" t="str">
        <f t="shared" ca="1" si="103"/>
        <v xml:space="preserve"> </v>
      </c>
      <c r="AZ218" s="107">
        <f t="shared" ca="1" si="104"/>
        <v>0</v>
      </c>
      <c r="BA218" s="107">
        <f ca="1">IF(AZ218=1,(SUM($AW$6:AW218,$AX$6:AX218)-SUM($BA$6:BA217)),0)</f>
        <v>0</v>
      </c>
      <c r="BB218" s="107"/>
      <c r="BC218" s="107">
        <f ca="1">AV218+SUM($AW$6:AW218)+SUM($AX$6:AX218)-SUM($BA$6:BA218)</f>
        <v>0</v>
      </c>
      <c r="BD218" s="107">
        <f t="shared" ca="1" si="109"/>
        <v>0</v>
      </c>
      <c r="BE218" s="51">
        <f ca="1">'PiT PD Structure'!J258</f>
        <v>1.0254067201209693E-4</v>
      </c>
      <c r="BF218" s="139">
        <f t="shared" ca="1" si="122"/>
        <v>0.45</v>
      </c>
      <c r="BG218" s="51">
        <f t="shared" ca="1" si="110"/>
        <v>1</v>
      </c>
      <c r="BH218" s="50">
        <f t="shared" ca="1" si="105"/>
        <v>0</v>
      </c>
      <c r="BI218" s="50">
        <f t="shared" ca="1" si="126"/>
        <v>3.4816594052244909E-13</v>
      </c>
      <c r="BJ218" s="140">
        <v>0</v>
      </c>
      <c r="BK218" s="140">
        <v>0</v>
      </c>
      <c r="BM218" s="78"/>
      <c r="BR218" s="75">
        <f t="shared" ca="1" si="97"/>
        <v>49918</v>
      </c>
      <c r="BS218" s="74">
        <f t="shared" ca="1" si="111"/>
        <v>8</v>
      </c>
      <c r="BT218" s="74">
        <f t="shared" ca="1" si="112"/>
        <v>0</v>
      </c>
      <c r="BU218" s="73" t="str">
        <f t="shared" ca="1" si="113"/>
        <v xml:space="preserve"> </v>
      </c>
      <c r="BW218" s="75">
        <f t="shared" ca="1" si="123"/>
        <v>49918</v>
      </c>
      <c r="BX218" s="74">
        <f t="shared" ca="1" si="124"/>
        <v>8</v>
      </c>
      <c r="BY218" s="74">
        <f t="shared" ca="1" si="114"/>
        <v>0</v>
      </c>
      <c r="BZ218" s="73" t="str">
        <f t="shared" ca="1" si="115"/>
        <v xml:space="preserve"> </v>
      </c>
      <c r="CB218" s="75">
        <f t="shared" ca="1" si="125"/>
        <v>49918</v>
      </c>
      <c r="CC218" s="74">
        <f t="shared" ca="1" si="116"/>
        <v>8</v>
      </c>
      <c r="CD218" s="74">
        <f t="shared" ca="1" si="117"/>
        <v>0</v>
      </c>
      <c r="CE218" s="73" t="str">
        <f t="shared" ca="1" si="118"/>
        <v xml:space="preserve"> </v>
      </c>
    </row>
    <row r="219" spans="1:83" x14ac:dyDescent="0.2">
      <c r="A219" s="38" t="str">
        <f t="shared" si="127"/>
        <v xml:space="preserve"> </v>
      </c>
      <c r="B219" s="108"/>
      <c r="C219" s="38"/>
      <c r="D219" s="137"/>
      <c r="E219" s="137"/>
      <c r="F219" s="137"/>
      <c r="G219" s="122"/>
      <c r="H219" s="137"/>
      <c r="I219" s="50"/>
      <c r="J219" s="50"/>
      <c r="K219" s="50"/>
      <c r="L219" s="38"/>
      <c r="M219" s="38"/>
      <c r="N219" s="38"/>
      <c r="O219" s="50"/>
      <c r="P219" s="218"/>
      <c r="Q219" s="50"/>
      <c r="R219" s="50"/>
      <c r="S219" s="38"/>
      <c r="T219" s="51"/>
      <c r="U219" s="65"/>
      <c r="V219" s="105"/>
      <c r="W219" s="66"/>
      <c r="X219" s="66"/>
      <c r="Y219" s="38"/>
      <c r="Z219" s="66">
        <f t="shared" si="98"/>
        <v>0</v>
      </c>
      <c r="AA219" s="67"/>
      <c r="AC219" s="41" t="e">
        <f>VLOOKUP(A219,'Input Sheet'!$A$2:$B$232,2,0)</f>
        <v>#N/A</v>
      </c>
      <c r="AD219" s="70"/>
      <c r="AI219" s="68"/>
      <c r="AL219" s="107">
        <f t="shared" ca="1" si="119"/>
        <v>0</v>
      </c>
      <c r="AM219" s="49">
        <f t="shared" ca="1" si="120"/>
        <v>49948</v>
      </c>
      <c r="AN219" s="137" t="str">
        <f t="shared" ca="1" si="106"/>
        <v xml:space="preserve"> </v>
      </c>
      <c r="AO219" s="107">
        <f t="shared" ca="1" si="107"/>
        <v>0</v>
      </c>
      <c r="AP219" s="143">
        <f t="shared" ca="1" si="99"/>
        <v>0</v>
      </c>
      <c r="AQ219" s="143">
        <f t="shared" ca="1" si="108"/>
        <v>0</v>
      </c>
      <c r="AR219" s="49" t="str">
        <f t="shared" ca="1" si="100"/>
        <v xml:space="preserve"> </v>
      </c>
      <c r="AS219" s="107">
        <f t="shared" ca="1" si="101"/>
        <v>0</v>
      </c>
      <c r="AT219" s="107">
        <f t="shared" ca="1" si="102"/>
        <v>0</v>
      </c>
      <c r="AU219" s="107"/>
      <c r="AV219" s="107">
        <f ca="1">MAX(SUM($AQ$6:AQ219)-SUM($AT$6:AT219),0)</f>
        <v>0</v>
      </c>
      <c r="AW219" s="107">
        <f t="shared" ca="1" si="121"/>
        <v>0</v>
      </c>
      <c r="AX219" s="107">
        <v>0</v>
      </c>
      <c r="AY219" s="138" t="str">
        <f t="shared" ca="1" si="103"/>
        <v xml:space="preserve"> </v>
      </c>
      <c r="AZ219" s="107">
        <f t="shared" ca="1" si="104"/>
        <v>0</v>
      </c>
      <c r="BA219" s="107">
        <f ca="1">IF(AZ219=1,(SUM($AW$6:AW219,$AX$6:AX219)-SUM($BA$6:BA218)),0)</f>
        <v>0</v>
      </c>
      <c r="BB219" s="107"/>
      <c r="BC219" s="107">
        <f ca="1">AV219+SUM($AW$6:AW219)+SUM($AX$6:AX219)-SUM($BA$6:BA219)</f>
        <v>0</v>
      </c>
      <c r="BD219" s="107">
        <f t="shared" ca="1" si="109"/>
        <v>0</v>
      </c>
      <c r="BE219" s="51">
        <f ca="1">'PiT PD Structure'!J259</f>
        <v>1.0252980272906775E-4</v>
      </c>
      <c r="BF219" s="139">
        <f t="shared" ca="1" si="122"/>
        <v>0.45</v>
      </c>
      <c r="BG219" s="51">
        <f t="shared" ca="1" si="110"/>
        <v>1</v>
      </c>
      <c r="BH219" s="50">
        <f t="shared" ca="1" si="105"/>
        <v>0</v>
      </c>
      <c r="BI219" s="50">
        <f t="shared" ca="1" si="126"/>
        <v>3.4816594052244909E-13</v>
      </c>
      <c r="BJ219" s="140">
        <v>0</v>
      </c>
      <c r="BK219" s="140">
        <v>0</v>
      </c>
      <c r="BM219" s="78"/>
      <c r="BR219" s="75">
        <f t="shared" ca="1" si="97"/>
        <v>49948</v>
      </c>
      <c r="BS219" s="74">
        <f t="shared" ca="1" si="111"/>
        <v>9</v>
      </c>
      <c r="BT219" s="74">
        <f t="shared" ca="1" si="112"/>
        <v>0</v>
      </c>
      <c r="BU219" s="73" t="str">
        <f t="shared" ca="1" si="113"/>
        <v xml:space="preserve"> </v>
      </c>
      <c r="BW219" s="75">
        <f t="shared" ca="1" si="123"/>
        <v>49948</v>
      </c>
      <c r="BX219" s="74">
        <f t="shared" ca="1" si="124"/>
        <v>9</v>
      </c>
      <c r="BY219" s="74">
        <f t="shared" ca="1" si="114"/>
        <v>0</v>
      </c>
      <c r="BZ219" s="73" t="str">
        <f t="shared" ca="1" si="115"/>
        <v xml:space="preserve"> </v>
      </c>
      <c r="CB219" s="75">
        <f t="shared" ca="1" si="125"/>
        <v>49948</v>
      </c>
      <c r="CC219" s="74">
        <f t="shared" ca="1" si="116"/>
        <v>9</v>
      </c>
      <c r="CD219" s="74">
        <f t="shared" ca="1" si="117"/>
        <v>0</v>
      </c>
      <c r="CE219" s="73" t="str">
        <f t="shared" ca="1" si="118"/>
        <v xml:space="preserve"> </v>
      </c>
    </row>
    <row r="220" spans="1:83" x14ac:dyDescent="0.2">
      <c r="A220" s="38" t="str">
        <f t="shared" si="127"/>
        <v xml:space="preserve"> </v>
      </c>
      <c r="B220" s="108"/>
      <c r="C220" s="38"/>
      <c r="D220" s="137"/>
      <c r="E220" s="137"/>
      <c r="F220" s="137"/>
      <c r="G220" s="122"/>
      <c r="H220" s="137"/>
      <c r="I220" s="50"/>
      <c r="J220" s="50"/>
      <c r="K220" s="50"/>
      <c r="L220" s="38"/>
      <c r="M220" s="38"/>
      <c r="N220" s="38"/>
      <c r="O220" s="50"/>
      <c r="P220" s="218"/>
      <c r="Q220" s="50"/>
      <c r="R220" s="50"/>
      <c r="S220" s="38"/>
      <c r="T220" s="51"/>
      <c r="U220" s="65"/>
      <c r="V220" s="105"/>
      <c r="W220" s="66"/>
      <c r="X220" s="66"/>
      <c r="Y220" s="38"/>
      <c r="Z220" s="66">
        <f t="shared" si="98"/>
        <v>0</v>
      </c>
      <c r="AA220" s="67"/>
      <c r="AC220" s="41" t="e">
        <f>VLOOKUP(A220,'Input Sheet'!$A$2:$B$232,2,0)</f>
        <v>#N/A</v>
      </c>
      <c r="AD220" s="70"/>
      <c r="AI220" s="68"/>
      <c r="AL220" s="107">
        <f t="shared" ca="1" si="119"/>
        <v>0</v>
      </c>
      <c r="AM220" s="49">
        <f t="shared" ca="1" si="120"/>
        <v>49979</v>
      </c>
      <c r="AN220" s="137" t="str">
        <f t="shared" ca="1" si="106"/>
        <v xml:space="preserve"> </v>
      </c>
      <c r="AO220" s="107">
        <f t="shared" ca="1" si="107"/>
        <v>0</v>
      </c>
      <c r="AP220" s="143">
        <f t="shared" ca="1" si="99"/>
        <v>0</v>
      </c>
      <c r="AQ220" s="143">
        <f t="shared" ca="1" si="108"/>
        <v>0</v>
      </c>
      <c r="AR220" s="49" t="str">
        <f t="shared" ca="1" si="100"/>
        <v xml:space="preserve"> </v>
      </c>
      <c r="AS220" s="107">
        <f t="shared" ca="1" si="101"/>
        <v>0</v>
      </c>
      <c r="AT220" s="107">
        <f t="shared" ca="1" si="102"/>
        <v>0</v>
      </c>
      <c r="AU220" s="107"/>
      <c r="AV220" s="107">
        <f ca="1">MAX(SUM($AQ$6:AQ220)-SUM($AT$6:AT220),0)</f>
        <v>0</v>
      </c>
      <c r="AW220" s="107">
        <f t="shared" ca="1" si="121"/>
        <v>0</v>
      </c>
      <c r="AX220" s="107">
        <v>0</v>
      </c>
      <c r="AY220" s="138" t="str">
        <f t="shared" ca="1" si="103"/>
        <v xml:space="preserve"> </v>
      </c>
      <c r="AZ220" s="107">
        <f t="shared" ca="1" si="104"/>
        <v>0</v>
      </c>
      <c r="BA220" s="107">
        <f ca="1">IF(AZ220=1,(SUM($AW$6:AW220,$AX$6:AX220)-SUM($BA$6:BA219)),0)</f>
        <v>0</v>
      </c>
      <c r="BB220" s="107"/>
      <c r="BC220" s="107">
        <f ca="1">AV220+SUM($AW$6:AW220)+SUM($AX$6:AX220)-SUM($BA$6:BA220)</f>
        <v>0</v>
      </c>
      <c r="BD220" s="107">
        <f t="shared" ca="1" si="109"/>
        <v>0</v>
      </c>
      <c r="BE220" s="51">
        <f ca="1">'PiT PD Structure'!J260</f>
        <v>1.0251893459822803E-4</v>
      </c>
      <c r="BF220" s="139">
        <f t="shared" ca="1" si="122"/>
        <v>0.45</v>
      </c>
      <c r="BG220" s="51">
        <f t="shared" ca="1" si="110"/>
        <v>1</v>
      </c>
      <c r="BH220" s="50">
        <f t="shared" ca="1" si="105"/>
        <v>0</v>
      </c>
      <c r="BI220" s="50">
        <f t="shared" ca="1" si="126"/>
        <v>3.4816594052244909E-13</v>
      </c>
      <c r="BJ220" s="140">
        <v>0</v>
      </c>
      <c r="BK220" s="140">
        <v>0</v>
      </c>
      <c r="BM220" s="78"/>
      <c r="BR220" s="75">
        <f t="shared" ca="1" si="97"/>
        <v>49979</v>
      </c>
      <c r="BS220" s="74">
        <f t="shared" ca="1" si="111"/>
        <v>10</v>
      </c>
      <c r="BT220" s="74">
        <f t="shared" ca="1" si="112"/>
        <v>0</v>
      </c>
      <c r="BU220" s="73" t="str">
        <f t="shared" ca="1" si="113"/>
        <v xml:space="preserve"> </v>
      </c>
      <c r="BW220" s="75">
        <f t="shared" ca="1" si="123"/>
        <v>49979</v>
      </c>
      <c r="BX220" s="74">
        <f t="shared" ca="1" si="124"/>
        <v>10</v>
      </c>
      <c r="BY220" s="74">
        <f t="shared" ca="1" si="114"/>
        <v>0</v>
      </c>
      <c r="BZ220" s="73" t="str">
        <f t="shared" ca="1" si="115"/>
        <v xml:space="preserve"> </v>
      </c>
      <c r="CB220" s="75">
        <f t="shared" ca="1" si="125"/>
        <v>49979</v>
      </c>
      <c r="CC220" s="74">
        <f t="shared" ca="1" si="116"/>
        <v>10</v>
      </c>
      <c r="CD220" s="74">
        <f t="shared" ca="1" si="117"/>
        <v>0</v>
      </c>
      <c r="CE220" s="73" t="str">
        <f t="shared" ca="1" si="118"/>
        <v xml:space="preserve"> </v>
      </c>
    </row>
    <row r="221" spans="1:83" x14ac:dyDescent="0.2">
      <c r="A221" s="38" t="str">
        <f t="shared" si="127"/>
        <v xml:space="preserve"> </v>
      </c>
      <c r="B221" s="108"/>
      <c r="C221" s="38"/>
      <c r="D221" s="137"/>
      <c r="E221" s="137"/>
      <c r="F221" s="137"/>
      <c r="G221" s="122"/>
      <c r="H221" s="137"/>
      <c r="I221" s="50"/>
      <c r="J221" s="50"/>
      <c r="K221" s="50"/>
      <c r="L221" s="38"/>
      <c r="M221" s="38"/>
      <c r="N221" s="38"/>
      <c r="O221" s="50"/>
      <c r="P221" s="218"/>
      <c r="Q221" s="50"/>
      <c r="R221" s="50"/>
      <c r="S221" s="38"/>
      <c r="T221" s="51"/>
      <c r="U221" s="65"/>
      <c r="V221" s="105"/>
      <c r="W221" s="66"/>
      <c r="X221" s="66"/>
      <c r="Y221" s="38"/>
      <c r="Z221" s="66">
        <f t="shared" si="98"/>
        <v>0</v>
      </c>
      <c r="AA221" s="67"/>
      <c r="AC221" s="41" t="e">
        <f>VLOOKUP(A221,'Input Sheet'!$A$2:$B$232,2,0)</f>
        <v>#N/A</v>
      </c>
      <c r="AD221" s="70"/>
      <c r="AI221" s="68"/>
      <c r="AL221" s="107">
        <f t="shared" ca="1" si="119"/>
        <v>0</v>
      </c>
      <c r="AM221" s="49">
        <f t="shared" ca="1" si="120"/>
        <v>50009</v>
      </c>
      <c r="AN221" s="137" t="str">
        <f t="shared" ca="1" si="106"/>
        <v xml:space="preserve"> </v>
      </c>
      <c r="AO221" s="107">
        <f t="shared" ca="1" si="107"/>
        <v>0</v>
      </c>
      <c r="AP221" s="143">
        <f t="shared" ca="1" si="99"/>
        <v>0</v>
      </c>
      <c r="AQ221" s="143">
        <f t="shared" ca="1" si="108"/>
        <v>0</v>
      </c>
      <c r="AR221" s="49" t="str">
        <f t="shared" ca="1" si="100"/>
        <v xml:space="preserve"> </v>
      </c>
      <c r="AS221" s="107">
        <f t="shared" ca="1" si="101"/>
        <v>0</v>
      </c>
      <c r="AT221" s="107">
        <f t="shared" ca="1" si="102"/>
        <v>0</v>
      </c>
      <c r="AU221" s="107"/>
      <c r="AV221" s="107">
        <f ca="1">MAX(SUM($AQ$6:AQ221)-SUM($AT$6:AT221),0)</f>
        <v>0</v>
      </c>
      <c r="AW221" s="107">
        <f t="shared" ca="1" si="121"/>
        <v>0</v>
      </c>
      <c r="AX221" s="107">
        <v>0</v>
      </c>
      <c r="AY221" s="138" t="str">
        <f t="shared" ca="1" si="103"/>
        <v xml:space="preserve"> </v>
      </c>
      <c r="AZ221" s="107">
        <f t="shared" ca="1" si="104"/>
        <v>0</v>
      </c>
      <c r="BA221" s="107">
        <f ca="1">IF(AZ221=1,(SUM($AW$6:AW221,$AX$6:AX221)-SUM($BA$6:BA220)),0)</f>
        <v>0</v>
      </c>
      <c r="BB221" s="107"/>
      <c r="BC221" s="107">
        <f ca="1">AV221+SUM($AW$6:AW221)+SUM($AX$6:AX221)-SUM($BA$6:BA221)</f>
        <v>0</v>
      </c>
      <c r="BD221" s="107">
        <f t="shared" ca="1" si="109"/>
        <v>0</v>
      </c>
      <c r="BE221" s="51">
        <f ca="1">'PiT PD Structure'!J261</f>
        <v>1.0250806761924469E-4</v>
      </c>
      <c r="BF221" s="139">
        <f t="shared" ca="1" si="122"/>
        <v>0.45</v>
      </c>
      <c r="BG221" s="51">
        <f t="shared" ca="1" si="110"/>
        <v>1</v>
      </c>
      <c r="BH221" s="50">
        <f t="shared" ca="1" si="105"/>
        <v>0</v>
      </c>
      <c r="BI221" s="50">
        <f t="shared" ca="1" si="126"/>
        <v>3.4816594052244909E-13</v>
      </c>
      <c r="BJ221" s="140">
        <v>0</v>
      </c>
      <c r="BK221" s="140">
        <v>0</v>
      </c>
      <c r="BM221" s="78"/>
      <c r="BR221" s="75">
        <f t="shared" ca="1" si="97"/>
        <v>50009</v>
      </c>
      <c r="BS221" s="74">
        <f t="shared" ca="1" si="111"/>
        <v>11</v>
      </c>
      <c r="BT221" s="74">
        <f t="shared" ca="1" si="112"/>
        <v>0</v>
      </c>
      <c r="BU221" s="73" t="str">
        <f t="shared" ca="1" si="113"/>
        <v xml:space="preserve"> </v>
      </c>
      <c r="BW221" s="75">
        <f t="shared" ca="1" si="123"/>
        <v>50009</v>
      </c>
      <c r="BX221" s="74">
        <f t="shared" ca="1" si="124"/>
        <v>11</v>
      </c>
      <c r="BY221" s="74">
        <f t="shared" ca="1" si="114"/>
        <v>0</v>
      </c>
      <c r="BZ221" s="73" t="str">
        <f t="shared" ca="1" si="115"/>
        <v xml:space="preserve"> </v>
      </c>
      <c r="CB221" s="75">
        <f t="shared" ca="1" si="125"/>
        <v>50009</v>
      </c>
      <c r="CC221" s="74">
        <f t="shared" ca="1" si="116"/>
        <v>11</v>
      </c>
      <c r="CD221" s="74">
        <f t="shared" ca="1" si="117"/>
        <v>0</v>
      </c>
      <c r="CE221" s="73" t="str">
        <f t="shared" ca="1" si="118"/>
        <v xml:space="preserve"> </v>
      </c>
    </row>
    <row r="222" spans="1:83" x14ac:dyDescent="0.2">
      <c r="A222" s="38" t="str">
        <f t="shared" si="127"/>
        <v xml:space="preserve"> </v>
      </c>
      <c r="B222" s="108"/>
      <c r="C222" s="38"/>
      <c r="D222" s="137"/>
      <c r="E222" s="137"/>
      <c r="F222" s="137"/>
      <c r="G222" s="122"/>
      <c r="H222" s="137"/>
      <c r="I222" s="50"/>
      <c r="J222" s="50"/>
      <c r="K222" s="50"/>
      <c r="L222" s="38"/>
      <c r="M222" s="38"/>
      <c r="N222" s="38"/>
      <c r="O222" s="50"/>
      <c r="P222" s="218"/>
      <c r="Q222" s="50"/>
      <c r="R222" s="50"/>
      <c r="S222" s="38"/>
      <c r="T222" s="51"/>
      <c r="U222" s="65"/>
      <c r="V222" s="105"/>
      <c r="W222" s="66"/>
      <c r="X222" s="66"/>
      <c r="Y222" s="38"/>
      <c r="Z222" s="66">
        <f t="shared" si="98"/>
        <v>0</v>
      </c>
      <c r="AA222" s="67"/>
      <c r="AC222" s="41" t="e">
        <f>VLOOKUP(A222,'Input Sheet'!$A$2:$B$232,2,0)</f>
        <v>#N/A</v>
      </c>
      <c r="AD222" s="70"/>
      <c r="AI222" s="68"/>
      <c r="AL222" s="107">
        <f t="shared" ca="1" si="119"/>
        <v>0</v>
      </c>
      <c r="AM222" s="49">
        <f t="shared" ca="1" si="120"/>
        <v>50040</v>
      </c>
      <c r="AN222" s="137" t="str">
        <f t="shared" ca="1" si="106"/>
        <v xml:space="preserve"> </v>
      </c>
      <c r="AO222" s="107">
        <f t="shared" ca="1" si="107"/>
        <v>0</v>
      </c>
      <c r="AP222" s="143">
        <f t="shared" ca="1" si="99"/>
        <v>0</v>
      </c>
      <c r="AQ222" s="143">
        <f t="shared" ca="1" si="108"/>
        <v>0</v>
      </c>
      <c r="AR222" s="49" t="str">
        <f t="shared" ca="1" si="100"/>
        <v xml:space="preserve"> </v>
      </c>
      <c r="AS222" s="107">
        <f t="shared" ca="1" si="101"/>
        <v>0</v>
      </c>
      <c r="AT222" s="107">
        <f t="shared" ca="1" si="102"/>
        <v>0</v>
      </c>
      <c r="AU222" s="107"/>
      <c r="AV222" s="107">
        <f ca="1">MAX(SUM($AQ$6:AQ222)-SUM($AT$6:AT222),0)</f>
        <v>0</v>
      </c>
      <c r="AW222" s="107">
        <f t="shared" ca="1" si="121"/>
        <v>0</v>
      </c>
      <c r="AX222" s="107">
        <v>0</v>
      </c>
      <c r="AY222" s="138" t="str">
        <f t="shared" ca="1" si="103"/>
        <v xml:space="preserve"> </v>
      </c>
      <c r="AZ222" s="107">
        <f t="shared" ca="1" si="104"/>
        <v>0</v>
      </c>
      <c r="BA222" s="107">
        <f ca="1">IF(AZ222=1,(SUM($AW$6:AW222,$AX$6:AX222)-SUM($BA$6:BA221)),0)</f>
        <v>0</v>
      </c>
      <c r="BB222" s="107"/>
      <c r="BC222" s="107">
        <f ca="1">AV222+SUM($AW$6:AW222)+SUM($AX$6:AX222)-SUM($BA$6:BA222)</f>
        <v>0</v>
      </c>
      <c r="BD222" s="107">
        <f t="shared" ca="1" si="109"/>
        <v>0</v>
      </c>
      <c r="BE222" s="51">
        <f ca="1">'PiT PD Structure'!J262</f>
        <v>2.641813090889733E-3</v>
      </c>
      <c r="BF222" s="139">
        <f t="shared" ca="1" si="122"/>
        <v>0.45</v>
      </c>
      <c r="BG222" s="51">
        <f t="shared" ca="1" si="110"/>
        <v>1</v>
      </c>
      <c r="BH222" s="50">
        <f t="shared" ca="1" si="105"/>
        <v>0</v>
      </c>
      <c r="BI222" s="50">
        <f t="shared" ca="1" si="126"/>
        <v>3.4816594052244909E-13</v>
      </c>
      <c r="BJ222" s="140">
        <v>0</v>
      </c>
      <c r="BK222" s="140">
        <v>0</v>
      </c>
      <c r="BM222" s="78"/>
      <c r="BR222" s="75">
        <f t="shared" ca="1" si="97"/>
        <v>50040</v>
      </c>
      <c r="BS222" s="74">
        <f t="shared" ca="1" si="111"/>
        <v>12</v>
      </c>
      <c r="BT222" s="74">
        <f t="shared" ca="1" si="112"/>
        <v>0</v>
      </c>
      <c r="BU222" s="73" t="str">
        <f t="shared" ca="1" si="113"/>
        <v xml:space="preserve"> </v>
      </c>
      <c r="BW222" s="75">
        <f t="shared" ca="1" si="123"/>
        <v>50040</v>
      </c>
      <c r="BX222" s="74">
        <f t="shared" ca="1" si="124"/>
        <v>12</v>
      </c>
      <c r="BY222" s="74">
        <f t="shared" ca="1" si="114"/>
        <v>0</v>
      </c>
      <c r="BZ222" s="73" t="str">
        <f t="shared" ca="1" si="115"/>
        <v xml:space="preserve"> </v>
      </c>
      <c r="CB222" s="75">
        <f t="shared" ca="1" si="125"/>
        <v>50040</v>
      </c>
      <c r="CC222" s="74">
        <f t="shared" ca="1" si="116"/>
        <v>12</v>
      </c>
      <c r="CD222" s="74">
        <f t="shared" ca="1" si="117"/>
        <v>0</v>
      </c>
      <c r="CE222" s="73" t="str">
        <f t="shared" ca="1" si="118"/>
        <v xml:space="preserve"> </v>
      </c>
    </row>
    <row r="223" spans="1:83" x14ac:dyDescent="0.2">
      <c r="A223" s="38" t="str">
        <f t="shared" si="127"/>
        <v xml:space="preserve"> </v>
      </c>
      <c r="B223" s="108"/>
      <c r="C223" s="38"/>
      <c r="D223" s="137"/>
      <c r="E223" s="137"/>
      <c r="F223" s="137"/>
      <c r="G223" s="122"/>
      <c r="H223" s="137"/>
      <c r="I223" s="50"/>
      <c r="J223" s="50"/>
      <c r="K223" s="50"/>
      <c r="L223" s="38"/>
      <c r="M223" s="38"/>
      <c r="N223" s="38"/>
      <c r="O223" s="50"/>
      <c r="P223" s="218"/>
      <c r="Q223" s="50"/>
      <c r="R223" s="50"/>
      <c r="S223" s="38"/>
      <c r="T223" s="51"/>
      <c r="U223" s="65"/>
      <c r="V223" s="105"/>
      <c r="W223" s="66"/>
      <c r="X223" s="66"/>
      <c r="Y223" s="38"/>
      <c r="Z223" s="66">
        <f t="shared" si="98"/>
        <v>0</v>
      </c>
      <c r="AA223" s="67"/>
      <c r="AC223" s="41" t="e">
        <f>VLOOKUP(A223,'Input Sheet'!$A$2:$B$232,2,0)</f>
        <v>#N/A</v>
      </c>
      <c r="AD223" s="70"/>
      <c r="AI223" s="68"/>
      <c r="AL223" s="107">
        <f t="shared" ca="1" si="119"/>
        <v>0</v>
      </c>
      <c r="AM223" s="49">
        <f t="shared" ca="1" si="120"/>
        <v>50071</v>
      </c>
      <c r="AN223" s="137" t="str">
        <f t="shared" ca="1" si="106"/>
        <v xml:space="preserve"> </v>
      </c>
      <c r="AO223" s="107">
        <f t="shared" ca="1" si="107"/>
        <v>0</v>
      </c>
      <c r="AP223" s="143">
        <f t="shared" ca="1" si="99"/>
        <v>0</v>
      </c>
      <c r="AQ223" s="143">
        <f t="shared" ca="1" si="108"/>
        <v>0</v>
      </c>
      <c r="AR223" s="49" t="str">
        <f t="shared" ca="1" si="100"/>
        <v xml:space="preserve"> </v>
      </c>
      <c r="AS223" s="107">
        <f t="shared" ca="1" si="101"/>
        <v>0</v>
      </c>
      <c r="AT223" s="107">
        <f t="shared" ca="1" si="102"/>
        <v>0</v>
      </c>
      <c r="AU223" s="107"/>
      <c r="AV223" s="107">
        <f ca="1">MAX(SUM($AQ$6:AQ223)-SUM($AT$6:AT223),0)</f>
        <v>0</v>
      </c>
      <c r="AW223" s="107">
        <f t="shared" ca="1" si="121"/>
        <v>0</v>
      </c>
      <c r="AX223" s="107">
        <v>0</v>
      </c>
      <c r="AY223" s="138" t="str">
        <f t="shared" ca="1" si="103"/>
        <v xml:space="preserve"> </v>
      </c>
      <c r="AZ223" s="107">
        <f t="shared" ca="1" si="104"/>
        <v>0</v>
      </c>
      <c r="BA223" s="107">
        <f ca="1">IF(AZ223=1,(SUM($AW$6:AW223,$AX$6:AX223)-SUM($BA$6:BA222)),0)</f>
        <v>0</v>
      </c>
      <c r="BB223" s="107"/>
      <c r="BC223" s="107">
        <f ca="1">AV223+SUM($AW$6:AW223)+SUM($AX$6:AX223)-SUM($BA$6:BA223)</f>
        <v>0</v>
      </c>
      <c r="BD223" s="107">
        <f t="shared" ca="1" si="109"/>
        <v>0</v>
      </c>
      <c r="BE223" s="51">
        <f ca="1">'PiT PD Structure'!J263</f>
        <v>1.0860333714901582E-4</v>
      </c>
      <c r="BF223" s="139">
        <f t="shared" ca="1" si="122"/>
        <v>0.45</v>
      </c>
      <c r="BG223" s="51">
        <f t="shared" ca="1" si="110"/>
        <v>1</v>
      </c>
      <c r="BH223" s="50">
        <f t="shared" ca="1" si="105"/>
        <v>0</v>
      </c>
      <c r="BI223" s="50">
        <f t="shared" ca="1" si="126"/>
        <v>3.4816594052244909E-13</v>
      </c>
      <c r="BJ223" s="140">
        <v>0</v>
      </c>
      <c r="BK223" s="140">
        <v>0</v>
      </c>
      <c r="BM223" s="78"/>
      <c r="BR223" s="75">
        <f t="shared" ca="1" si="97"/>
        <v>50071</v>
      </c>
      <c r="BS223" s="74">
        <f t="shared" ca="1" si="111"/>
        <v>1</v>
      </c>
      <c r="BT223" s="74">
        <f t="shared" ca="1" si="112"/>
        <v>0</v>
      </c>
      <c r="BU223" s="73" t="str">
        <f t="shared" ca="1" si="113"/>
        <v xml:space="preserve"> </v>
      </c>
      <c r="BW223" s="75">
        <f t="shared" ca="1" si="123"/>
        <v>50071</v>
      </c>
      <c r="BX223" s="74">
        <f t="shared" ca="1" si="124"/>
        <v>1</v>
      </c>
      <c r="BY223" s="74">
        <f t="shared" ca="1" si="114"/>
        <v>0</v>
      </c>
      <c r="BZ223" s="73" t="str">
        <f t="shared" ca="1" si="115"/>
        <v xml:space="preserve"> </v>
      </c>
      <c r="CB223" s="75">
        <f t="shared" ca="1" si="125"/>
        <v>50071</v>
      </c>
      <c r="CC223" s="74">
        <f t="shared" ca="1" si="116"/>
        <v>1</v>
      </c>
      <c r="CD223" s="74">
        <f t="shared" ca="1" si="117"/>
        <v>0</v>
      </c>
      <c r="CE223" s="73" t="str">
        <f t="shared" ca="1" si="118"/>
        <v xml:space="preserve"> </v>
      </c>
    </row>
    <row r="224" spans="1:83" x14ac:dyDescent="0.2">
      <c r="A224" s="38" t="str">
        <f t="shared" si="127"/>
        <v xml:space="preserve"> </v>
      </c>
      <c r="B224" s="108"/>
      <c r="C224" s="38"/>
      <c r="D224" s="137"/>
      <c r="E224" s="137"/>
      <c r="F224" s="137"/>
      <c r="G224" s="122"/>
      <c r="H224" s="137"/>
      <c r="I224" s="50"/>
      <c r="J224" s="50"/>
      <c r="K224" s="50"/>
      <c r="L224" s="38"/>
      <c r="M224" s="38"/>
      <c r="N224" s="38"/>
      <c r="O224" s="50"/>
      <c r="P224" s="218"/>
      <c r="Q224" s="50"/>
      <c r="R224" s="50"/>
      <c r="S224" s="38"/>
      <c r="T224" s="51"/>
      <c r="U224" s="65"/>
      <c r="V224" s="105"/>
      <c r="W224" s="66"/>
      <c r="X224" s="66"/>
      <c r="Y224" s="38"/>
      <c r="Z224" s="66">
        <f t="shared" si="98"/>
        <v>0</v>
      </c>
      <c r="AA224" s="67"/>
      <c r="AC224" s="41" t="e">
        <f>VLOOKUP(A224,'Input Sheet'!$A$2:$B$232,2,0)</f>
        <v>#N/A</v>
      </c>
      <c r="AD224" s="70"/>
      <c r="AI224" s="68"/>
      <c r="AL224" s="107">
        <f t="shared" ca="1" si="119"/>
        <v>0</v>
      </c>
      <c r="AM224" s="49">
        <f t="shared" ca="1" si="120"/>
        <v>50099</v>
      </c>
      <c r="AN224" s="137" t="str">
        <f t="shared" ca="1" si="106"/>
        <v xml:space="preserve"> </v>
      </c>
      <c r="AO224" s="107">
        <f t="shared" ca="1" si="107"/>
        <v>0</v>
      </c>
      <c r="AP224" s="143">
        <f t="shared" ca="1" si="99"/>
        <v>0</v>
      </c>
      <c r="AQ224" s="143">
        <f t="shared" ca="1" si="108"/>
        <v>0</v>
      </c>
      <c r="AR224" s="49" t="str">
        <f t="shared" ca="1" si="100"/>
        <v xml:space="preserve"> </v>
      </c>
      <c r="AS224" s="107">
        <f t="shared" ca="1" si="101"/>
        <v>0</v>
      </c>
      <c r="AT224" s="107">
        <f t="shared" ca="1" si="102"/>
        <v>0</v>
      </c>
      <c r="AU224" s="107"/>
      <c r="AV224" s="107">
        <f ca="1">MAX(SUM($AQ$6:AQ224)-SUM($AT$6:AT224),0)</f>
        <v>0</v>
      </c>
      <c r="AW224" s="107">
        <f t="shared" ca="1" si="121"/>
        <v>0</v>
      </c>
      <c r="AX224" s="107">
        <v>0</v>
      </c>
      <c r="AY224" s="138" t="str">
        <f t="shared" ca="1" si="103"/>
        <v xml:space="preserve"> </v>
      </c>
      <c r="AZ224" s="107">
        <f t="shared" ca="1" si="104"/>
        <v>0</v>
      </c>
      <c r="BA224" s="107">
        <f ca="1">IF(AZ224=1,(SUM($AW$6:AW224,$AX$6:AX224)-SUM($BA$6:BA223)),0)</f>
        <v>0</v>
      </c>
      <c r="BB224" s="107"/>
      <c r="BC224" s="107">
        <f ca="1">AV224+SUM($AW$6:AW224)+SUM($AX$6:AX224)-SUM($BA$6:BA224)</f>
        <v>0</v>
      </c>
      <c r="BD224" s="107">
        <f t="shared" ca="1" si="109"/>
        <v>0</v>
      </c>
      <c r="BE224" s="51">
        <f ca="1">'PiT PD Structure'!J264</f>
        <v>1.0859110600114352E-4</v>
      </c>
      <c r="BF224" s="139">
        <f t="shared" ca="1" si="122"/>
        <v>0.45</v>
      </c>
      <c r="BG224" s="51">
        <f t="shared" ca="1" si="110"/>
        <v>1</v>
      </c>
      <c r="BH224" s="50">
        <f t="shared" ca="1" si="105"/>
        <v>0</v>
      </c>
      <c r="BI224" s="50">
        <f t="shared" ca="1" si="126"/>
        <v>3.4816594052244909E-13</v>
      </c>
      <c r="BJ224" s="140">
        <v>0</v>
      </c>
      <c r="BK224" s="140">
        <v>0</v>
      </c>
      <c r="BM224" s="78"/>
      <c r="BR224" s="75">
        <f t="shared" ca="1" si="97"/>
        <v>50099</v>
      </c>
      <c r="BS224" s="74">
        <f t="shared" ca="1" si="111"/>
        <v>2</v>
      </c>
      <c r="BT224" s="74">
        <f t="shared" ca="1" si="112"/>
        <v>0</v>
      </c>
      <c r="BU224" s="73" t="str">
        <f t="shared" ca="1" si="113"/>
        <v xml:space="preserve"> </v>
      </c>
      <c r="BW224" s="75">
        <f t="shared" ca="1" si="123"/>
        <v>50099</v>
      </c>
      <c r="BX224" s="74">
        <f t="shared" ca="1" si="124"/>
        <v>2</v>
      </c>
      <c r="BY224" s="74">
        <f t="shared" ca="1" si="114"/>
        <v>0</v>
      </c>
      <c r="BZ224" s="73" t="str">
        <f t="shared" ca="1" si="115"/>
        <v xml:space="preserve"> </v>
      </c>
      <c r="CB224" s="75">
        <f t="shared" ca="1" si="125"/>
        <v>50099</v>
      </c>
      <c r="CC224" s="74">
        <f t="shared" ca="1" si="116"/>
        <v>2</v>
      </c>
      <c r="CD224" s="74">
        <f t="shared" ca="1" si="117"/>
        <v>0</v>
      </c>
      <c r="CE224" s="73" t="str">
        <f t="shared" ca="1" si="118"/>
        <v xml:space="preserve"> </v>
      </c>
    </row>
    <row r="225" spans="1:83" x14ac:dyDescent="0.2">
      <c r="A225" s="38" t="str">
        <f t="shared" si="127"/>
        <v xml:space="preserve"> </v>
      </c>
      <c r="B225" s="108"/>
      <c r="C225" s="38"/>
      <c r="D225" s="137"/>
      <c r="E225" s="137"/>
      <c r="F225" s="137"/>
      <c r="G225" s="122"/>
      <c r="H225" s="137"/>
      <c r="I225" s="50"/>
      <c r="J225" s="50"/>
      <c r="K225" s="50"/>
      <c r="L225" s="38"/>
      <c r="M225" s="38"/>
      <c r="N225" s="38"/>
      <c r="O225" s="50"/>
      <c r="P225" s="218"/>
      <c r="Q225" s="50"/>
      <c r="R225" s="50"/>
      <c r="S225" s="38"/>
      <c r="T225" s="51"/>
      <c r="U225" s="65"/>
      <c r="V225" s="105"/>
      <c r="W225" s="66"/>
      <c r="X225" s="66"/>
      <c r="Y225" s="38"/>
      <c r="Z225" s="66">
        <f t="shared" si="98"/>
        <v>0</v>
      </c>
      <c r="AA225" s="67"/>
      <c r="AC225" s="41" t="e">
        <f>VLOOKUP(A225,'Input Sheet'!$A$2:$B$232,2,0)</f>
        <v>#N/A</v>
      </c>
      <c r="AD225" s="70"/>
      <c r="AI225" s="68"/>
      <c r="AL225" s="107">
        <f t="shared" ca="1" si="119"/>
        <v>0</v>
      </c>
      <c r="AM225" s="49">
        <f t="shared" ca="1" si="120"/>
        <v>50130</v>
      </c>
      <c r="AN225" s="137" t="str">
        <f t="shared" ca="1" si="106"/>
        <v xml:space="preserve"> </v>
      </c>
      <c r="AO225" s="107">
        <f t="shared" ca="1" si="107"/>
        <v>0</v>
      </c>
      <c r="AP225" s="143">
        <f t="shared" ca="1" si="99"/>
        <v>0</v>
      </c>
      <c r="AQ225" s="143">
        <f t="shared" ca="1" si="108"/>
        <v>0</v>
      </c>
      <c r="AR225" s="49" t="str">
        <f t="shared" ca="1" si="100"/>
        <v xml:space="preserve"> </v>
      </c>
      <c r="AS225" s="107">
        <f t="shared" ca="1" si="101"/>
        <v>0</v>
      </c>
      <c r="AT225" s="107">
        <f t="shared" ca="1" si="102"/>
        <v>0</v>
      </c>
      <c r="AU225" s="107"/>
      <c r="AV225" s="107">
        <f ca="1">MAX(SUM($AQ$6:AQ225)-SUM($AT$6:AT225),0)</f>
        <v>0</v>
      </c>
      <c r="AW225" s="107">
        <f t="shared" ca="1" si="121"/>
        <v>0</v>
      </c>
      <c r="AX225" s="107">
        <v>0</v>
      </c>
      <c r="AY225" s="138" t="str">
        <f t="shared" ca="1" si="103"/>
        <v xml:space="preserve"> </v>
      </c>
      <c r="AZ225" s="107">
        <f t="shared" ca="1" si="104"/>
        <v>0</v>
      </c>
      <c r="BA225" s="107">
        <f ca="1">IF(AZ225=1,(SUM($AW$6:AW225,$AX$6:AX225)-SUM($BA$6:BA224)),0)</f>
        <v>0</v>
      </c>
      <c r="BB225" s="107"/>
      <c r="BC225" s="107">
        <f ca="1">AV225+SUM($AW$6:AW225)+SUM($AX$6:AX225)-SUM($BA$6:BA225)</f>
        <v>0</v>
      </c>
      <c r="BD225" s="107">
        <f t="shared" ca="1" si="109"/>
        <v>0</v>
      </c>
      <c r="BE225" s="51">
        <f ca="1">'PiT PD Structure'!J265</f>
        <v>1.0857887623050289E-4</v>
      </c>
      <c r="BF225" s="139">
        <f t="shared" ca="1" si="122"/>
        <v>0.45</v>
      </c>
      <c r="BG225" s="51">
        <f t="shared" ca="1" si="110"/>
        <v>1</v>
      </c>
      <c r="BH225" s="50">
        <f t="shared" ca="1" si="105"/>
        <v>0</v>
      </c>
      <c r="BI225" s="50">
        <f t="shared" ca="1" si="126"/>
        <v>3.4816594052244909E-13</v>
      </c>
      <c r="BJ225" s="140">
        <v>0</v>
      </c>
      <c r="BK225" s="140">
        <v>0</v>
      </c>
      <c r="BM225" s="78"/>
      <c r="BR225" s="75">
        <f t="shared" ca="1" si="97"/>
        <v>50130</v>
      </c>
      <c r="BS225" s="74">
        <f t="shared" ca="1" si="111"/>
        <v>3</v>
      </c>
      <c r="BT225" s="74">
        <f t="shared" ca="1" si="112"/>
        <v>0</v>
      </c>
      <c r="BU225" s="73" t="str">
        <f t="shared" ca="1" si="113"/>
        <v xml:space="preserve"> </v>
      </c>
      <c r="BW225" s="75">
        <f t="shared" ca="1" si="123"/>
        <v>50130</v>
      </c>
      <c r="BX225" s="74">
        <f t="shared" ca="1" si="124"/>
        <v>3</v>
      </c>
      <c r="BY225" s="74">
        <f t="shared" ca="1" si="114"/>
        <v>0</v>
      </c>
      <c r="BZ225" s="73" t="str">
        <f t="shared" ca="1" si="115"/>
        <v xml:space="preserve"> </v>
      </c>
      <c r="CB225" s="75">
        <f t="shared" ca="1" si="125"/>
        <v>50130</v>
      </c>
      <c r="CC225" s="74">
        <f t="shared" ca="1" si="116"/>
        <v>3</v>
      </c>
      <c r="CD225" s="74">
        <f t="shared" ca="1" si="117"/>
        <v>0</v>
      </c>
      <c r="CE225" s="73" t="str">
        <f t="shared" ca="1" si="118"/>
        <v xml:space="preserve"> </v>
      </c>
    </row>
    <row r="226" spans="1:83" x14ac:dyDescent="0.2">
      <c r="A226" s="38" t="str">
        <f t="shared" si="127"/>
        <v xml:space="preserve"> </v>
      </c>
      <c r="B226" s="108"/>
      <c r="C226" s="38"/>
      <c r="D226" s="137"/>
      <c r="E226" s="137"/>
      <c r="F226" s="137"/>
      <c r="G226" s="122"/>
      <c r="H226" s="137"/>
      <c r="I226" s="50"/>
      <c r="J226" s="50"/>
      <c r="K226" s="50"/>
      <c r="L226" s="38"/>
      <c r="M226" s="38"/>
      <c r="N226" s="38"/>
      <c r="O226" s="50"/>
      <c r="P226" s="218"/>
      <c r="Q226" s="50"/>
      <c r="R226" s="50"/>
      <c r="S226" s="38"/>
      <c r="T226" s="51"/>
      <c r="U226" s="65"/>
      <c r="V226" s="105"/>
      <c r="W226" s="66"/>
      <c r="X226" s="66"/>
      <c r="Y226" s="38"/>
      <c r="Z226" s="66">
        <f t="shared" si="98"/>
        <v>0</v>
      </c>
      <c r="AA226" s="67"/>
      <c r="AC226" s="41" t="e">
        <f>VLOOKUP(A226,'Input Sheet'!$A$2:$B$232,2,0)</f>
        <v>#N/A</v>
      </c>
      <c r="AD226" s="70"/>
      <c r="AI226" s="68"/>
      <c r="AL226" s="107">
        <f t="shared" ca="1" si="119"/>
        <v>0</v>
      </c>
      <c r="AM226" s="49">
        <f t="shared" ca="1" si="120"/>
        <v>50160</v>
      </c>
      <c r="AN226" s="137" t="str">
        <f t="shared" ca="1" si="106"/>
        <v xml:space="preserve"> </v>
      </c>
      <c r="AO226" s="107">
        <f t="shared" ca="1" si="107"/>
        <v>0</v>
      </c>
      <c r="AP226" s="143">
        <f t="shared" ca="1" si="99"/>
        <v>0</v>
      </c>
      <c r="AQ226" s="143">
        <f t="shared" ca="1" si="108"/>
        <v>0</v>
      </c>
      <c r="AR226" s="49" t="str">
        <f t="shared" ca="1" si="100"/>
        <v xml:space="preserve"> </v>
      </c>
      <c r="AS226" s="107">
        <f t="shared" ca="1" si="101"/>
        <v>0</v>
      </c>
      <c r="AT226" s="107">
        <f t="shared" ca="1" si="102"/>
        <v>0</v>
      </c>
      <c r="AU226" s="107"/>
      <c r="AV226" s="107">
        <f ca="1">MAX(SUM($AQ$6:AQ226)-SUM($AT$6:AT226),0)</f>
        <v>0</v>
      </c>
      <c r="AW226" s="107">
        <f t="shared" ca="1" si="121"/>
        <v>0</v>
      </c>
      <c r="AX226" s="107">
        <v>0</v>
      </c>
      <c r="AY226" s="138" t="str">
        <f t="shared" ca="1" si="103"/>
        <v xml:space="preserve"> </v>
      </c>
      <c r="AZ226" s="107">
        <f t="shared" ca="1" si="104"/>
        <v>0</v>
      </c>
      <c r="BA226" s="107">
        <f ca="1">IF(AZ226=1,(SUM($AW$6:AW226,$AX$6:AX226)-SUM($BA$6:BA225)),0)</f>
        <v>0</v>
      </c>
      <c r="BB226" s="107"/>
      <c r="BC226" s="107">
        <f ca="1">AV226+SUM($AW$6:AW226)+SUM($AX$6:AX226)-SUM($BA$6:BA226)</f>
        <v>0</v>
      </c>
      <c r="BD226" s="107">
        <f t="shared" ca="1" si="109"/>
        <v>0</v>
      </c>
      <c r="BE226" s="51">
        <f ca="1">'PiT PD Structure'!J266</f>
        <v>1.0856664783731595E-4</v>
      </c>
      <c r="BF226" s="139">
        <f t="shared" ca="1" si="122"/>
        <v>0.45</v>
      </c>
      <c r="BG226" s="51">
        <f t="shared" ca="1" si="110"/>
        <v>1</v>
      </c>
      <c r="BH226" s="50">
        <f t="shared" ca="1" si="105"/>
        <v>0</v>
      </c>
      <c r="BI226" s="50">
        <f t="shared" ca="1" si="126"/>
        <v>3.4816594052244909E-13</v>
      </c>
      <c r="BJ226" s="140">
        <v>0</v>
      </c>
      <c r="BK226" s="140">
        <v>0</v>
      </c>
      <c r="BM226" s="78"/>
      <c r="BR226" s="75">
        <f t="shared" ca="1" si="97"/>
        <v>50160</v>
      </c>
      <c r="BS226" s="74">
        <f t="shared" ca="1" si="111"/>
        <v>4</v>
      </c>
      <c r="BT226" s="74">
        <f t="shared" ca="1" si="112"/>
        <v>0</v>
      </c>
      <c r="BU226" s="73" t="str">
        <f t="shared" ca="1" si="113"/>
        <v xml:space="preserve"> </v>
      </c>
      <c r="BW226" s="75">
        <f t="shared" ca="1" si="123"/>
        <v>50160</v>
      </c>
      <c r="BX226" s="74">
        <f t="shared" ca="1" si="124"/>
        <v>4</v>
      </c>
      <c r="BY226" s="74">
        <f t="shared" ca="1" si="114"/>
        <v>0</v>
      </c>
      <c r="BZ226" s="73" t="str">
        <f t="shared" ca="1" si="115"/>
        <v xml:space="preserve"> </v>
      </c>
      <c r="CB226" s="75">
        <f t="shared" ca="1" si="125"/>
        <v>50160</v>
      </c>
      <c r="CC226" s="74">
        <f t="shared" ca="1" si="116"/>
        <v>4</v>
      </c>
      <c r="CD226" s="74">
        <f t="shared" ca="1" si="117"/>
        <v>0</v>
      </c>
      <c r="CE226" s="73" t="str">
        <f t="shared" ca="1" si="118"/>
        <v xml:space="preserve"> </v>
      </c>
    </row>
    <row r="227" spans="1:83" x14ac:dyDescent="0.2">
      <c r="A227" s="38" t="str">
        <f t="shared" si="127"/>
        <v xml:space="preserve"> </v>
      </c>
      <c r="B227" s="108"/>
      <c r="C227" s="38"/>
      <c r="D227" s="137"/>
      <c r="E227" s="137"/>
      <c r="F227" s="137"/>
      <c r="G227" s="122"/>
      <c r="H227" s="137"/>
      <c r="I227" s="50"/>
      <c r="J227" s="50"/>
      <c r="K227" s="50"/>
      <c r="L227" s="38"/>
      <c r="M227" s="38"/>
      <c r="N227" s="38"/>
      <c r="O227" s="50"/>
      <c r="P227" s="218"/>
      <c r="Q227" s="50"/>
      <c r="R227" s="50"/>
      <c r="S227" s="38"/>
      <c r="T227" s="51"/>
      <c r="U227" s="65"/>
      <c r="V227" s="105"/>
      <c r="W227" s="66"/>
      <c r="X227" s="66"/>
      <c r="Y227" s="38"/>
      <c r="Z227" s="66">
        <f t="shared" si="98"/>
        <v>0</v>
      </c>
      <c r="AA227" s="67"/>
      <c r="AC227" s="41" t="e">
        <f>VLOOKUP(A227,'Input Sheet'!$A$2:$B$232,2,0)</f>
        <v>#N/A</v>
      </c>
      <c r="AD227" s="70"/>
      <c r="AI227" s="68"/>
      <c r="AL227" s="107">
        <f t="shared" ca="1" si="119"/>
        <v>0</v>
      </c>
      <c r="AM227" s="49">
        <f t="shared" ca="1" si="120"/>
        <v>50191</v>
      </c>
      <c r="AN227" s="137" t="str">
        <f t="shared" ca="1" si="106"/>
        <v xml:space="preserve"> </v>
      </c>
      <c r="AO227" s="107">
        <f t="shared" ca="1" si="107"/>
        <v>0</v>
      </c>
      <c r="AP227" s="143">
        <f t="shared" ca="1" si="99"/>
        <v>0</v>
      </c>
      <c r="AQ227" s="143">
        <f t="shared" ca="1" si="108"/>
        <v>0</v>
      </c>
      <c r="AR227" s="49" t="str">
        <f t="shared" ca="1" si="100"/>
        <v xml:space="preserve"> </v>
      </c>
      <c r="AS227" s="107">
        <f t="shared" ca="1" si="101"/>
        <v>0</v>
      </c>
      <c r="AT227" s="107">
        <f t="shared" ca="1" si="102"/>
        <v>0</v>
      </c>
      <c r="AU227" s="107"/>
      <c r="AV227" s="107">
        <f ca="1">MAX(SUM($AQ$6:AQ227)-SUM($AT$6:AT227),0)</f>
        <v>0</v>
      </c>
      <c r="AW227" s="107">
        <f t="shared" ca="1" si="121"/>
        <v>0</v>
      </c>
      <c r="AX227" s="107">
        <v>0</v>
      </c>
      <c r="AY227" s="138" t="str">
        <f t="shared" ca="1" si="103"/>
        <v xml:space="preserve"> </v>
      </c>
      <c r="AZ227" s="107">
        <f t="shared" ca="1" si="104"/>
        <v>0</v>
      </c>
      <c r="BA227" s="107">
        <f ca="1">IF(AZ227=1,(SUM($AW$6:AW227,$AX$6:AX227)-SUM($BA$6:BA226)),0)</f>
        <v>0</v>
      </c>
      <c r="BB227" s="107"/>
      <c r="BC227" s="107">
        <f ca="1">AV227+SUM($AW$6:AW227)+SUM($AX$6:AX227)-SUM($BA$6:BA227)</f>
        <v>0</v>
      </c>
      <c r="BD227" s="107">
        <f t="shared" ca="1" si="109"/>
        <v>0</v>
      </c>
      <c r="BE227" s="51">
        <f ca="1">'PiT PD Structure'!J267</f>
        <v>1.0855442082113864E-4</v>
      </c>
      <c r="BF227" s="139">
        <f t="shared" ca="1" si="122"/>
        <v>0.45</v>
      </c>
      <c r="BG227" s="51">
        <f t="shared" ca="1" si="110"/>
        <v>1</v>
      </c>
      <c r="BH227" s="50">
        <f t="shared" ca="1" si="105"/>
        <v>0</v>
      </c>
      <c r="BI227" s="50">
        <f t="shared" ca="1" si="126"/>
        <v>3.4816594052244909E-13</v>
      </c>
      <c r="BJ227" s="140">
        <v>0</v>
      </c>
      <c r="BK227" s="140">
        <v>0</v>
      </c>
      <c r="BM227" s="78"/>
      <c r="BR227" s="75">
        <f t="shared" ca="1" si="97"/>
        <v>50191</v>
      </c>
      <c r="BS227" s="74">
        <f t="shared" ca="1" si="111"/>
        <v>5</v>
      </c>
      <c r="BT227" s="74">
        <f t="shared" ca="1" si="112"/>
        <v>0</v>
      </c>
      <c r="BU227" s="73" t="str">
        <f t="shared" ca="1" si="113"/>
        <v xml:space="preserve"> </v>
      </c>
      <c r="BW227" s="75">
        <f t="shared" ca="1" si="123"/>
        <v>50191</v>
      </c>
      <c r="BX227" s="74">
        <f t="shared" ca="1" si="124"/>
        <v>5</v>
      </c>
      <c r="BY227" s="74">
        <f t="shared" ca="1" si="114"/>
        <v>0</v>
      </c>
      <c r="BZ227" s="73" t="str">
        <f t="shared" ca="1" si="115"/>
        <v xml:space="preserve"> </v>
      </c>
      <c r="CB227" s="75">
        <f t="shared" ca="1" si="125"/>
        <v>50191</v>
      </c>
      <c r="CC227" s="74">
        <f t="shared" ca="1" si="116"/>
        <v>5</v>
      </c>
      <c r="CD227" s="74">
        <f t="shared" ca="1" si="117"/>
        <v>0</v>
      </c>
      <c r="CE227" s="73" t="str">
        <f t="shared" ca="1" si="118"/>
        <v xml:space="preserve"> </v>
      </c>
    </row>
    <row r="228" spans="1:83" x14ac:dyDescent="0.2">
      <c r="A228" s="38" t="str">
        <f t="shared" si="127"/>
        <v xml:space="preserve"> </v>
      </c>
      <c r="B228" s="108"/>
      <c r="C228" s="38"/>
      <c r="D228" s="137"/>
      <c r="E228" s="137"/>
      <c r="F228" s="137"/>
      <c r="G228" s="122"/>
      <c r="H228" s="137"/>
      <c r="I228" s="50"/>
      <c r="J228" s="50"/>
      <c r="K228" s="50"/>
      <c r="L228" s="38"/>
      <c r="M228" s="38"/>
      <c r="N228" s="38"/>
      <c r="O228" s="50"/>
      <c r="P228" s="218"/>
      <c r="Q228" s="50"/>
      <c r="R228" s="50"/>
      <c r="S228" s="38"/>
      <c r="T228" s="51"/>
      <c r="U228" s="65"/>
      <c r="V228" s="105"/>
      <c r="W228" s="66"/>
      <c r="X228" s="66"/>
      <c r="Y228" s="38"/>
      <c r="Z228" s="66">
        <f t="shared" si="98"/>
        <v>0</v>
      </c>
      <c r="AA228" s="67"/>
      <c r="AC228" s="41" t="e">
        <f>VLOOKUP(A228,'Input Sheet'!$A$2:$B$232,2,0)</f>
        <v>#N/A</v>
      </c>
      <c r="AD228" s="70"/>
      <c r="AI228" s="68"/>
      <c r="AL228" s="107">
        <f t="shared" ca="1" si="119"/>
        <v>0</v>
      </c>
      <c r="AM228" s="49">
        <f t="shared" ca="1" si="120"/>
        <v>50221</v>
      </c>
      <c r="AN228" s="137" t="str">
        <f t="shared" ca="1" si="106"/>
        <v xml:space="preserve"> </v>
      </c>
      <c r="AO228" s="107">
        <f t="shared" ca="1" si="107"/>
        <v>0</v>
      </c>
      <c r="AP228" s="143">
        <f t="shared" ca="1" si="99"/>
        <v>0</v>
      </c>
      <c r="AQ228" s="143">
        <f t="shared" ca="1" si="108"/>
        <v>0</v>
      </c>
      <c r="AR228" s="49" t="str">
        <f t="shared" ca="1" si="100"/>
        <v xml:space="preserve"> </v>
      </c>
      <c r="AS228" s="107">
        <f t="shared" ca="1" si="101"/>
        <v>0</v>
      </c>
      <c r="AT228" s="107">
        <f t="shared" ca="1" si="102"/>
        <v>0</v>
      </c>
      <c r="AU228" s="107"/>
      <c r="AV228" s="107">
        <f ca="1">MAX(SUM($AQ$6:AQ228)-SUM($AT$6:AT228),0)</f>
        <v>0</v>
      </c>
      <c r="AW228" s="107">
        <f t="shared" ca="1" si="121"/>
        <v>0</v>
      </c>
      <c r="AX228" s="107">
        <v>0</v>
      </c>
      <c r="AY228" s="138" t="str">
        <f t="shared" ca="1" si="103"/>
        <v xml:space="preserve"> </v>
      </c>
      <c r="AZ228" s="107">
        <f t="shared" ca="1" si="104"/>
        <v>0</v>
      </c>
      <c r="BA228" s="107">
        <f ca="1">IF(AZ228=1,(SUM($AW$6:AW228,$AX$6:AX228)-SUM($BA$6:BA227)),0)</f>
        <v>0</v>
      </c>
      <c r="BB228" s="107"/>
      <c r="BC228" s="107">
        <f ca="1">AV228+SUM($AW$6:AW228)+SUM($AX$6:AX228)-SUM($BA$6:BA228)</f>
        <v>0</v>
      </c>
      <c r="BD228" s="107">
        <f t="shared" ca="1" si="109"/>
        <v>0</v>
      </c>
      <c r="BE228" s="51">
        <f ca="1">'PiT PD Structure'!J268</f>
        <v>1.0854219518241504E-4</v>
      </c>
      <c r="BF228" s="139">
        <f t="shared" ca="1" si="122"/>
        <v>0.45</v>
      </c>
      <c r="BG228" s="51">
        <f t="shared" ca="1" si="110"/>
        <v>1</v>
      </c>
      <c r="BH228" s="50">
        <f t="shared" ca="1" si="105"/>
        <v>0</v>
      </c>
      <c r="BI228" s="50">
        <f t="shared" ca="1" si="126"/>
        <v>3.4816594052244909E-13</v>
      </c>
      <c r="BJ228" s="140">
        <v>0</v>
      </c>
      <c r="BK228" s="140">
        <v>0</v>
      </c>
      <c r="BM228" s="78"/>
      <c r="BR228" s="75">
        <f t="shared" ca="1" si="97"/>
        <v>50221</v>
      </c>
      <c r="BS228" s="74">
        <f t="shared" ca="1" si="111"/>
        <v>6</v>
      </c>
      <c r="BT228" s="74">
        <f t="shared" ca="1" si="112"/>
        <v>0</v>
      </c>
      <c r="BU228" s="73" t="str">
        <f t="shared" ca="1" si="113"/>
        <v xml:space="preserve"> </v>
      </c>
      <c r="BW228" s="75">
        <f t="shared" ca="1" si="123"/>
        <v>50221</v>
      </c>
      <c r="BX228" s="74">
        <f t="shared" ca="1" si="124"/>
        <v>6</v>
      </c>
      <c r="BY228" s="74">
        <f t="shared" ca="1" si="114"/>
        <v>0</v>
      </c>
      <c r="BZ228" s="73" t="str">
        <f t="shared" ca="1" si="115"/>
        <v xml:space="preserve"> </v>
      </c>
      <c r="CB228" s="75">
        <f t="shared" ca="1" si="125"/>
        <v>50221</v>
      </c>
      <c r="CC228" s="74">
        <f t="shared" ca="1" si="116"/>
        <v>6</v>
      </c>
      <c r="CD228" s="74">
        <f t="shared" ca="1" si="117"/>
        <v>0</v>
      </c>
      <c r="CE228" s="73" t="str">
        <f t="shared" ca="1" si="118"/>
        <v xml:space="preserve"> </v>
      </c>
    </row>
    <row r="229" spans="1:83" x14ac:dyDescent="0.2">
      <c r="A229" s="38" t="str">
        <f t="shared" si="127"/>
        <v xml:space="preserve"> </v>
      </c>
      <c r="B229" s="108"/>
      <c r="C229" s="38"/>
      <c r="D229" s="137"/>
      <c r="E229" s="137"/>
      <c r="F229" s="137"/>
      <c r="G229" s="122"/>
      <c r="H229" s="137"/>
      <c r="I229" s="50"/>
      <c r="J229" s="50"/>
      <c r="K229" s="50"/>
      <c r="L229" s="38"/>
      <c r="M229" s="38"/>
      <c r="N229" s="38"/>
      <c r="O229" s="50"/>
      <c r="P229" s="218"/>
      <c r="Q229" s="50"/>
      <c r="R229" s="50"/>
      <c r="S229" s="38"/>
      <c r="T229" s="51"/>
      <c r="U229" s="65"/>
      <c r="V229" s="105"/>
      <c r="W229" s="66"/>
      <c r="X229" s="66"/>
      <c r="Y229" s="38"/>
      <c r="Z229" s="66">
        <f t="shared" si="98"/>
        <v>0</v>
      </c>
      <c r="AA229" s="67"/>
      <c r="AC229" s="41" t="e">
        <f>VLOOKUP(A229,'Input Sheet'!$A$2:$B$232,2,0)</f>
        <v>#N/A</v>
      </c>
      <c r="AD229" s="70"/>
      <c r="AI229" s="68"/>
      <c r="AL229" s="107">
        <f t="shared" ca="1" si="119"/>
        <v>0</v>
      </c>
      <c r="AM229" s="49">
        <f t="shared" ca="1" si="120"/>
        <v>50252</v>
      </c>
      <c r="AN229" s="137" t="str">
        <f t="shared" ca="1" si="106"/>
        <v xml:space="preserve"> </v>
      </c>
      <c r="AO229" s="107">
        <f t="shared" ca="1" si="107"/>
        <v>0</v>
      </c>
      <c r="AP229" s="143">
        <f t="shared" ca="1" si="99"/>
        <v>0</v>
      </c>
      <c r="AQ229" s="143">
        <f t="shared" ca="1" si="108"/>
        <v>0</v>
      </c>
      <c r="AR229" s="49" t="str">
        <f t="shared" ca="1" si="100"/>
        <v xml:space="preserve"> </v>
      </c>
      <c r="AS229" s="107">
        <f t="shared" ca="1" si="101"/>
        <v>0</v>
      </c>
      <c r="AT229" s="107">
        <f t="shared" ca="1" si="102"/>
        <v>0</v>
      </c>
      <c r="AU229" s="107"/>
      <c r="AV229" s="107">
        <f ca="1">MAX(SUM($AQ$6:AQ229)-SUM($AT$6:AT229),0)</f>
        <v>0</v>
      </c>
      <c r="AW229" s="107">
        <f t="shared" ca="1" si="121"/>
        <v>0</v>
      </c>
      <c r="AX229" s="107">
        <v>0</v>
      </c>
      <c r="AY229" s="138" t="str">
        <f t="shared" ca="1" si="103"/>
        <v xml:space="preserve"> </v>
      </c>
      <c r="AZ229" s="107">
        <f t="shared" ca="1" si="104"/>
        <v>0</v>
      </c>
      <c r="BA229" s="107">
        <f ca="1">IF(AZ229=1,(SUM($AW$6:AW229,$AX$6:AX229)-SUM($BA$6:BA228)),0)</f>
        <v>0</v>
      </c>
      <c r="BB229" s="107"/>
      <c r="BC229" s="107">
        <f ca="1">AV229+SUM($AW$6:AW229)+SUM($AX$6:AX229)-SUM($BA$6:BA229)</f>
        <v>0</v>
      </c>
      <c r="BD229" s="107">
        <f t="shared" ca="1" si="109"/>
        <v>0</v>
      </c>
      <c r="BE229" s="51">
        <f ca="1">'PiT PD Structure'!J269</f>
        <v>1.0852997092003491E-4</v>
      </c>
      <c r="BF229" s="139">
        <f t="shared" ca="1" si="122"/>
        <v>0.45</v>
      </c>
      <c r="BG229" s="51">
        <f t="shared" ca="1" si="110"/>
        <v>1</v>
      </c>
      <c r="BH229" s="50">
        <f t="shared" ca="1" si="105"/>
        <v>0</v>
      </c>
      <c r="BI229" s="50">
        <f t="shared" ca="1" si="126"/>
        <v>3.4816594052244909E-13</v>
      </c>
      <c r="BJ229" s="140">
        <v>0</v>
      </c>
      <c r="BK229" s="140">
        <v>0</v>
      </c>
      <c r="BM229" s="78"/>
      <c r="BR229" s="75">
        <f t="shared" ca="1" si="97"/>
        <v>50252</v>
      </c>
      <c r="BS229" s="74">
        <f t="shared" ca="1" si="111"/>
        <v>7</v>
      </c>
      <c r="BT229" s="74">
        <f t="shared" ca="1" si="112"/>
        <v>0</v>
      </c>
      <c r="BU229" s="73" t="str">
        <f t="shared" ca="1" si="113"/>
        <v xml:space="preserve"> </v>
      </c>
      <c r="BW229" s="75">
        <f t="shared" ca="1" si="123"/>
        <v>50252</v>
      </c>
      <c r="BX229" s="74">
        <f t="shared" ca="1" si="124"/>
        <v>7</v>
      </c>
      <c r="BY229" s="74">
        <f t="shared" ca="1" si="114"/>
        <v>0</v>
      </c>
      <c r="BZ229" s="73" t="str">
        <f t="shared" ca="1" si="115"/>
        <v xml:space="preserve"> </v>
      </c>
      <c r="CB229" s="75">
        <f t="shared" ca="1" si="125"/>
        <v>50252</v>
      </c>
      <c r="CC229" s="74">
        <f t="shared" ca="1" si="116"/>
        <v>7</v>
      </c>
      <c r="CD229" s="74">
        <f t="shared" ca="1" si="117"/>
        <v>0</v>
      </c>
      <c r="CE229" s="73" t="str">
        <f t="shared" ca="1" si="118"/>
        <v xml:space="preserve"> </v>
      </c>
    </row>
    <row r="230" spans="1:83" x14ac:dyDescent="0.2">
      <c r="A230" s="38" t="str">
        <f t="shared" si="127"/>
        <v xml:space="preserve"> </v>
      </c>
      <c r="B230" s="108"/>
      <c r="C230" s="38"/>
      <c r="D230" s="137"/>
      <c r="E230" s="137"/>
      <c r="F230" s="137"/>
      <c r="G230" s="122"/>
      <c r="H230" s="137"/>
      <c r="I230" s="50"/>
      <c r="J230" s="50"/>
      <c r="K230" s="50"/>
      <c r="L230" s="38"/>
      <c r="M230" s="38"/>
      <c r="N230" s="38"/>
      <c r="O230" s="50"/>
      <c r="P230" s="218"/>
      <c r="Q230" s="50"/>
      <c r="R230" s="50"/>
      <c r="S230" s="38"/>
      <c r="T230" s="51"/>
      <c r="U230" s="65"/>
      <c r="V230" s="105"/>
      <c r="W230" s="66"/>
      <c r="X230" s="66"/>
      <c r="Y230" s="38"/>
      <c r="Z230" s="66">
        <f t="shared" si="98"/>
        <v>0</v>
      </c>
      <c r="AA230" s="67"/>
      <c r="AC230" s="41" t="e">
        <f>VLOOKUP(A230,'Input Sheet'!$A$2:$B$232,2,0)</f>
        <v>#N/A</v>
      </c>
      <c r="AD230" s="70"/>
      <c r="AI230" s="68"/>
      <c r="AL230" s="107">
        <f t="shared" ca="1" si="119"/>
        <v>0</v>
      </c>
      <c r="AM230" s="49">
        <f t="shared" ca="1" si="120"/>
        <v>50283</v>
      </c>
      <c r="AN230" s="137" t="str">
        <f t="shared" ca="1" si="106"/>
        <v xml:space="preserve"> </v>
      </c>
      <c r="AO230" s="107">
        <f t="shared" ca="1" si="107"/>
        <v>0</v>
      </c>
      <c r="AP230" s="143">
        <f t="shared" ca="1" si="99"/>
        <v>0</v>
      </c>
      <c r="AQ230" s="143">
        <f t="shared" ca="1" si="108"/>
        <v>0</v>
      </c>
      <c r="AR230" s="49" t="str">
        <f t="shared" ca="1" si="100"/>
        <v xml:space="preserve"> </v>
      </c>
      <c r="AS230" s="107">
        <f t="shared" ca="1" si="101"/>
        <v>0</v>
      </c>
      <c r="AT230" s="107">
        <f t="shared" ca="1" si="102"/>
        <v>0</v>
      </c>
      <c r="AU230" s="107"/>
      <c r="AV230" s="107">
        <f ca="1">MAX(SUM($AQ$6:AQ230)-SUM($AT$6:AT230),0)</f>
        <v>0</v>
      </c>
      <c r="AW230" s="107">
        <f t="shared" ca="1" si="121"/>
        <v>0</v>
      </c>
      <c r="AX230" s="107">
        <v>0</v>
      </c>
      <c r="AY230" s="138" t="str">
        <f t="shared" ca="1" si="103"/>
        <v xml:space="preserve"> </v>
      </c>
      <c r="AZ230" s="107">
        <f t="shared" ca="1" si="104"/>
        <v>0</v>
      </c>
      <c r="BA230" s="107">
        <f ca="1">IF(AZ230=1,(SUM($AW$6:AW230,$AX$6:AX230)-SUM($BA$6:BA229)),0)</f>
        <v>0</v>
      </c>
      <c r="BB230" s="107"/>
      <c r="BC230" s="107">
        <f ca="1">AV230+SUM($AW$6:AW230)+SUM($AX$6:AX230)-SUM($BA$6:BA230)</f>
        <v>0</v>
      </c>
      <c r="BD230" s="107">
        <f t="shared" ca="1" si="109"/>
        <v>0</v>
      </c>
      <c r="BE230" s="51">
        <f ca="1">'PiT PD Structure'!J270</f>
        <v>1.0851774803477543E-4</v>
      </c>
      <c r="BF230" s="139">
        <f t="shared" ca="1" si="122"/>
        <v>0.45</v>
      </c>
      <c r="BG230" s="51">
        <f t="shared" ca="1" si="110"/>
        <v>1</v>
      </c>
      <c r="BH230" s="50">
        <f t="shared" ca="1" si="105"/>
        <v>0</v>
      </c>
      <c r="BI230" s="50">
        <f t="shared" ca="1" si="126"/>
        <v>3.4816594052244909E-13</v>
      </c>
      <c r="BJ230" s="140">
        <v>0</v>
      </c>
      <c r="BK230" s="140">
        <v>0</v>
      </c>
      <c r="BM230" s="78"/>
      <c r="BR230" s="75">
        <f t="shared" ca="1" si="97"/>
        <v>50283</v>
      </c>
      <c r="BS230" s="74">
        <f t="shared" ca="1" si="111"/>
        <v>8</v>
      </c>
      <c r="BT230" s="74">
        <f t="shared" ca="1" si="112"/>
        <v>0</v>
      </c>
      <c r="BU230" s="73" t="str">
        <f t="shared" ca="1" si="113"/>
        <v xml:space="preserve"> </v>
      </c>
      <c r="BW230" s="75">
        <f t="shared" ca="1" si="123"/>
        <v>50283</v>
      </c>
      <c r="BX230" s="74">
        <f t="shared" ca="1" si="124"/>
        <v>8</v>
      </c>
      <c r="BY230" s="74">
        <f t="shared" ca="1" si="114"/>
        <v>0</v>
      </c>
      <c r="BZ230" s="73" t="str">
        <f t="shared" ca="1" si="115"/>
        <v xml:space="preserve"> </v>
      </c>
      <c r="CB230" s="75">
        <f t="shared" ca="1" si="125"/>
        <v>50283</v>
      </c>
      <c r="CC230" s="74">
        <f t="shared" ca="1" si="116"/>
        <v>8</v>
      </c>
      <c r="CD230" s="74">
        <f t="shared" ca="1" si="117"/>
        <v>0</v>
      </c>
      <c r="CE230" s="73" t="str">
        <f t="shared" ca="1" si="118"/>
        <v xml:space="preserve"> </v>
      </c>
    </row>
    <row r="231" spans="1:83" x14ac:dyDescent="0.2">
      <c r="A231" s="38" t="str">
        <f t="shared" si="127"/>
        <v xml:space="preserve"> </v>
      </c>
      <c r="B231" s="108"/>
      <c r="C231" s="38"/>
      <c r="D231" s="137"/>
      <c r="E231" s="137"/>
      <c r="F231" s="137"/>
      <c r="G231" s="122"/>
      <c r="H231" s="137"/>
      <c r="I231" s="50"/>
      <c r="J231" s="50"/>
      <c r="K231" s="50"/>
      <c r="L231" s="38"/>
      <c r="M231" s="38"/>
      <c r="N231" s="38"/>
      <c r="O231" s="50"/>
      <c r="P231" s="218"/>
      <c r="Q231" s="50"/>
      <c r="R231" s="50"/>
      <c r="S231" s="38"/>
      <c r="T231" s="51"/>
      <c r="U231" s="65"/>
      <c r="V231" s="105"/>
      <c r="W231" s="66"/>
      <c r="X231" s="66"/>
      <c r="Y231" s="38"/>
      <c r="Z231" s="66">
        <f t="shared" si="98"/>
        <v>0</v>
      </c>
      <c r="AA231" s="67"/>
      <c r="AC231" s="41" t="e">
        <f>VLOOKUP(A231,'Input Sheet'!$A$2:$B$232,2,0)</f>
        <v>#N/A</v>
      </c>
      <c r="AD231" s="70"/>
      <c r="AI231" s="68"/>
      <c r="AL231" s="107">
        <f t="shared" ca="1" si="119"/>
        <v>0</v>
      </c>
      <c r="AM231" s="49">
        <f t="shared" ca="1" si="120"/>
        <v>50313</v>
      </c>
      <c r="AN231" s="137" t="str">
        <f t="shared" ca="1" si="106"/>
        <v xml:space="preserve"> </v>
      </c>
      <c r="AO231" s="107">
        <f t="shared" ca="1" si="107"/>
        <v>0</v>
      </c>
      <c r="AP231" s="143">
        <f t="shared" ca="1" si="99"/>
        <v>0</v>
      </c>
      <c r="AQ231" s="143">
        <f t="shared" ca="1" si="108"/>
        <v>0</v>
      </c>
      <c r="AR231" s="49" t="str">
        <f t="shared" ca="1" si="100"/>
        <v xml:space="preserve"> </v>
      </c>
      <c r="AS231" s="107">
        <f t="shared" ca="1" si="101"/>
        <v>0</v>
      </c>
      <c r="AT231" s="107">
        <f t="shared" ca="1" si="102"/>
        <v>0</v>
      </c>
      <c r="AU231" s="107"/>
      <c r="AV231" s="107">
        <f ca="1">MAX(SUM($AQ$6:AQ231)-SUM($AT$6:AT231),0)</f>
        <v>0</v>
      </c>
      <c r="AW231" s="107">
        <f t="shared" ca="1" si="121"/>
        <v>0</v>
      </c>
      <c r="AX231" s="107">
        <v>0</v>
      </c>
      <c r="AY231" s="138" t="str">
        <f t="shared" ca="1" si="103"/>
        <v xml:space="preserve"> </v>
      </c>
      <c r="AZ231" s="107">
        <f t="shared" ca="1" si="104"/>
        <v>0</v>
      </c>
      <c r="BA231" s="107">
        <f ca="1">IF(AZ231=1,(SUM($AW$6:AW231,$AX$6:AX231)-SUM($BA$6:BA230)),0)</f>
        <v>0</v>
      </c>
      <c r="BB231" s="107"/>
      <c r="BC231" s="107">
        <f ca="1">AV231+SUM($AW$6:AW231)+SUM($AX$6:AX231)-SUM($BA$6:BA231)</f>
        <v>0</v>
      </c>
      <c r="BD231" s="107">
        <f t="shared" ca="1" si="109"/>
        <v>0</v>
      </c>
      <c r="BE231" s="51">
        <f ca="1">'PiT PD Structure'!J271</f>
        <v>1.0850552652597045E-4</v>
      </c>
      <c r="BF231" s="139">
        <f t="shared" ca="1" si="122"/>
        <v>0.45</v>
      </c>
      <c r="BG231" s="51">
        <f t="shared" ca="1" si="110"/>
        <v>1</v>
      </c>
      <c r="BH231" s="50">
        <f t="shared" ca="1" si="105"/>
        <v>0</v>
      </c>
      <c r="BI231" s="50">
        <f t="shared" ca="1" si="126"/>
        <v>3.4816594052244909E-13</v>
      </c>
      <c r="BJ231" s="140">
        <v>0</v>
      </c>
      <c r="BK231" s="140">
        <v>0</v>
      </c>
      <c r="BM231" s="78"/>
      <c r="BR231" s="75">
        <f t="shared" ca="1" si="97"/>
        <v>50313</v>
      </c>
      <c r="BS231" s="74">
        <f t="shared" ca="1" si="111"/>
        <v>9</v>
      </c>
      <c r="BT231" s="74">
        <f t="shared" ca="1" si="112"/>
        <v>0</v>
      </c>
      <c r="BU231" s="73" t="str">
        <f t="shared" ca="1" si="113"/>
        <v xml:space="preserve"> </v>
      </c>
      <c r="BW231" s="75">
        <f t="shared" ca="1" si="123"/>
        <v>50313</v>
      </c>
      <c r="BX231" s="74">
        <f t="shared" ca="1" si="124"/>
        <v>9</v>
      </c>
      <c r="BY231" s="74">
        <f t="shared" ca="1" si="114"/>
        <v>0</v>
      </c>
      <c r="BZ231" s="73" t="str">
        <f t="shared" ca="1" si="115"/>
        <v xml:space="preserve"> </v>
      </c>
      <c r="CB231" s="75">
        <f t="shared" ca="1" si="125"/>
        <v>50313</v>
      </c>
      <c r="CC231" s="74">
        <f t="shared" ca="1" si="116"/>
        <v>9</v>
      </c>
      <c r="CD231" s="74">
        <f t="shared" ca="1" si="117"/>
        <v>0</v>
      </c>
      <c r="CE231" s="73" t="str">
        <f t="shared" ca="1" si="118"/>
        <v xml:space="preserve"> </v>
      </c>
    </row>
    <row r="232" spans="1:83" x14ac:dyDescent="0.2">
      <c r="A232" s="38" t="str">
        <f t="shared" si="127"/>
        <v xml:space="preserve"> </v>
      </c>
      <c r="B232" s="108"/>
      <c r="C232" s="38"/>
      <c r="D232" s="137"/>
      <c r="E232" s="137"/>
      <c r="F232" s="137"/>
      <c r="G232" s="122"/>
      <c r="H232" s="137"/>
      <c r="I232" s="50"/>
      <c r="J232" s="50"/>
      <c r="K232" s="50"/>
      <c r="L232" s="38"/>
      <c r="M232" s="38"/>
      <c r="N232" s="38"/>
      <c r="O232" s="50"/>
      <c r="P232" s="218"/>
      <c r="Q232" s="50"/>
      <c r="R232" s="50"/>
      <c r="S232" s="38"/>
      <c r="T232" s="51"/>
      <c r="U232" s="65"/>
      <c r="V232" s="105"/>
      <c r="W232" s="66"/>
      <c r="X232" s="66"/>
      <c r="Y232" s="38"/>
      <c r="Z232" s="66">
        <f t="shared" si="98"/>
        <v>0</v>
      </c>
      <c r="AA232" s="67"/>
      <c r="AC232" s="41" t="e">
        <f>VLOOKUP(A232,'Input Sheet'!$A$2:$B$232,2,0)</f>
        <v>#N/A</v>
      </c>
      <c r="AD232" s="70"/>
      <c r="AI232" s="68"/>
      <c r="AL232" s="107">
        <f t="shared" ca="1" si="119"/>
        <v>0</v>
      </c>
      <c r="AM232" s="49">
        <f t="shared" ca="1" si="120"/>
        <v>50344</v>
      </c>
      <c r="AN232" s="137" t="str">
        <f t="shared" ca="1" si="106"/>
        <v xml:space="preserve"> </v>
      </c>
      <c r="AO232" s="107">
        <f t="shared" ca="1" si="107"/>
        <v>0</v>
      </c>
      <c r="AP232" s="143">
        <f t="shared" ca="1" si="99"/>
        <v>0</v>
      </c>
      <c r="AQ232" s="143">
        <f t="shared" ca="1" si="108"/>
        <v>0</v>
      </c>
      <c r="AR232" s="49" t="str">
        <f t="shared" ca="1" si="100"/>
        <v xml:space="preserve"> </v>
      </c>
      <c r="AS232" s="107">
        <f t="shared" ca="1" si="101"/>
        <v>0</v>
      </c>
      <c r="AT232" s="107">
        <f t="shared" ca="1" si="102"/>
        <v>0</v>
      </c>
      <c r="AU232" s="107"/>
      <c r="AV232" s="107">
        <f ca="1">MAX(SUM($AQ$6:AQ232)-SUM($AT$6:AT232),0)</f>
        <v>0</v>
      </c>
      <c r="AW232" s="107">
        <f t="shared" ca="1" si="121"/>
        <v>0</v>
      </c>
      <c r="AX232" s="107">
        <v>0</v>
      </c>
      <c r="AY232" s="138" t="str">
        <f t="shared" ca="1" si="103"/>
        <v xml:space="preserve"> </v>
      </c>
      <c r="AZ232" s="107">
        <f t="shared" ca="1" si="104"/>
        <v>0</v>
      </c>
      <c r="BA232" s="107">
        <f ca="1">IF(AZ232=1,(SUM($AW$6:AW232,$AX$6:AX232)-SUM($BA$6:BA231)),0)</f>
        <v>0</v>
      </c>
      <c r="BB232" s="107"/>
      <c r="BC232" s="107">
        <f ca="1">AV232+SUM($AW$6:AW232)+SUM($AX$6:AX232)-SUM($BA$6:BA232)</f>
        <v>0</v>
      </c>
      <c r="BD232" s="107">
        <f t="shared" ca="1" si="109"/>
        <v>0</v>
      </c>
      <c r="BE232" s="51">
        <f ca="1">'PiT PD Structure'!J272</f>
        <v>1.0849330639350896E-4</v>
      </c>
      <c r="BF232" s="139">
        <f t="shared" ca="1" si="122"/>
        <v>0.45</v>
      </c>
      <c r="BG232" s="51">
        <f t="shared" ca="1" si="110"/>
        <v>1</v>
      </c>
      <c r="BH232" s="50">
        <f t="shared" ca="1" si="105"/>
        <v>0</v>
      </c>
      <c r="BI232" s="50">
        <f t="shared" ca="1" si="126"/>
        <v>3.4816594052244909E-13</v>
      </c>
      <c r="BJ232" s="140">
        <v>0</v>
      </c>
      <c r="BK232" s="140">
        <v>0</v>
      </c>
      <c r="BM232" s="78"/>
      <c r="BR232" s="75">
        <f t="shared" ca="1" si="97"/>
        <v>50344</v>
      </c>
      <c r="BS232" s="74">
        <f t="shared" ca="1" si="111"/>
        <v>10</v>
      </c>
      <c r="BT232" s="74">
        <f t="shared" ca="1" si="112"/>
        <v>0</v>
      </c>
      <c r="BU232" s="73" t="str">
        <f t="shared" ca="1" si="113"/>
        <v xml:space="preserve"> </v>
      </c>
      <c r="BW232" s="75">
        <f t="shared" ca="1" si="123"/>
        <v>50344</v>
      </c>
      <c r="BX232" s="74">
        <f t="shared" ca="1" si="124"/>
        <v>10</v>
      </c>
      <c r="BY232" s="74">
        <f t="shared" ca="1" si="114"/>
        <v>0</v>
      </c>
      <c r="BZ232" s="73" t="str">
        <f t="shared" ca="1" si="115"/>
        <v xml:space="preserve"> </v>
      </c>
      <c r="CB232" s="75">
        <f t="shared" ca="1" si="125"/>
        <v>50344</v>
      </c>
      <c r="CC232" s="74">
        <f t="shared" ca="1" si="116"/>
        <v>10</v>
      </c>
      <c r="CD232" s="74">
        <f t="shared" ca="1" si="117"/>
        <v>0</v>
      </c>
      <c r="CE232" s="73" t="str">
        <f t="shared" ca="1" si="118"/>
        <v xml:space="preserve"> </v>
      </c>
    </row>
    <row r="233" spans="1:83" x14ac:dyDescent="0.2">
      <c r="A233" s="38" t="str">
        <f t="shared" si="127"/>
        <v xml:space="preserve"> </v>
      </c>
      <c r="B233" s="108"/>
      <c r="C233" s="38"/>
      <c r="D233" s="137"/>
      <c r="E233" s="137"/>
      <c r="F233" s="137"/>
      <c r="G233" s="122"/>
      <c r="H233" s="137"/>
      <c r="I233" s="50"/>
      <c r="J233" s="50"/>
      <c r="K233" s="50"/>
      <c r="L233" s="38"/>
      <c r="M233" s="38"/>
      <c r="N233" s="38"/>
      <c r="O233" s="50"/>
      <c r="P233" s="218"/>
      <c r="Q233" s="50"/>
      <c r="R233" s="50"/>
      <c r="S233" s="38"/>
      <c r="T233" s="51"/>
      <c r="U233" s="65"/>
      <c r="V233" s="105"/>
      <c r="W233" s="66"/>
      <c r="X233" s="66"/>
      <c r="Y233" s="38"/>
      <c r="Z233" s="66">
        <f t="shared" si="98"/>
        <v>0</v>
      </c>
      <c r="AA233" s="67"/>
      <c r="AC233" s="41" t="e">
        <f>VLOOKUP(A233,'Input Sheet'!$A$2:$B$232,2,0)</f>
        <v>#N/A</v>
      </c>
      <c r="AD233" s="70"/>
      <c r="AI233" s="68"/>
      <c r="AL233" s="107">
        <f t="shared" ca="1" si="119"/>
        <v>0</v>
      </c>
      <c r="AM233" s="49">
        <f t="shared" ca="1" si="120"/>
        <v>50374</v>
      </c>
      <c r="AN233" s="137" t="str">
        <f t="shared" ca="1" si="106"/>
        <v xml:space="preserve"> </v>
      </c>
      <c r="AO233" s="107">
        <f t="shared" ca="1" si="107"/>
        <v>0</v>
      </c>
      <c r="AP233" s="143">
        <f t="shared" ca="1" si="99"/>
        <v>0</v>
      </c>
      <c r="AQ233" s="143">
        <f t="shared" ca="1" si="108"/>
        <v>0</v>
      </c>
      <c r="AR233" s="49" t="str">
        <f t="shared" ca="1" si="100"/>
        <v xml:space="preserve"> </v>
      </c>
      <c r="AS233" s="107">
        <f t="shared" ca="1" si="101"/>
        <v>0</v>
      </c>
      <c r="AT233" s="107">
        <f t="shared" ca="1" si="102"/>
        <v>0</v>
      </c>
      <c r="AU233" s="107"/>
      <c r="AV233" s="107">
        <f ca="1">MAX(SUM($AQ$6:AQ233)-SUM($AT$6:AT233),0)</f>
        <v>0</v>
      </c>
      <c r="AW233" s="107">
        <f t="shared" ca="1" si="121"/>
        <v>0</v>
      </c>
      <c r="AX233" s="107">
        <v>0</v>
      </c>
      <c r="AY233" s="138" t="str">
        <f t="shared" ca="1" si="103"/>
        <v xml:space="preserve"> </v>
      </c>
      <c r="AZ233" s="107">
        <f t="shared" ca="1" si="104"/>
        <v>0</v>
      </c>
      <c r="BA233" s="107">
        <f ca="1">IF(AZ233=1,(SUM($AW$6:AW233,$AX$6:AX233)-SUM($BA$6:BA232)),0)</f>
        <v>0</v>
      </c>
      <c r="BB233" s="107"/>
      <c r="BC233" s="107">
        <f ca="1">AV233+SUM($AW$6:AW233)+SUM($AX$6:AX233)-SUM($BA$6:BA233)</f>
        <v>0</v>
      </c>
      <c r="BD233" s="107">
        <f t="shared" ca="1" si="109"/>
        <v>0</v>
      </c>
      <c r="BE233" s="51">
        <f ca="1">'PiT PD Structure'!J273</f>
        <v>1.0848108763739095E-4</v>
      </c>
      <c r="BF233" s="139">
        <f t="shared" ca="1" si="122"/>
        <v>0.45</v>
      </c>
      <c r="BG233" s="51">
        <f t="shared" ca="1" si="110"/>
        <v>1</v>
      </c>
      <c r="BH233" s="50">
        <f t="shared" ca="1" si="105"/>
        <v>0</v>
      </c>
      <c r="BI233" s="50">
        <f t="shared" ca="1" si="126"/>
        <v>3.4816594052244909E-13</v>
      </c>
      <c r="BJ233" s="140">
        <v>0</v>
      </c>
      <c r="BK233" s="140">
        <v>0</v>
      </c>
      <c r="BM233" s="78"/>
      <c r="BR233" s="75">
        <f t="shared" ca="1" si="97"/>
        <v>50374</v>
      </c>
      <c r="BS233" s="74">
        <f t="shared" ca="1" si="111"/>
        <v>11</v>
      </c>
      <c r="BT233" s="74">
        <f t="shared" ca="1" si="112"/>
        <v>0</v>
      </c>
      <c r="BU233" s="73" t="str">
        <f t="shared" ca="1" si="113"/>
        <v xml:space="preserve"> </v>
      </c>
      <c r="BW233" s="75">
        <f t="shared" ca="1" si="123"/>
        <v>50374</v>
      </c>
      <c r="BX233" s="74">
        <f t="shared" ca="1" si="124"/>
        <v>11</v>
      </c>
      <c r="BY233" s="74">
        <f t="shared" ca="1" si="114"/>
        <v>0</v>
      </c>
      <c r="BZ233" s="73" t="str">
        <f t="shared" ca="1" si="115"/>
        <v xml:space="preserve"> </v>
      </c>
      <c r="CB233" s="75">
        <f t="shared" ca="1" si="125"/>
        <v>50374</v>
      </c>
      <c r="CC233" s="74">
        <f t="shared" ca="1" si="116"/>
        <v>11</v>
      </c>
      <c r="CD233" s="74">
        <f t="shared" ca="1" si="117"/>
        <v>0</v>
      </c>
      <c r="CE233" s="73" t="str">
        <f t="shared" ca="1" si="118"/>
        <v xml:space="preserve"> </v>
      </c>
    </row>
    <row r="234" spans="1:83" x14ac:dyDescent="0.2">
      <c r="A234" s="38" t="str">
        <f t="shared" si="127"/>
        <v xml:space="preserve"> </v>
      </c>
      <c r="B234" s="108"/>
      <c r="C234" s="38"/>
      <c r="D234" s="137"/>
      <c r="E234" s="137"/>
      <c r="F234" s="137"/>
      <c r="G234" s="122"/>
      <c r="H234" s="137"/>
      <c r="I234" s="50"/>
      <c r="J234" s="50"/>
      <c r="K234" s="50"/>
      <c r="L234" s="38"/>
      <c r="M234" s="38"/>
      <c r="N234" s="38"/>
      <c r="O234" s="50"/>
      <c r="P234" s="218"/>
      <c r="Q234" s="50"/>
      <c r="R234" s="50"/>
      <c r="S234" s="38"/>
      <c r="T234" s="51"/>
      <c r="U234" s="65"/>
      <c r="V234" s="105"/>
      <c r="W234" s="66"/>
      <c r="X234" s="66"/>
      <c r="Y234" s="38"/>
      <c r="Z234" s="66">
        <f t="shared" si="98"/>
        <v>0</v>
      </c>
      <c r="AA234" s="67"/>
      <c r="AC234" s="41" t="e">
        <f>VLOOKUP(A234,'Input Sheet'!$A$2:$B$232,2,0)</f>
        <v>#N/A</v>
      </c>
      <c r="AD234" s="70"/>
      <c r="AI234" s="68"/>
      <c r="AL234" s="107">
        <f t="shared" ca="1" si="119"/>
        <v>0</v>
      </c>
      <c r="AM234" s="49">
        <f t="shared" ca="1" si="120"/>
        <v>50405</v>
      </c>
      <c r="AN234" s="137" t="str">
        <f t="shared" ca="1" si="106"/>
        <v xml:space="preserve"> </v>
      </c>
      <c r="AO234" s="107">
        <f t="shared" ca="1" si="107"/>
        <v>0</v>
      </c>
      <c r="AP234" s="143">
        <f t="shared" ca="1" si="99"/>
        <v>0</v>
      </c>
      <c r="AQ234" s="143">
        <f t="shared" ca="1" si="108"/>
        <v>0</v>
      </c>
      <c r="AR234" s="49" t="str">
        <f t="shared" ca="1" si="100"/>
        <v xml:space="preserve"> </v>
      </c>
      <c r="AS234" s="107">
        <f t="shared" ca="1" si="101"/>
        <v>0</v>
      </c>
      <c r="AT234" s="107">
        <f t="shared" ca="1" si="102"/>
        <v>0</v>
      </c>
      <c r="AU234" s="107"/>
      <c r="AV234" s="107">
        <f ca="1">MAX(SUM($AQ$6:AQ234)-SUM($AT$6:AT234),0)</f>
        <v>0</v>
      </c>
      <c r="AW234" s="107">
        <f t="shared" ca="1" si="121"/>
        <v>0</v>
      </c>
      <c r="AX234" s="107">
        <v>0</v>
      </c>
      <c r="AY234" s="138" t="str">
        <f t="shared" ca="1" si="103"/>
        <v xml:space="preserve"> </v>
      </c>
      <c r="AZ234" s="107">
        <f t="shared" ca="1" si="104"/>
        <v>0</v>
      </c>
      <c r="BA234" s="107">
        <f ca="1">IF(AZ234=1,(SUM($AW$6:AW234,$AX$6:AX234)-SUM($BA$6:BA233)),0)</f>
        <v>0</v>
      </c>
      <c r="BB234" s="107"/>
      <c r="BC234" s="107">
        <f ca="1">AV234+SUM($AW$6:AW234)+SUM($AX$6:AX234)-SUM($BA$6:BA234)</f>
        <v>0</v>
      </c>
      <c r="BD234" s="107">
        <f t="shared" ca="1" si="109"/>
        <v>0</v>
      </c>
      <c r="BE234" s="51">
        <f ca="1">'PiT PD Structure'!J274</f>
        <v>2.7989112174683362E-3</v>
      </c>
      <c r="BF234" s="139">
        <f t="shared" ca="1" si="122"/>
        <v>0.45</v>
      </c>
      <c r="BG234" s="51">
        <f t="shared" ca="1" si="110"/>
        <v>1</v>
      </c>
      <c r="BH234" s="50">
        <f t="shared" ca="1" si="105"/>
        <v>0</v>
      </c>
      <c r="BI234" s="50">
        <f t="shared" ca="1" si="126"/>
        <v>3.4816594052244909E-13</v>
      </c>
      <c r="BJ234" s="140">
        <v>0</v>
      </c>
      <c r="BK234" s="140">
        <v>0</v>
      </c>
      <c r="BM234" s="78"/>
      <c r="BR234" s="75">
        <f t="shared" ca="1" si="97"/>
        <v>50405</v>
      </c>
      <c r="BS234" s="74">
        <f t="shared" ca="1" si="111"/>
        <v>12</v>
      </c>
      <c r="BT234" s="74">
        <f t="shared" ca="1" si="112"/>
        <v>0</v>
      </c>
      <c r="BU234" s="73" t="str">
        <f t="shared" ca="1" si="113"/>
        <v xml:space="preserve"> </v>
      </c>
      <c r="BW234" s="75">
        <f t="shared" ca="1" si="123"/>
        <v>50405</v>
      </c>
      <c r="BX234" s="74">
        <f t="shared" ca="1" si="124"/>
        <v>12</v>
      </c>
      <c r="BY234" s="74">
        <f t="shared" ca="1" si="114"/>
        <v>0</v>
      </c>
      <c r="BZ234" s="73" t="str">
        <f t="shared" ca="1" si="115"/>
        <v xml:space="preserve"> </v>
      </c>
      <c r="CB234" s="75">
        <f t="shared" ca="1" si="125"/>
        <v>50405</v>
      </c>
      <c r="CC234" s="74">
        <f t="shared" ca="1" si="116"/>
        <v>12</v>
      </c>
      <c r="CD234" s="74">
        <f t="shared" ca="1" si="117"/>
        <v>0</v>
      </c>
      <c r="CE234" s="73" t="str">
        <f t="shared" ca="1" si="118"/>
        <v xml:space="preserve"> </v>
      </c>
    </row>
    <row r="235" spans="1:83" x14ac:dyDescent="0.2">
      <c r="A235" s="38" t="str">
        <f t="shared" si="127"/>
        <v xml:space="preserve"> </v>
      </c>
      <c r="B235" s="108"/>
      <c r="C235" s="38"/>
      <c r="D235" s="137"/>
      <c r="E235" s="137"/>
      <c r="F235" s="137"/>
      <c r="G235" s="122"/>
      <c r="H235" s="137"/>
      <c r="I235" s="50"/>
      <c r="J235" s="50"/>
      <c r="K235" s="50"/>
      <c r="L235" s="38"/>
      <c r="M235" s="38"/>
      <c r="N235" s="38"/>
      <c r="O235" s="50"/>
      <c r="P235" s="218"/>
      <c r="Q235" s="50"/>
      <c r="R235" s="50"/>
      <c r="S235" s="38"/>
      <c r="T235" s="51"/>
      <c r="U235" s="65"/>
      <c r="V235" s="105"/>
      <c r="W235" s="66"/>
      <c r="X235" s="66"/>
      <c r="Y235" s="38"/>
      <c r="Z235" s="66">
        <f t="shared" si="98"/>
        <v>0</v>
      </c>
      <c r="AA235" s="67"/>
      <c r="AC235" s="41" t="e">
        <f>VLOOKUP(A235,'Input Sheet'!$A$2:$B$232,2,0)</f>
        <v>#N/A</v>
      </c>
      <c r="AD235" s="70"/>
      <c r="AI235" s="68"/>
      <c r="AL235" s="107">
        <f t="shared" ca="1" si="119"/>
        <v>0</v>
      </c>
      <c r="AM235" s="49">
        <f t="shared" ca="1" si="120"/>
        <v>50436</v>
      </c>
      <c r="AN235" s="137" t="str">
        <f t="shared" ca="1" si="106"/>
        <v xml:space="preserve"> </v>
      </c>
      <c r="AO235" s="107">
        <f t="shared" ca="1" si="107"/>
        <v>0</v>
      </c>
      <c r="AP235" s="143">
        <f t="shared" ca="1" si="99"/>
        <v>0</v>
      </c>
      <c r="AQ235" s="143">
        <f t="shared" ca="1" si="108"/>
        <v>0</v>
      </c>
      <c r="AR235" s="49" t="str">
        <f t="shared" ca="1" si="100"/>
        <v xml:space="preserve"> </v>
      </c>
      <c r="AS235" s="107">
        <f t="shared" ca="1" si="101"/>
        <v>0</v>
      </c>
      <c r="AT235" s="107">
        <f t="shared" ca="1" si="102"/>
        <v>0</v>
      </c>
      <c r="AU235" s="107"/>
      <c r="AV235" s="107">
        <f ca="1">MAX(SUM($AQ$6:AQ235)-SUM($AT$6:AT235),0)</f>
        <v>0</v>
      </c>
      <c r="AW235" s="107">
        <f t="shared" ca="1" si="121"/>
        <v>0</v>
      </c>
      <c r="AX235" s="107">
        <v>0</v>
      </c>
      <c r="AY235" s="138" t="str">
        <f t="shared" ca="1" si="103"/>
        <v xml:space="preserve"> </v>
      </c>
      <c r="AZ235" s="107">
        <f t="shared" ca="1" si="104"/>
        <v>0</v>
      </c>
      <c r="BA235" s="107">
        <f ca="1">IF(AZ235=1,(SUM($AW$6:AW235,$AX$6:AX235)-SUM($BA$6:BA234)),0)</f>
        <v>0</v>
      </c>
      <c r="BB235" s="107"/>
      <c r="BC235" s="107">
        <f ca="1">AV235+SUM($AW$6:AW235)+SUM($AX$6:AX235)-SUM($BA$6:BA235)</f>
        <v>0</v>
      </c>
      <c r="BD235" s="107">
        <f t="shared" ca="1" si="109"/>
        <v>0</v>
      </c>
      <c r="BE235" s="51">
        <f ca="1">'PiT PD Structure'!J275</f>
        <v>1.1455274131522142E-4</v>
      </c>
      <c r="BF235" s="139">
        <f t="shared" ca="1" si="122"/>
        <v>0.45</v>
      </c>
      <c r="BG235" s="51">
        <f t="shared" ca="1" si="110"/>
        <v>1</v>
      </c>
      <c r="BH235" s="50">
        <f t="shared" ca="1" si="105"/>
        <v>0</v>
      </c>
      <c r="BI235" s="50">
        <f t="shared" ca="1" si="126"/>
        <v>3.4816594052244909E-13</v>
      </c>
      <c r="BJ235" s="140">
        <v>0</v>
      </c>
      <c r="BK235" s="140">
        <v>0</v>
      </c>
      <c r="BM235" s="78"/>
      <c r="BR235" s="75">
        <f t="shared" ca="1" si="97"/>
        <v>50436</v>
      </c>
      <c r="BS235" s="74">
        <f t="shared" ca="1" si="111"/>
        <v>1</v>
      </c>
      <c r="BT235" s="74">
        <f t="shared" ca="1" si="112"/>
        <v>0</v>
      </c>
      <c r="BU235" s="73" t="str">
        <f t="shared" ca="1" si="113"/>
        <v xml:space="preserve"> </v>
      </c>
      <c r="BW235" s="75">
        <f t="shared" ca="1" si="123"/>
        <v>50436</v>
      </c>
      <c r="BX235" s="74">
        <f t="shared" ca="1" si="124"/>
        <v>1</v>
      </c>
      <c r="BY235" s="74">
        <f t="shared" ca="1" si="114"/>
        <v>0</v>
      </c>
      <c r="BZ235" s="73" t="str">
        <f t="shared" ca="1" si="115"/>
        <v xml:space="preserve"> </v>
      </c>
      <c r="CB235" s="75">
        <f t="shared" ca="1" si="125"/>
        <v>50436</v>
      </c>
      <c r="CC235" s="74">
        <f t="shared" ca="1" si="116"/>
        <v>1</v>
      </c>
      <c r="CD235" s="74">
        <f t="shared" ca="1" si="117"/>
        <v>0</v>
      </c>
      <c r="CE235" s="73" t="str">
        <f t="shared" ca="1" si="118"/>
        <v xml:space="preserve"> </v>
      </c>
    </row>
    <row r="236" spans="1:83" x14ac:dyDescent="0.2">
      <c r="A236" s="38" t="str">
        <f t="shared" si="127"/>
        <v xml:space="preserve"> </v>
      </c>
      <c r="B236" s="108"/>
      <c r="C236" s="38"/>
      <c r="D236" s="137"/>
      <c r="E236" s="137"/>
      <c r="F236" s="137"/>
      <c r="G236" s="122"/>
      <c r="H236" s="137"/>
      <c r="I236" s="50"/>
      <c r="J236" s="50"/>
      <c r="K236" s="50"/>
      <c r="L236" s="38"/>
      <c r="M236" s="38"/>
      <c r="N236" s="38"/>
      <c r="O236" s="50"/>
      <c r="P236" s="218"/>
      <c r="Q236" s="50"/>
      <c r="R236" s="50"/>
      <c r="S236" s="38"/>
      <c r="T236" s="51"/>
      <c r="U236" s="65"/>
      <c r="V236" s="105"/>
      <c r="W236" s="66"/>
      <c r="X236" s="66"/>
      <c r="Y236" s="38"/>
      <c r="Z236" s="66">
        <f t="shared" si="98"/>
        <v>0</v>
      </c>
      <c r="AA236" s="67"/>
      <c r="AC236" s="41" t="e">
        <f>VLOOKUP(A236,'Input Sheet'!$A$2:$B$232,2,0)</f>
        <v>#N/A</v>
      </c>
      <c r="AD236" s="70"/>
      <c r="AI236" s="68"/>
      <c r="AL236" s="107">
        <f t="shared" ca="1" si="119"/>
        <v>0</v>
      </c>
      <c r="AM236" s="49">
        <f t="shared" ca="1" si="120"/>
        <v>50464</v>
      </c>
      <c r="AN236" s="137" t="str">
        <f t="shared" ca="1" si="106"/>
        <v xml:space="preserve"> </v>
      </c>
      <c r="AO236" s="107">
        <f t="shared" ca="1" si="107"/>
        <v>0</v>
      </c>
      <c r="AP236" s="143">
        <f t="shared" ca="1" si="99"/>
        <v>0</v>
      </c>
      <c r="AQ236" s="143">
        <f t="shared" ca="1" si="108"/>
        <v>0</v>
      </c>
      <c r="AR236" s="49" t="str">
        <f t="shared" ca="1" si="100"/>
        <v xml:space="preserve"> </v>
      </c>
      <c r="AS236" s="107">
        <f t="shared" ca="1" si="101"/>
        <v>0</v>
      </c>
      <c r="AT236" s="107">
        <f t="shared" ca="1" si="102"/>
        <v>0</v>
      </c>
      <c r="AU236" s="107"/>
      <c r="AV236" s="107">
        <f ca="1">MAX(SUM($AQ$6:AQ236)-SUM($AT$6:AT236),0)</f>
        <v>0</v>
      </c>
      <c r="AW236" s="107">
        <f t="shared" ca="1" si="121"/>
        <v>0</v>
      </c>
      <c r="AX236" s="107">
        <v>0</v>
      </c>
      <c r="AY236" s="138" t="str">
        <f t="shared" ca="1" si="103"/>
        <v xml:space="preserve"> </v>
      </c>
      <c r="AZ236" s="107">
        <f t="shared" ca="1" si="104"/>
        <v>0</v>
      </c>
      <c r="BA236" s="107">
        <f ca="1">IF(AZ236=1,(SUM($AW$6:AW236,$AX$6:AX236)-SUM($BA$6:BA235)),0)</f>
        <v>0</v>
      </c>
      <c r="BB236" s="107"/>
      <c r="BC236" s="107">
        <f ca="1">AV236+SUM($AW$6:AW236)+SUM($AX$6:AX236)-SUM($BA$6:BA236)</f>
        <v>0</v>
      </c>
      <c r="BD236" s="107">
        <f t="shared" ca="1" si="109"/>
        <v>0</v>
      </c>
      <c r="BE236" s="51">
        <f ca="1">'PiT PD Structure'!J276</f>
        <v>1.1453907681213682E-4</v>
      </c>
      <c r="BF236" s="139">
        <f t="shared" ca="1" si="122"/>
        <v>0.45</v>
      </c>
      <c r="BG236" s="51">
        <f t="shared" ca="1" si="110"/>
        <v>1</v>
      </c>
      <c r="BH236" s="50">
        <f t="shared" ca="1" si="105"/>
        <v>0</v>
      </c>
      <c r="BI236" s="50">
        <f t="shared" ca="1" si="126"/>
        <v>3.4816594052244909E-13</v>
      </c>
      <c r="BJ236" s="140">
        <v>0</v>
      </c>
      <c r="BK236" s="140">
        <v>0</v>
      </c>
      <c r="BM236" s="78"/>
      <c r="BR236" s="75">
        <f t="shared" ca="1" si="97"/>
        <v>50464</v>
      </c>
      <c r="BS236" s="74">
        <f t="shared" ca="1" si="111"/>
        <v>2</v>
      </c>
      <c r="BT236" s="74">
        <f t="shared" ca="1" si="112"/>
        <v>0</v>
      </c>
      <c r="BU236" s="73" t="str">
        <f t="shared" ca="1" si="113"/>
        <v xml:space="preserve"> </v>
      </c>
      <c r="BW236" s="75">
        <f t="shared" ca="1" si="123"/>
        <v>50464</v>
      </c>
      <c r="BX236" s="74">
        <f t="shared" ca="1" si="124"/>
        <v>2</v>
      </c>
      <c r="BY236" s="74">
        <f t="shared" ca="1" si="114"/>
        <v>0</v>
      </c>
      <c r="BZ236" s="73" t="str">
        <f t="shared" ca="1" si="115"/>
        <v xml:space="preserve"> </v>
      </c>
      <c r="CB236" s="75">
        <f t="shared" ca="1" si="125"/>
        <v>50464</v>
      </c>
      <c r="CC236" s="74">
        <f t="shared" ca="1" si="116"/>
        <v>2</v>
      </c>
      <c r="CD236" s="74">
        <f t="shared" ca="1" si="117"/>
        <v>0</v>
      </c>
      <c r="CE236" s="73" t="str">
        <f t="shared" ca="1" si="118"/>
        <v xml:space="preserve"> </v>
      </c>
    </row>
    <row r="237" spans="1:83" x14ac:dyDescent="0.2">
      <c r="A237" s="38" t="str">
        <f t="shared" si="127"/>
        <v xml:space="preserve"> </v>
      </c>
      <c r="B237" s="108"/>
      <c r="C237" s="38"/>
      <c r="D237" s="137"/>
      <c r="E237" s="137"/>
      <c r="F237" s="137"/>
      <c r="G237" s="122"/>
      <c r="H237" s="137"/>
      <c r="I237" s="50"/>
      <c r="J237" s="50"/>
      <c r="K237" s="50"/>
      <c r="L237" s="38"/>
      <c r="M237" s="38"/>
      <c r="N237" s="38"/>
      <c r="O237" s="50"/>
      <c r="P237" s="218"/>
      <c r="Q237" s="50"/>
      <c r="R237" s="50"/>
      <c r="S237" s="38"/>
      <c r="T237" s="51"/>
      <c r="U237" s="65"/>
      <c r="V237" s="105"/>
      <c r="W237" s="66"/>
      <c r="X237" s="66"/>
      <c r="Y237" s="38"/>
      <c r="Z237" s="66">
        <f t="shared" si="98"/>
        <v>0</v>
      </c>
      <c r="AA237" s="67"/>
      <c r="AC237" s="41" t="e">
        <f>VLOOKUP(A237,'Input Sheet'!$A$2:$B$232,2,0)</f>
        <v>#N/A</v>
      </c>
      <c r="AD237" s="70"/>
      <c r="AI237" s="68"/>
      <c r="AL237" s="107">
        <f t="shared" ca="1" si="119"/>
        <v>0</v>
      </c>
      <c r="AM237" s="49">
        <f t="shared" ca="1" si="120"/>
        <v>50495</v>
      </c>
      <c r="AN237" s="137" t="str">
        <f t="shared" ca="1" si="106"/>
        <v xml:space="preserve"> </v>
      </c>
      <c r="AO237" s="107">
        <f t="shared" ca="1" si="107"/>
        <v>0</v>
      </c>
      <c r="AP237" s="143">
        <f t="shared" ca="1" si="99"/>
        <v>0</v>
      </c>
      <c r="AQ237" s="143">
        <f t="shared" ca="1" si="108"/>
        <v>0</v>
      </c>
      <c r="AR237" s="49" t="str">
        <f t="shared" ca="1" si="100"/>
        <v xml:space="preserve"> </v>
      </c>
      <c r="AS237" s="107">
        <f t="shared" ca="1" si="101"/>
        <v>0</v>
      </c>
      <c r="AT237" s="107">
        <f t="shared" ca="1" si="102"/>
        <v>0</v>
      </c>
      <c r="AU237" s="107"/>
      <c r="AV237" s="107">
        <f ca="1">MAX(SUM($AQ$6:AQ237)-SUM($AT$6:AT237),0)</f>
        <v>0</v>
      </c>
      <c r="AW237" s="107">
        <f t="shared" ca="1" si="121"/>
        <v>0</v>
      </c>
      <c r="AX237" s="107">
        <v>0</v>
      </c>
      <c r="AY237" s="138" t="str">
        <f t="shared" ca="1" si="103"/>
        <v xml:space="preserve"> </v>
      </c>
      <c r="AZ237" s="107">
        <f t="shared" ca="1" si="104"/>
        <v>0</v>
      </c>
      <c r="BA237" s="107">
        <f ca="1">IF(AZ237=1,(SUM($AW$6:AW237,$AX$6:AX237)-SUM($BA$6:BA236)),0)</f>
        <v>0</v>
      </c>
      <c r="BB237" s="107"/>
      <c r="BC237" s="107">
        <f ca="1">AV237+SUM($AW$6:AW237)+SUM($AX$6:AX237)-SUM($BA$6:BA237)</f>
        <v>0</v>
      </c>
      <c r="BD237" s="107">
        <f t="shared" ca="1" si="109"/>
        <v>0</v>
      </c>
      <c r="BE237" s="51">
        <f ca="1">'PiT PD Structure'!J277</f>
        <v>1.1452541393897064E-4</v>
      </c>
      <c r="BF237" s="139">
        <f t="shared" ca="1" si="122"/>
        <v>0.45</v>
      </c>
      <c r="BG237" s="51">
        <f t="shared" ca="1" si="110"/>
        <v>1</v>
      </c>
      <c r="BH237" s="50">
        <f t="shared" ca="1" si="105"/>
        <v>0</v>
      </c>
      <c r="BI237" s="50">
        <f t="shared" ca="1" si="126"/>
        <v>3.4816594052244909E-13</v>
      </c>
      <c r="BJ237" s="140">
        <v>0</v>
      </c>
      <c r="BK237" s="140">
        <v>0</v>
      </c>
      <c r="BM237" s="78"/>
      <c r="BR237" s="75">
        <f t="shared" ca="1" si="97"/>
        <v>50495</v>
      </c>
      <c r="BS237" s="74">
        <f t="shared" ca="1" si="111"/>
        <v>3</v>
      </c>
      <c r="BT237" s="74">
        <f t="shared" ca="1" si="112"/>
        <v>0</v>
      </c>
      <c r="BU237" s="73" t="str">
        <f t="shared" ca="1" si="113"/>
        <v xml:space="preserve"> </v>
      </c>
      <c r="BW237" s="75">
        <f t="shared" ca="1" si="123"/>
        <v>50495</v>
      </c>
      <c r="BX237" s="74">
        <f t="shared" ca="1" si="124"/>
        <v>3</v>
      </c>
      <c r="BY237" s="74">
        <f t="shared" ca="1" si="114"/>
        <v>0</v>
      </c>
      <c r="BZ237" s="73" t="str">
        <f t="shared" ca="1" si="115"/>
        <v xml:space="preserve"> </v>
      </c>
      <c r="CB237" s="75">
        <f t="shared" ca="1" si="125"/>
        <v>50495</v>
      </c>
      <c r="CC237" s="74">
        <f t="shared" ca="1" si="116"/>
        <v>3</v>
      </c>
      <c r="CD237" s="74">
        <f t="shared" ca="1" si="117"/>
        <v>0</v>
      </c>
      <c r="CE237" s="73" t="str">
        <f t="shared" ca="1" si="118"/>
        <v xml:space="preserve"> </v>
      </c>
    </row>
    <row r="238" spans="1:83" x14ac:dyDescent="0.2">
      <c r="A238" s="38" t="str">
        <f t="shared" si="127"/>
        <v xml:space="preserve"> </v>
      </c>
      <c r="B238" s="108"/>
      <c r="C238" s="38"/>
      <c r="D238" s="137"/>
      <c r="E238" s="137"/>
      <c r="F238" s="137"/>
      <c r="G238" s="122"/>
      <c r="H238" s="137"/>
      <c r="I238" s="50"/>
      <c r="J238" s="50"/>
      <c r="K238" s="50"/>
      <c r="L238" s="38"/>
      <c r="M238" s="38"/>
      <c r="N238" s="38"/>
      <c r="O238" s="50"/>
      <c r="P238" s="218"/>
      <c r="Q238" s="50"/>
      <c r="R238" s="50"/>
      <c r="S238" s="38"/>
      <c r="T238" s="51"/>
      <c r="U238" s="65"/>
      <c r="V238" s="105"/>
      <c r="W238" s="66"/>
      <c r="X238" s="66"/>
      <c r="Y238" s="38"/>
      <c r="Z238" s="66">
        <f t="shared" si="98"/>
        <v>0</v>
      </c>
      <c r="AA238" s="67"/>
      <c r="AC238" s="41" t="e">
        <f>VLOOKUP(A238,'Input Sheet'!$A$2:$B$232,2,0)</f>
        <v>#N/A</v>
      </c>
      <c r="AD238" s="70"/>
      <c r="AI238" s="68"/>
      <c r="AL238" s="107">
        <f t="shared" ca="1" si="119"/>
        <v>0</v>
      </c>
      <c r="AM238" s="49">
        <f t="shared" ca="1" si="120"/>
        <v>50525</v>
      </c>
      <c r="AN238" s="137" t="str">
        <f t="shared" ca="1" si="106"/>
        <v xml:space="preserve"> </v>
      </c>
      <c r="AO238" s="107">
        <f t="shared" ca="1" si="107"/>
        <v>0</v>
      </c>
      <c r="AP238" s="143">
        <f t="shared" ca="1" si="99"/>
        <v>0</v>
      </c>
      <c r="AQ238" s="143">
        <f t="shared" ca="1" si="108"/>
        <v>0</v>
      </c>
      <c r="AR238" s="49" t="str">
        <f t="shared" ca="1" si="100"/>
        <v xml:space="preserve"> </v>
      </c>
      <c r="AS238" s="107">
        <f t="shared" ca="1" si="101"/>
        <v>0</v>
      </c>
      <c r="AT238" s="107">
        <f t="shared" ca="1" si="102"/>
        <v>0</v>
      </c>
      <c r="AU238" s="107"/>
      <c r="AV238" s="107">
        <f ca="1">MAX(SUM($AQ$6:AQ238)-SUM($AT$6:AT238),0)</f>
        <v>0</v>
      </c>
      <c r="AW238" s="107">
        <f t="shared" ca="1" si="121"/>
        <v>0</v>
      </c>
      <c r="AX238" s="107">
        <v>0</v>
      </c>
      <c r="AY238" s="138" t="str">
        <f t="shared" ca="1" si="103"/>
        <v xml:space="preserve"> </v>
      </c>
      <c r="AZ238" s="107">
        <f t="shared" ca="1" si="104"/>
        <v>0</v>
      </c>
      <c r="BA238" s="107">
        <f ca="1">IF(AZ238=1,(SUM($AW$6:AW238,$AX$6:AX238)-SUM($BA$6:BA237)),0)</f>
        <v>0</v>
      </c>
      <c r="BB238" s="107"/>
      <c r="BC238" s="107">
        <f ca="1">AV238+SUM($AW$6:AW238)+SUM($AX$6:AX238)-SUM($BA$6:BA238)</f>
        <v>0</v>
      </c>
      <c r="BD238" s="107">
        <f t="shared" ca="1" si="109"/>
        <v>0</v>
      </c>
      <c r="BE238" s="51">
        <f ca="1">'PiT PD Structure'!J278</f>
        <v>1.1451175269561187E-4</v>
      </c>
      <c r="BF238" s="139">
        <f t="shared" ca="1" si="122"/>
        <v>0.45</v>
      </c>
      <c r="BG238" s="51">
        <f t="shared" ca="1" si="110"/>
        <v>1</v>
      </c>
      <c r="BH238" s="50">
        <f t="shared" ca="1" si="105"/>
        <v>0</v>
      </c>
      <c r="BI238" s="50">
        <f t="shared" ca="1" si="126"/>
        <v>3.4816594052244909E-13</v>
      </c>
      <c r="BJ238" s="140">
        <v>0</v>
      </c>
      <c r="BK238" s="140">
        <v>0</v>
      </c>
      <c r="BM238" s="78"/>
      <c r="BR238" s="75">
        <f t="shared" ca="1" si="97"/>
        <v>50525</v>
      </c>
      <c r="BS238" s="74">
        <f t="shared" ca="1" si="111"/>
        <v>4</v>
      </c>
      <c r="BT238" s="74">
        <f t="shared" ca="1" si="112"/>
        <v>0</v>
      </c>
      <c r="BU238" s="73" t="str">
        <f t="shared" ca="1" si="113"/>
        <v xml:space="preserve"> </v>
      </c>
      <c r="BW238" s="75">
        <f t="shared" ca="1" si="123"/>
        <v>50525</v>
      </c>
      <c r="BX238" s="74">
        <f t="shared" ca="1" si="124"/>
        <v>4</v>
      </c>
      <c r="BY238" s="74">
        <f t="shared" ca="1" si="114"/>
        <v>0</v>
      </c>
      <c r="BZ238" s="73" t="str">
        <f t="shared" ca="1" si="115"/>
        <v xml:space="preserve"> </v>
      </c>
      <c r="CB238" s="75">
        <f t="shared" ca="1" si="125"/>
        <v>50525</v>
      </c>
      <c r="CC238" s="74">
        <f t="shared" ca="1" si="116"/>
        <v>4</v>
      </c>
      <c r="CD238" s="74">
        <f t="shared" ca="1" si="117"/>
        <v>0</v>
      </c>
      <c r="CE238" s="73" t="str">
        <f t="shared" ca="1" si="118"/>
        <v xml:space="preserve"> </v>
      </c>
    </row>
    <row r="239" spans="1:83" x14ac:dyDescent="0.2">
      <c r="A239" s="38" t="str">
        <f t="shared" si="127"/>
        <v xml:space="preserve"> </v>
      </c>
      <c r="B239" s="108"/>
      <c r="C239" s="38"/>
      <c r="D239" s="137"/>
      <c r="E239" s="137"/>
      <c r="F239" s="137"/>
      <c r="G239" s="122"/>
      <c r="H239" s="137"/>
      <c r="I239" s="50"/>
      <c r="J239" s="50"/>
      <c r="K239" s="50"/>
      <c r="L239" s="38"/>
      <c r="M239" s="38"/>
      <c r="N239" s="38"/>
      <c r="O239" s="50"/>
      <c r="P239" s="218"/>
      <c r="Q239" s="50"/>
      <c r="R239" s="50"/>
      <c r="S239" s="38"/>
      <c r="T239" s="51"/>
      <c r="U239" s="65"/>
      <c r="V239" s="105"/>
      <c r="W239" s="66"/>
      <c r="X239" s="66"/>
      <c r="Y239" s="38"/>
      <c r="Z239" s="66">
        <f t="shared" si="98"/>
        <v>0</v>
      </c>
      <c r="AA239" s="67"/>
      <c r="AC239" s="41" t="e">
        <f>VLOOKUP(A239,'Input Sheet'!$A$2:$B$232,2,0)</f>
        <v>#N/A</v>
      </c>
      <c r="AD239" s="70"/>
      <c r="AI239" s="68"/>
      <c r="AL239" s="107">
        <f t="shared" ca="1" si="119"/>
        <v>0</v>
      </c>
      <c r="AM239" s="49">
        <f t="shared" ca="1" si="120"/>
        <v>50556</v>
      </c>
      <c r="AN239" s="137" t="str">
        <f t="shared" ca="1" si="106"/>
        <v xml:space="preserve"> </v>
      </c>
      <c r="AO239" s="107">
        <f t="shared" ca="1" si="107"/>
        <v>0</v>
      </c>
      <c r="AP239" s="143">
        <f t="shared" ca="1" si="99"/>
        <v>0</v>
      </c>
      <c r="AQ239" s="143">
        <f t="shared" ca="1" si="108"/>
        <v>0</v>
      </c>
      <c r="AR239" s="49" t="str">
        <f t="shared" ca="1" si="100"/>
        <v xml:space="preserve"> </v>
      </c>
      <c r="AS239" s="107">
        <f t="shared" ca="1" si="101"/>
        <v>0</v>
      </c>
      <c r="AT239" s="107">
        <f t="shared" ca="1" si="102"/>
        <v>0</v>
      </c>
      <c r="AU239" s="107"/>
      <c r="AV239" s="107">
        <f ca="1">MAX(SUM($AQ$6:AQ239)-SUM($AT$6:AT239),0)</f>
        <v>0</v>
      </c>
      <c r="AW239" s="107">
        <f t="shared" ca="1" si="121"/>
        <v>0</v>
      </c>
      <c r="AX239" s="107">
        <v>0</v>
      </c>
      <c r="AY239" s="138" t="str">
        <f t="shared" ca="1" si="103"/>
        <v xml:space="preserve"> </v>
      </c>
      <c r="AZ239" s="107">
        <f t="shared" ca="1" si="104"/>
        <v>0</v>
      </c>
      <c r="BA239" s="107">
        <f ca="1">IF(AZ239=1,(SUM($AW$6:AW239,$AX$6:AX239)-SUM($BA$6:BA238)),0)</f>
        <v>0</v>
      </c>
      <c r="BB239" s="107"/>
      <c r="BC239" s="107">
        <f ca="1">AV239+SUM($AW$6:AW239)+SUM($AX$6:AX239)-SUM($BA$6:BA239)</f>
        <v>0</v>
      </c>
      <c r="BD239" s="107">
        <f t="shared" ca="1" si="109"/>
        <v>0</v>
      </c>
      <c r="BE239" s="51">
        <f ca="1">'PiT PD Structure'!J279</f>
        <v>1.1449809308194947E-4</v>
      </c>
      <c r="BF239" s="139">
        <f t="shared" ca="1" si="122"/>
        <v>0.45</v>
      </c>
      <c r="BG239" s="51">
        <f t="shared" ca="1" si="110"/>
        <v>1</v>
      </c>
      <c r="BH239" s="50">
        <f t="shared" ca="1" si="105"/>
        <v>0</v>
      </c>
      <c r="BI239" s="50">
        <f t="shared" ca="1" si="126"/>
        <v>3.4816594052244909E-13</v>
      </c>
      <c r="BJ239" s="140">
        <v>0</v>
      </c>
      <c r="BK239" s="140">
        <v>0</v>
      </c>
      <c r="BM239" s="78"/>
      <c r="BR239" s="75">
        <f t="shared" ca="1" si="97"/>
        <v>50556</v>
      </c>
      <c r="BS239" s="74">
        <f t="shared" ca="1" si="111"/>
        <v>5</v>
      </c>
      <c r="BT239" s="74">
        <f t="shared" ca="1" si="112"/>
        <v>0</v>
      </c>
      <c r="BU239" s="73" t="str">
        <f t="shared" ca="1" si="113"/>
        <v xml:space="preserve"> </v>
      </c>
      <c r="BW239" s="75">
        <f t="shared" ca="1" si="123"/>
        <v>50556</v>
      </c>
      <c r="BX239" s="74">
        <f t="shared" ca="1" si="124"/>
        <v>5</v>
      </c>
      <c r="BY239" s="74">
        <f t="shared" ca="1" si="114"/>
        <v>0</v>
      </c>
      <c r="BZ239" s="73" t="str">
        <f t="shared" ca="1" si="115"/>
        <v xml:space="preserve"> </v>
      </c>
      <c r="CB239" s="75">
        <f t="shared" ca="1" si="125"/>
        <v>50556</v>
      </c>
      <c r="CC239" s="74">
        <f t="shared" ca="1" si="116"/>
        <v>5</v>
      </c>
      <c r="CD239" s="74">
        <f t="shared" ca="1" si="117"/>
        <v>0</v>
      </c>
      <c r="CE239" s="73" t="str">
        <f t="shared" ca="1" si="118"/>
        <v xml:space="preserve"> </v>
      </c>
    </row>
    <row r="240" spans="1:83" x14ac:dyDescent="0.2">
      <c r="A240" s="38" t="str">
        <f t="shared" si="127"/>
        <v xml:space="preserve"> </v>
      </c>
      <c r="B240" s="108"/>
      <c r="C240" s="38"/>
      <c r="D240" s="137"/>
      <c r="E240" s="137"/>
      <c r="F240" s="137"/>
      <c r="G240" s="122"/>
      <c r="H240" s="137"/>
      <c r="I240" s="50"/>
      <c r="J240" s="50"/>
      <c r="K240" s="50"/>
      <c r="L240" s="38"/>
      <c r="M240" s="38"/>
      <c r="N240" s="38"/>
      <c r="O240" s="50"/>
      <c r="P240" s="218"/>
      <c r="Q240" s="50"/>
      <c r="R240" s="50"/>
      <c r="S240" s="38"/>
      <c r="T240" s="51"/>
      <c r="U240" s="65"/>
      <c r="V240" s="105"/>
      <c r="W240" s="66"/>
      <c r="X240" s="66"/>
      <c r="Y240" s="38"/>
      <c r="Z240" s="66">
        <f t="shared" si="98"/>
        <v>0</v>
      </c>
      <c r="AA240" s="67"/>
      <c r="AC240" s="41" t="e">
        <f>VLOOKUP(A240,'Input Sheet'!$A$2:$B$232,2,0)</f>
        <v>#N/A</v>
      </c>
      <c r="AD240" s="70"/>
      <c r="AI240" s="68"/>
      <c r="AL240" s="107">
        <f t="shared" ca="1" si="119"/>
        <v>0</v>
      </c>
      <c r="AM240" s="49">
        <f t="shared" ca="1" si="120"/>
        <v>50586</v>
      </c>
      <c r="AN240" s="137" t="str">
        <f t="shared" ca="1" si="106"/>
        <v xml:space="preserve"> </v>
      </c>
      <c r="AO240" s="107">
        <f t="shared" ca="1" si="107"/>
        <v>0</v>
      </c>
      <c r="AP240" s="143">
        <f t="shared" ca="1" si="99"/>
        <v>0</v>
      </c>
      <c r="AQ240" s="143">
        <f t="shared" ca="1" si="108"/>
        <v>0</v>
      </c>
      <c r="AR240" s="49" t="str">
        <f t="shared" ca="1" si="100"/>
        <v xml:space="preserve"> </v>
      </c>
      <c r="AS240" s="107">
        <f t="shared" ca="1" si="101"/>
        <v>0</v>
      </c>
      <c r="AT240" s="107">
        <f t="shared" ca="1" si="102"/>
        <v>0</v>
      </c>
      <c r="AU240" s="107"/>
      <c r="AV240" s="107">
        <f ca="1">MAX(SUM($AQ$6:AQ240)-SUM($AT$6:AT240),0)</f>
        <v>0</v>
      </c>
      <c r="AW240" s="107">
        <f t="shared" ca="1" si="121"/>
        <v>0</v>
      </c>
      <c r="AX240" s="107">
        <v>0</v>
      </c>
      <c r="AY240" s="138" t="str">
        <f t="shared" ca="1" si="103"/>
        <v xml:space="preserve"> </v>
      </c>
      <c r="AZ240" s="107">
        <f t="shared" ca="1" si="104"/>
        <v>0</v>
      </c>
      <c r="BA240" s="107">
        <f ca="1">IF(AZ240=1,(SUM($AW$6:AW240,$AX$6:AX240)-SUM($BA$6:BA239)),0)</f>
        <v>0</v>
      </c>
      <c r="BB240" s="107"/>
      <c r="BC240" s="107">
        <f ca="1">AV240+SUM($AW$6:AW240)+SUM($AX$6:AX240)-SUM($BA$6:BA240)</f>
        <v>0</v>
      </c>
      <c r="BD240" s="107">
        <f t="shared" ca="1" si="109"/>
        <v>0</v>
      </c>
      <c r="BE240" s="51">
        <f ca="1">'PiT PD Structure'!J280</f>
        <v>1.1448443509765038E-4</v>
      </c>
      <c r="BF240" s="139">
        <f t="shared" ca="1" si="122"/>
        <v>0.45</v>
      </c>
      <c r="BG240" s="51">
        <f t="shared" ca="1" si="110"/>
        <v>1</v>
      </c>
      <c r="BH240" s="50">
        <f t="shared" ca="1" si="105"/>
        <v>0</v>
      </c>
      <c r="BI240" s="50">
        <f t="shared" ca="1" si="126"/>
        <v>3.4816594052244909E-13</v>
      </c>
      <c r="BJ240" s="140">
        <v>0</v>
      </c>
      <c r="BK240" s="140">
        <v>0</v>
      </c>
      <c r="BM240" s="78"/>
      <c r="BR240" s="75">
        <f t="shared" ca="1" si="97"/>
        <v>50586</v>
      </c>
      <c r="BS240" s="74">
        <f t="shared" ca="1" si="111"/>
        <v>6</v>
      </c>
      <c r="BT240" s="74">
        <f t="shared" ca="1" si="112"/>
        <v>0</v>
      </c>
      <c r="BU240" s="73" t="str">
        <f t="shared" ca="1" si="113"/>
        <v xml:space="preserve"> </v>
      </c>
      <c r="BW240" s="75">
        <f t="shared" ca="1" si="123"/>
        <v>50586</v>
      </c>
      <c r="BX240" s="74">
        <f t="shared" ca="1" si="124"/>
        <v>6</v>
      </c>
      <c r="BY240" s="74">
        <f t="shared" ca="1" si="114"/>
        <v>0</v>
      </c>
      <c r="BZ240" s="73" t="str">
        <f t="shared" ca="1" si="115"/>
        <v xml:space="preserve"> </v>
      </c>
      <c r="CB240" s="75">
        <f t="shared" ca="1" si="125"/>
        <v>50586</v>
      </c>
      <c r="CC240" s="74">
        <f t="shared" ca="1" si="116"/>
        <v>6</v>
      </c>
      <c r="CD240" s="74">
        <f t="shared" ca="1" si="117"/>
        <v>0</v>
      </c>
      <c r="CE240" s="73" t="str">
        <f t="shared" ca="1" si="118"/>
        <v xml:space="preserve"> </v>
      </c>
    </row>
    <row r="241" spans="1:83" x14ac:dyDescent="0.2">
      <c r="A241" s="38" t="str">
        <f t="shared" si="127"/>
        <v xml:space="preserve"> </v>
      </c>
      <c r="B241" s="108"/>
      <c r="C241" s="38"/>
      <c r="D241" s="137"/>
      <c r="E241" s="137"/>
      <c r="F241" s="137"/>
      <c r="G241" s="122"/>
      <c r="H241" s="137"/>
      <c r="I241" s="50"/>
      <c r="J241" s="50"/>
      <c r="K241" s="50"/>
      <c r="L241" s="38"/>
      <c r="M241" s="38"/>
      <c r="N241" s="38"/>
      <c r="O241" s="50"/>
      <c r="P241" s="218"/>
      <c r="Q241" s="50"/>
      <c r="R241" s="50"/>
      <c r="S241" s="38"/>
      <c r="T241" s="51"/>
      <c r="U241" s="65"/>
      <c r="V241" s="105"/>
      <c r="W241" s="66"/>
      <c r="X241" s="66"/>
      <c r="Y241" s="38"/>
      <c r="Z241" s="66">
        <f t="shared" si="98"/>
        <v>0</v>
      </c>
      <c r="AA241" s="67"/>
      <c r="AC241" s="41" t="e">
        <f>VLOOKUP(A241,'Input Sheet'!$A$2:$B$232,2,0)</f>
        <v>#N/A</v>
      </c>
      <c r="AD241" s="70"/>
      <c r="AI241" s="68"/>
      <c r="AL241" s="107">
        <f t="shared" ca="1" si="119"/>
        <v>0</v>
      </c>
      <c r="AM241" s="49">
        <f t="shared" ca="1" si="120"/>
        <v>50617</v>
      </c>
      <c r="AN241" s="137" t="str">
        <f t="shared" ca="1" si="106"/>
        <v xml:space="preserve"> </v>
      </c>
      <c r="AO241" s="107">
        <f t="shared" ca="1" si="107"/>
        <v>0</v>
      </c>
      <c r="AP241" s="143">
        <f t="shared" ca="1" si="99"/>
        <v>0</v>
      </c>
      <c r="AQ241" s="143">
        <f t="shared" ca="1" si="108"/>
        <v>0</v>
      </c>
      <c r="AR241" s="49" t="str">
        <f t="shared" ca="1" si="100"/>
        <v xml:space="preserve"> </v>
      </c>
      <c r="AS241" s="107">
        <f t="shared" ca="1" si="101"/>
        <v>0</v>
      </c>
      <c r="AT241" s="107">
        <f t="shared" ca="1" si="102"/>
        <v>0</v>
      </c>
      <c r="AU241" s="107"/>
      <c r="AV241" s="107">
        <f ca="1">MAX(SUM($AQ$6:AQ241)-SUM($AT$6:AT241),0)</f>
        <v>0</v>
      </c>
      <c r="AW241" s="107">
        <f t="shared" ca="1" si="121"/>
        <v>0</v>
      </c>
      <c r="AX241" s="107">
        <v>0</v>
      </c>
      <c r="AY241" s="138" t="str">
        <f t="shared" ca="1" si="103"/>
        <v xml:space="preserve"> </v>
      </c>
      <c r="AZ241" s="107">
        <f t="shared" ca="1" si="104"/>
        <v>0</v>
      </c>
      <c r="BA241" s="107">
        <f ca="1">IF(AZ241=1,(SUM($AW$6:AW241,$AX$6:AX241)-SUM($BA$6:BA240)),0)</f>
        <v>0</v>
      </c>
      <c r="BB241" s="107"/>
      <c r="BC241" s="107">
        <f ca="1">AV241+SUM($AW$6:AW241)+SUM($AX$6:AX241)-SUM($BA$6:BA241)</f>
        <v>0</v>
      </c>
      <c r="BD241" s="107">
        <f t="shared" ca="1" si="109"/>
        <v>0</v>
      </c>
      <c r="BE241" s="51">
        <f ca="1">'PiT PD Structure'!J281</f>
        <v>1.1447077874249256E-4</v>
      </c>
      <c r="BF241" s="139">
        <f t="shared" ca="1" si="122"/>
        <v>0.45</v>
      </c>
      <c r="BG241" s="51">
        <f t="shared" ca="1" si="110"/>
        <v>1</v>
      </c>
      <c r="BH241" s="50">
        <f t="shared" ca="1" si="105"/>
        <v>0</v>
      </c>
      <c r="BI241" s="50">
        <f t="shared" ca="1" si="126"/>
        <v>3.4816594052244909E-13</v>
      </c>
      <c r="BJ241" s="140">
        <v>0</v>
      </c>
      <c r="BK241" s="140">
        <v>0</v>
      </c>
      <c r="BM241" s="78"/>
      <c r="BR241" s="75">
        <f t="shared" ca="1" si="97"/>
        <v>50617</v>
      </c>
      <c r="BS241" s="74">
        <f t="shared" ca="1" si="111"/>
        <v>7</v>
      </c>
      <c r="BT241" s="74">
        <f t="shared" ca="1" si="112"/>
        <v>0</v>
      </c>
      <c r="BU241" s="73" t="str">
        <f t="shared" ca="1" si="113"/>
        <v xml:space="preserve"> </v>
      </c>
      <c r="BW241" s="75">
        <f t="shared" ca="1" si="123"/>
        <v>50617</v>
      </c>
      <c r="BX241" s="74">
        <f t="shared" ca="1" si="124"/>
        <v>7</v>
      </c>
      <c r="BY241" s="74">
        <f t="shared" ca="1" si="114"/>
        <v>0</v>
      </c>
      <c r="BZ241" s="73" t="str">
        <f t="shared" ca="1" si="115"/>
        <v xml:space="preserve"> </v>
      </c>
      <c r="CB241" s="75">
        <f t="shared" ca="1" si="125"/>
        <v>50617</v>
      </c>
      <c r="CC241" s="74">
        <f t="shared" ca="1" si="116"/>
        <v>7</v>
      </c>
      <c r="CD241" s="74">
        <f t="shared" ca="1" si="117"/>
        <v>0</v>
      </c>
      <c r="CE241" s="73" t="str">
        <f t="shared" ca="1" si="118"/>
        <v xml:space="preserve"> </v>
      </c>
    </row>
    <row r="242" spans="1:83" x14ac:dyDescent="0.2">
      <c r="A242" s="38" t="str">
        <f t="shared" si="127"/>
        <v xml:space="preserve"> </v>
      </c>
      <c r="B242" s="108"/>
      <c r="C242" s="38"/>
      <c r="D242" s="137"/>
      <c r="E242" s="137"/>
      <c r="F242" s="137"/>
      <c r="G242" s="122"/>
      <c r="H242" s="137"/>
      <c r="I242" s="50"/>
      <c r="J242" s="50"/>
      <c r="K242" s="50"/>
      <c r="L242" s="38"/>
      <c r="M242" s="38"/>
      <c r="N242" s="38"/>
      <c r="O242" s="50"/>
      <c r="P242" s="218"/>
      <c r="Q242" s="50"/>
      <c r="R242" s="50"/>
      <c r="S242" s="38"/>
      <c r="T242" s="51"/>
      <c r="U242" s="65"/>
      <c r="V242" s="105"/>
      <c r="W242" s="66"/>
      <c r="X242" s="66"/>
      <c r="Y242" s="38"/>
      <c r="Z242" s="66">
        <f t="shared" si="98"/>
        <v>0</v>
      </c>
      <c r="AA242" s="67"/>
      <c r="AC242" s="41" t="e">
        <f>VLOOKUP(A242,'Input Sheet'!$A$2:$B$232,2,0)</f>
        <v>#N/A</v>
      </c>
      <c r="AD242" s="70"/>
      <c r="AI242" s="68"/>
      <c r="AL242" s="107">
        <f t="shared" ref="AL242:AL286" ca="1" si="128">IF(AM242&lt;=$AR$2,AL241+1,0)</f>
        <v>0</v>
      </c>
      <c r="AM242" s="49">
        <f t="shared" ca="1" si="120"/>
        <v>50648</v>
      </c>
      <c r="AN242" s="137" t="str">
        <f t="shared" ref="AN242:AN286" ca="1" si="129">CE242</f>
        <v xml:space="preserve"> </v>
      </c>
      <c r="AO242" s="107">
        <f t="shared" ca="1" si="107"/>
        <v>0</v>
      </c>
      <c r="AP242" s="143">
        <f t="shared" ca="1" si="99"/>
        <v>0</v>
      </c>
      <c r="AQ242" s="143">
        <f t="shared" ref="AQ242:AQ286" ca="1" si="130">IF(AND(AP242&gt;0,AM242&lt;=$AR$2),AQ241+AP242,0)</f>
        <v>0</v>
      </c>
      <c r="AR242" s="49" t="str">
        <f t="shared" ref="AR242:AR286" ca="1" si="131">BU242</f>
        <v xml:space="preserve"> </v>
      </c>
      <c r="AS242" s="107">
        <f t="shared" ref="AS242:AS286" ca="1" si="132">BT242</f>
        <v>0</v>
      </c>
      <c r="AT242" s="107">
        <f t="shared" ca="1" si="102"/>
        <v>0</v>
      </c>
      <c r="AU242" s="107"/>
      <c r="AV242" s="107">
        <f ca="1">MAX(SUM($AQ$6:AQ242)-SUM($AT$6:AT242),0)</f>
        <v>0</v>
      </c>
      <c r="AW242" s="107">
        <f t="shared" ca="1" si="121"/>
        <v>0</v>
      </c>
      <c r="AX242" s="107">
        <v>0</v>
      </c>
      <c r="AY242" s="138" t="str">
        <f t="shared" ref="AY242:AY286" ca="1" si="133">BZ242</f>
        <v xml:space="preserve"> </v>
      </c>
      <c r="AZ242" s="107">
        <f t="shared" ref="AZ242:AZ286" ca="1" si="134">BY242</f>
        <v>0</v>
      </c>
      <c r="BA242" s="107">
        <f ca="1">IF(AZ242=1,(SUM($AW$6:AW242,$AX$6:AX242)-SUM($BA$6:BA241)),0)</f>
        <v>0</v>
      </c>
      <c r="BB242" s="107"/>
      <c r="BC242" s="107">
        <f ca="1">AV242+SUM($AW$6:AW242)+SUM($AX$6:AX242)-SUM($BA$6:BA242)</f>
        <v>0</v>
      </c>
      <c r="BD242" s="107">
        <f t="shared" ref="BD242:BD286" ca="1" si="135">IF(AL242&gt;0,AM242-AM241,0)</f>
        <v>0</v>
      </c>
      <c r="BE242" s="51">
        <f ca="1">'PiT PD Structure'!J282</f>
        <v>1.1445712401636499E-4</v>
      </c>
      <c r="BF242" s="139">
        <f t="shared" ca="1" si="122"/>
        <v>0.45</v>
      </c>
      <c r="BG242" s="51">
        <f t="shared" ref="BG242:BG286" ca="1" si="136">1/(1+$BE$2)^(BD242/360)</f>
        <v>1</v>
      </c>
      <c r="BH242" s="50">
        <f t="shared" ref="BH242:BH286" ca="1" si="137">IF(AL242=0,0,BC242*BE242*BF242*BG242)</f>
        <v>0</v>
      </c>
      <c r="BI242" s="50">
        <f t="shared" ref="BI242:BI286" ca="1" si="138">BI241-BH241</f>
        <v>3.4816594052244909E-13</v>
      </c>
      <c r="BJ242" s="140">
        <v>0</v>
      </c>
      <c r="BK242" s="140">
        <v>0</v>
      </c>
      <c r="BR242" s="75">
        <f t="shared" ca="1" si="97"/>
        <v>50648</v>
      </c>
      <c r="BS242" s="74">
        <f t="shared" ca="1" si="111"/>
        <v>8</v>
      </c>
      <c r="BT242" s="74">
        <f t="shared" ca="1" si="112"/>
        <v>0</v>
      </c>
      <c r="BU242" s="73" t="str">
        <f t="shared" ca="1" si="113"/>
        <v xml:space="preserve"> </v>
      </c>
      <c r="BW242" s="75">
        <f t="shared" ca="1" si="123"/>
        <v>50648</v>
      </c>
      <c r="BX242" s="74">
        <f t="shared" ca="1" si="124"/>
        <v>8</v>
      </c>
      <c r="BY242" s="74">
        <f t="shared" ca="1" si="114"/>
        <v>0</v>
      </c>
      <c r="BZ242" s="73" t="str">
        <f t="shared" ca="1" si="115"/>
        <v xml:space="preserve"> </v>
      </c>
      <c r="CB242" s="75">
        <f t="shared" ca="1" si="125"/>
        <v>50648</v>
      </c>
      <c r="CC242" s="74">
        <f t="shared" ref="CC242:CC293" ca="1" si="139">MONTH(CB242)</f>
        <v>8</v>
      </c>
      <c r="CD242" s="74">
        <f t="shared" ca="1" si="117"/>
        <v>0</v>
      </c>
      <c r="CE242" s="73" t="str">
        <f t="shared" ref="CE242:CE293" ca="1" si="140">IF(CD242=1,CB242," ")</f>
        <v xml:space="preserve"> </v>
      </c>
    </row>
    <row r="243" spans="1:83" x14ac:dyDescent="0.2">
      <c r="A243" s="38" t="str">
        <f t="shared" si="127"/>
        <v xml:space="preserve"> </v>
      </c>
      <c r="B243" s="108"/>
      <c r="C243" s="38"/>
      <c r="D243" s="137"/>
      <c r="E243" s="137"/>
      <c r="F243" s="137"/>
      <c r="G243" s="122"/>
      <c r="H243" s="137"/>
      <c r="I243" s="50"/>
      <c r="J243" s="50"/>
      <c r="K243" s="50"/>
      <c r="L243" s="38"/>
      <c r="M243" s="38"/>
      <c r="N243" s="38"/>
      <c r="O243" s="50"/>
      <c r="P243" s="218"/>
      <c r="Q243" s="50"/>
      <c r="R243" s="50"/>
      <c r="S243" s="38"/>
      <c r="T243" s="51"/>
      <c r="U243" s="65"/>
      <c r="V243" s="105"/>
      <c r="W243" s="66"/>
      <c r="X243" s="66"/>
      <c r="Y243" s="38"/>
      <c r="Z243" s="66">
        <f t="shared" si="98"/>
        <v>0</v>
      </c>
      <c r="AA243" s="67"/>
      <c r="AC243" s="41" t="e">
        <f>VLOOKUP(A243,'Input Sheet'!$A$2:$B$232,2,0)</f>
        <v>#N/A</v>
      </c>
      <c r="AD243" s="70"/>
      <c r="AI243" s="68"/>
      <c r="AL243" s="107">
        <f t="shared" ca="1" si="128"/>
        <v>0</v>
      </c>
      <c r="AM243" s="49">
        <f t="shared" ca="1" si="120"/>
        <v>50678</v>
      </c>
      <c r="AN243" s="137" t="str">
        <f t="shared" ca="1" si="129"/>
        <v xml:space="preserve"> </v>
      </c>
      <c r="AO243" s="107">
        <f t="shared" ca="1" si="107"/>
        <v>0</v>
      </c>
      <c r="AP243" s="143">
        <f t="shared" ca="1" si="99"/>
        <v>0</v>
      </c>
      <c r="AQ243" s="143">
        <f t="shared" ca="1" si="130"/>
        <v>0</v>
      </c>
      <c r="AR243" s="49" t="str">
        <f t="shared" ca="1" si="131"/>
        <v xml:space="preserve"> </v>
      </c>
      <c r="AS243" s="107">
        <f t="shared" ca="1" si="132"/>
        <v>0</v>
      </c>
      <c r="AT243" s="107">
        <f t="shared" ca="1" si="102"/>
        <v>0</v>
      </c>
      <c r="AU243" s="107"/>
      <c r="AV243" s="107">
        <f ca="1">MAX(SUM($AQ$6:AQ243)-SUM($AT$6:AT243),0)</f>
        <v>0</v>
      </c>
      <c r="AW243" s="107">
        <f t="shared" ca="1" si="121"/>
        <v>0</v>
      </c>
      <c r="AX243" s="107">
        <v>0</v>
      </c>
      <c r="AY243" s="138" t="str">
        <f t="shared" ca="1" si="133"/>
        <v xml:space="preserve"> </v>
      </c>
      <c r="AZ243" s="107">
        <f t="shared" ca="1" si="134"/>
        <v>0</v>
      </c>
      <c r="BA243" s="107">
        <f ca="1">IF(AZ243=1,(SUM($AW$6:AW243,$AX$6:AX243)-SUM($BA$6:BA242)),0)</f>
        <v>0</v>
      </c>
      <c r="BB243" s="107"/>
      <c r="BC243" s="107">
        <f ca="1">AV243+SUM($AW$6:AW243)+SUM($AX$6:AX243)-SUM($BA$6:BA243)</f>
        <v>0</v>
      </c>
      <c r="BD243" s="107">
        <f t="shared" ca="1" si="135"/>
        <v>0</v>
      </c>
      <c r="BE243" s="51">
        <f ca="1">'PiT PD Structure'!J283</f>
        <v>1.1444347091915663E-4</v>
      </c>
      <c r="BF243" s="139">
        <f t="shared" ca="1" si="122"/>
        <v>0.45</v>
      </c>
      <c r="BG243" s="51">
        <f t="shared" ca="1" si="136"/>
        <v>1</v>
      </c>
      <c r="BH243" s="50">
        <f t="shared" ca="1" si="137"/>
        <v>0</v>
      </c>
      <c r="BI243" s="50">
        <f t="shared" ca="1" si="138"/>
        <v>3.4816594052244909E-13</v>
      </c>
      <c r="BJ243" s="140">
        <v>0</v>
      </c>
      <c r="BK243" s="140">
        <v>0</v>
      </c>
      <c r="BR243" s="75">
        <f t="shared" ca="1" si="97"/>
        <v>50678</v>
      </c>
      <c r="BS243" s="74">
        <f t="shared" ca="1" si="111"/>
        <v>9</v>
      </c>
      <c r="BT243" s="74">
        <f t="shared" ca="1" si="112"/>
        <v>0</v>
      </c>
      <c r="BU243" s="73" t="str">
        <f t="shared" ca="1" si="113"/>
        <v xml:space="preserve"> </v>
      </c>
      <c r="BW243" s="75">
        <f t="shared" ca="1" si="123"/>
        <v>50678</v>
      </c>
      <c r="BX243" s="74">
        <f t="shared" ca="1" si="124"/>
        <v>9</v>
      </c>
      <c r="BY243" s="74">
        <f t="shared" ca="1" si="114"/>
        <v>0</v>
      </c>
      <c r="BZ243" s="73" t="str">
        <f t="shared" ca="1" si="115"/>
        <v xml:space="preserve"> </v>
      </c>
      <c r="CB243" s="75">
        <f t="shared" ca="1" si="125"/>
        <v>50678</v>
      </c>
      <c r="CC243" s="74">
        <f t="shared" ca="1" si="139"/>
        <v>9</v>
      </c>
      <c r="CD243" s="74">
        <f t="shared" ca="1" si="117"/>
        <v>0</v>
      </c>
      <c r="CE243" s="73" t="str">
        <f t="shared" ca="1" si="140"/>
        <v xml:space="preserve"> </v>
      </c>
    </row>
    <row r="244" spans="1:83" x14ac:dyDescent="0.2">
      <c r="A244" s="38" t="str">
        <f t="shared" si="127"/>
        <v xml:space="preserve"> </v>
      </c>
      <c r="B244" s="108"/>
      <c r="C244" s="38"/>
      <c r="D244" s="137"/>
      <c r="E244" s="137"/>
      <c r="F244" s="137"/>
      <c r="G244" s="122"/>
      <c r="H244" s="137"/>
      <c r="I244" s="50"/>
      <c r="J244" s="50"/>
      <c r="K244" s="50"/>
      <c r="L244" s="38"/>
      <c r="M244" s="38"/>
      <c r="N244" s="38"/>
      <c r="O244" s="50"/>
      <c r="P244" s="218"/>
      <c r="Q244" s="50"/>
      <c r="R244" s="50"/>
      <c r="S244" s="38"/>
      <c r="T244" s="51"/>
      <c r="U244" s="65"/>
      <c r="V244" s="105"/>
      <c r="W244" s="66"/>
      <c r="X244" s="66"/>
      <c r="Y244" s="38"/>
      <c r="Z244" s="66">
        <f t="shared" si="98"/>
        <v>0</v>
      </c>
      <c r="AA244" s="67"/>
      <c r="AC244" s="41" t="e">
        <f>VLOOKUP(A244,'Input Sheet'!$A$2:$B$232,2,0)</f>
        <v>#N/A</v>
      </c>
      <c r="AD244" s="70"/>
      <c r="AI244" s="68"/>
      <c r="AL244" s="107">
        <f t="shared" ca="1" si="128"/>
        <v>0</v>
      </c>
      <c r="AM244" s="49">
        <f t="shared" ca="1" si="120"/>
        <v>50709</v>
      </c>
      <c r="AN244" s="137" t="str">
        <f t="shared" ca="1" si="129"/>
        <v xml:space="preserve"> </v>
      </c>
      <c r="AO244" s="107">
        <f t="shared" ca="1" si="107"/>
        <v>0</v>
      </c>
      <c r="AP244" s="143">
        <f t="shared" ca="1" si="99"/>
        <v>0</v>
      </c>
      <c r="AQ244" s="143">
        <f t="shared" ca="1" si="130"/>
        <v>0</v>
      </c>
      <c r="AR244" s="49" t="str">
        <f t="shared" ca="1" si="131"/>
        <v xml:space="preserve"> </v>
      </c>
      <c r="AS244" s="107">
        <f t="shared" ca="1" si="132"/>
        <v>0</v>
      </c>
      <c r="AT244" s="107">
        <f t="shared" ca="1" si="102"/>
        <v>0</v>
      </c>
      <c r="AU244" s="107"/>
      <c r="AV244" s="107">
        <f ca="1">MAX(SUM($AQ$6:AQ244)-SUM($AT$6:AT244),0)</f>
        <v>0</v>
      </c>
      <c r="AW244" s="107">
        <f t="shared" ca="1" si="121"/>
        <v>0</v>
      </c>
      <c r="AX244" s="107">
        <v>0</v>
      </c>
      <c r="AY244" s="138" t="str">
        <f t="shared" ca="1" si="133"/>
        <v xml:space="preserve"> </v>
      </c>
      <c r="AZ244" s="107">
        <f t="shared" ca="1" si="134"/>
        <v>0</v>
      </c>
      <c r="BA244" s="107">
        <f ca="1">IF(AZ244=1,(SUM($AW$6:AW244,$AX$6:AX244)-SUM($BA$6:BA243)),0)</f>
        <v>0</v>
      </c>
      <c r="BB244" s="107"/>
      <c r="BC244" s="107">
        <f ca="1">AV244+SUM($AW$6:AW244)+SUM($AX$6:AX244)-SUM($BA$6:BA244)</f>
        <v>0</v>
      </c>
      <c r="BD244" s="107">
        <f t="shared" ca="1" si="135"/>
        <v>0</v>
      </c>
      <c r="BE244" s="51">
        <f ca="1">'PiT PD Structure'!J284</f>
        <v>1.1442981945042341E-4</v>
      </c>
      <c r="BF244" s="139">
        <f t="shared" ca="1" si="122"/>
        <v>0.45</v>
      </c>
      <c r="BG244" s="51">
        <f t="shared" ca="1" si="136"/>
        <v>1</v>
      </c>
      <c r="BH244" s="50">
        <f t="shared" ca="1" si="137"/>
        <v>0</v>
      </c>
      <c r="BI244" s="50">
        <f t="shared" ca="1" si="138"/>
        <v>3.4816594052244909E-13</v>
      </c>
      <c r="BJ244" s="140">
        <v>0</v>
      </c>
      <c r="BK244" s="140">
        <v>0</v>
      </c>
      <c r="BR244" s="75">
        <f t="shared" ca="1" si="97"/>
        <v>50709</v>
      </c>
      <c r="BS244" s="74">
        <f t="shared" ca="1" si="111"/>
        <v>10</v>
      </c>
      <c r="BT244" s="74">
        <f t="shared" ca="1" si="112"/>
        <v>0</v>
      </c>
      <c r="BU244" s="73" t="str">
        <f t="shared" ca="1" si="113"/>
        <v xml:space="preserve"> </v>
      </c>
      <c r="BW244" s="75">
        <f t="shared" ca="1" si="123"/>
        <v>50709</v>
      </c>
      <c r="BX244" s="74">
        <f t="shared" ca="1" si="124"/>
        <v>10</v>
      </c>
      <c r="BY244" s="74">
        <f t="shared" ca="1" si="114"/>
        <v>0</v>
      </c>
      <c r="BZ244" s="73" t="str">
        <f t="shared" ca="1" si="115"/>
        <v xml:space="preserve"> </v>
      </c>
      <c r="CB244" s="75">
        <f t="shared" ca="1" si="125"/>
        <v>50709</v>
      </c>
      <c r="CC244" s="74">
        <f t="shared" ca="1" si="139"/>
        <v>10</v>
      </c>
      <c r="CD244" s="74">
        <f t="shared" ca="1" si="117"/>
        <v>0</v>
      </c>
      <c r="CE244" s="73" t="str">
        <f t="shared" ca="1" si="140"/>
        <v xml:space="preserve"> </v>
      </c>
    </row>
    <row r="245" spans="1:83" x14ac:dyDescent="0.2">
      <c r="A245" s="38" t="str">
        <f t="shared" si="127"/>
        <v xml:space="preserve"> </v>
      </c>
      <c r="B245" s="108"/>
      <c r="C245" s="38"/>
      <c r="D245" s="137"/>
      <c r="E245" s="137"/>
      <c r="F245" s="137"/>
      <c r="G245" s="122"/>
      <c r="H245" s="137"/>
      <c r="I245" s="50"/>
      <c r="J245" s="50"/>
      <c r="K245" s="50"/>
      <c r="L245" s="38"/>
      <c r="M245" s="38"/>
      <c r="N245" s="38"/>
      <c r="O245" s="50"/>
      <c r="P245" s="218"/>
      <c r="Q245" s="50"/>
      <c r="R245" s="50"/>
      <c r="S245" s="38"/>
      <c r="T245" s="51"/>
      <c r="U245" s="65"/>
      <c r="V245" s="105"/>
      <c r="W245" s="66"/>
      <c r="X245" s="66"/>
      <c r="Y245" s="38"/>
      <c r="Z245" s="66">
        <f t="shared" si="98"/>
        <v>0</v>
      </c>
      <c r="AA245" s="67"/>
      <c r="AC245" s="41" t="e">
        <f>VLOOKUP(A245,'Input Sheet'!$A$2:$B$232,2,0)</f>
        <v>#N/A</v>
      </c>
      <c r="AD245" s="70"/>
      <c r="AI245" s="68"/>
      <c r="AL245" s="107">
        <f t="shared" ca="1" si="128"/>
        <v>0</v>
      </c>
      <c r="AM245" s="49">
        <f t="shared" ca="1" si="120"/>
        <v>50739</v>
      </c>
      <c r="AN245" s="137" t="str">
        <f t="shared" ca="1" si="129"/>
        <v xml:space="preserve"> </v>
      </c>
      <c r="AO245" s="107">
        <f t="shared" ca="1" si="107"/>
        <v>0</v>
      </c>
      <c r="AP245" s="143">
        <f t="shared" ca="1" si="99"/>
        <v>0</v>
      </c>
      <c r="AQ245" s="143">
        <f t="shared" ca="1" si="130"/>
        <v>0</v>
      </c>
      <c r="AR245" s="49" t="str">
        <f t="shared" ca="1" si="131"/>
        <v xml:space="preserve"> </v>
      </c>
      <c r="AS245" s="107">
        <f t="shared" ca="1" si="132"/>
        <v>0</v>
      </c>
      <c r="AT245" s="107">
        <f t="shared" ca="1" si="102"/>
        <v>0</v>
      </c>
      <c r="AU245" s="107"/>
      <c r="AV245" s="107">
        <f ca="1">MAX(SUM($AQ$6:AQ245)-SUM($AT$6:AT245),0)</f>
        <v>0</v>
      </c>
      <c r="AW245" s="107">
        <f t="shared" ca="1" si="121"/>
        <v>0</v>
      </c>
      <c r="AX245" s="107">
        <v>0</v>
      </c>
      <c r="AY245" s="138" t="str">
        <f t="shared" ca="1" si="133"/>
        <v xml:space="preserve"> </v>
      </c>
      <c r="AZ245" s="107">
        <f t="shared" ca="1" si="134"/>
        <v>0</v>
      </c>
      <c r="BA245" s="107">
        <f ca="1">IF(AZ245=1,(SUM($AW$6:AW245,$AX$6:AX245)-SUM($BA$6:BA244)),0)</f>
        <v>0</v>
      </c>
      <c r="BB245" s="107"/>
      <c r="BC245" s="107">
        <f ca="1">AV245+SUM($AW$6:AW245)+SUM($AX$6:AX245)-SUM($BA$6:BA245)</f>
        <v>0</v>
      </c>
      <c r="BD245" s="107">
        <f t="shared" ca="1" si="135"/>
        <v>0</v>
      </c>
      <c r="BE245" s="51">
        <f ca="1">'PiT PD Structure'!J285</f>
        <v>1.144161696100543E-4</v>
      </c>
      <c r="BF245" s="139">
        <f t="shared" ca="1" si="122"/>
        <v>0.45</v>
      </c>
      <c r="BG245" s="51">
        <f t="shared" ca="1" si="136"/>
        <v>1</v>
      </c>
      <c r="BH245" s="50">
        <f t="shared" ca="1" si="137"/>
        <v>0</v>
      </c>
      <c r="BI245" s="50">
        <f t="shared" ca="1" si="138"/>
        <v>3.4816594052244909E-13</v>
      </c>
      <c r="BJ245" s="140">
        <v>0</v>
      </c>
      <c r="BK245" s="140">
        <v>0</v>
      </c>
      <c r="BR245" s="75">
        <f t="shared" ca="1" si="97"/>
        <v>50739</v>
      </c>
      <c r="BS245" s="74">
        <f t="shared" ca="1" si="111"/>
        <v>11</v>
      </c>
      <c r="BT245" s="74">
        <f t="shared" ca="1" si="112"/>
        <v>0</v>
      </c>
      <c r="BU245" s="73" t="str">
        <f t="shared" ca="1" si="113"/>
        <v xml:space="preserve"> </v>
      </c>
      <c r="BW245" s="75">
        <f t="shared" ca="1" si="123"/>
        <v>50739</v>
      </c>
      <c r="BX245" s="74">
        <f t="shared" ca="1" si="124"/>
        <v>11</v>
      </c>
      <c r="BY245" s="74">
        <f t="shared" ca="1" si="114"/>
        <v>0</v>
      </c>
      <c r="BZ245" s="73" t="str">
        <f t="shared" ca="1" si="115"/>
        <v xml:space="preserve"> </v>
      </c>
      <c r="CB245" s="75">
        <f t="shared" ca="1" si="125"/>
        <v>50739</v>
      </c>
      <c r="CC245" s="74">
        <f t="shared" ca="1" si="139"/>
        <v>11</v>
      </c>
      <c r="CD245" s="74">
        <f t="shared" ca="1" si="117"/>
        <v>0</v>
      </c>
      <c r="CE245" s="73" t="str">
        <f t="shared" ca="1" si="140"/>
        <v xml:space="preserve"> </v>
      </c>
    </row>
    <row r="246" spans="1:83" x14ac:dyDescent="0.2">
      <c r="A246" s="38" t="str">
        <f t="shared" si="127"/>
        <v xml:space="preserve"> </v>
      </c>
      <c r="B246" s="108"/>
      <c r="C246" s="38"/>
      <c r="D246" s="137"/>
      <c r="E246" s="137"/>
      <c r="F246" s="137"/>
      <c r="G246" s="122"/>
      <c r="H246" s="137"/>
      <c r="I246" s="50"/>
      <c r="J246" s="50"/>
      <c r="K246" s="50"/>
      <c r="L246" s="38"/>
      <c r="M246" s="38"/>
      <c r="N246" s="38"/>
      <c r="O246" s="50"/>
      <c r="P246" s="218"/>
      <c r="Q246" s="50"/>
      <c r="R246" s="50"/>
      <c r="S246" s="38"/>
      <c r="T246" s="51"/>
      <c r="U246" s="65"/>
      <c r="V246" s="105"/>
      <c r="W246" s="66"/>
      <c r="X246" s="66"/>
      <c r="Y246" s="38"/>
      <c r="Z246" s="66">
        <f t="shared" si="98"/>
        <v>0</v>
      </c>
      <c r="AA246" s="67"/>
      <c r="AC246" s="41" t="e">
        <f>VLOOKUP(A246,'Input Sheet'!$A$2:$B$232,2,0)</f>
        <v>#N/A</v>
      </c>
      <c r="AD246" s="70"/>
      <c r="AI246" s="68"/>
      <c r="AL246" s="107">
        <f t="shared" ca="1" si="128"/>
        <v>0</v>
      </c>
      <c r="AM246" s="49">
        <f t="shared" ca="1" si="120"/>
        <v>50770</v>
      </c>
      <c r="AN246" s="137" t="str">
        <f t="shared" ca="1" si="129"/>
        <v xml:space="preserve"> </v>
      </c>
      <c r="AO246" s="107">
        <f t="shared" ca="1" si="107"/>
        <v>0</v>
      </c>
      <c r="AP246" s="143">
        <f t="shared" ca="1" si="99"/>
        <v>0</v>
      </c>
      <c r="AQ246" s="143">
        <f t="shared" ca="1" si="130"/>
        <v>0</v>
      </c>
      <c r="AR246" s="49" t="str">
        <f t="shared" ca="1" si="131"/>
        <v xml:space="preserve"> </v>
      </c>
      <c r="AS246" s="107">
        <f t="shared" ca="1" si="132"/>
        <v>0</v>
      </c>
      <c r="AT246" s="107">
        <f t="shared" ca="1" si="102"/>
        <v>0</v>
      </c>
      <c r="AU246" s="107"/>
      <c r="AV246" s="107">
        <f ca="1">MAX(SUM($AQ$6:AQ246)-SUM($AT$6:AT246),0)</f>
        <v>0</v>
      </c>
      <c r="AW246" s="107">
        <f t="shared" ca="1" si="121"/>
        <v>0</v>
      </c>
      <c r="AX246" s="107">
        <v>0</v>
      </c>
      <c r="AY246" s="138" t="str">
        <f t="shared" ca="1" si="133"/>
        <v xml:space="preserve"> </v>
      </c>
      <c r="AZ246" s="107">
        <f t="shared" ca="1" si="134"/>
        <v>0</v>
      </c>
      <c r="BA246" s="107">
        <f ca="1">IF(AZ246=1,(SUM($AW$6:AW246,$AX$6:AX246)-SUM($BA$6:BA245)),0)</f>
        <v>0</v>
      </c>
      <c r="BB246" s="107"/>
      <c r="BC246" s="107">
        <f ca="1">AV246+SUM($AW$6:AW246)+SUM($AX$6:AX246)-SUM($BA$6:BA246)</f>
        <v>0</v>
      </c>
      <c r="BD246" s="107">
        <f t="shared" ca="1" si="135"/>
        <v>0</v>
      </c>
      <c r="BE246" s="51">
        <f ca="1">'PiT PD Structure'!J286</f>
        <v>2.9498554465242632E-3</v>
      </c>
      <c r="BF246" s="139">
        <f t="shared" ca="1" si="122"/>
        <v>0.45</v>
      </c>
      <c r="BG246" s="51">
        <f t="shared" ca="1" si="136"/>
        <v>1</v>
      </c>
      <c r="BH246" s="50">
        <f t="shared" ca="1" si="137"/>
        <v>0</v>
      </c>
      <c r="BI246" s="50">
        <f t="shared" ca="1" si="138"/>
        <v>3.4816594052244909E-13</v>
      </c>
      <c r="BJ246" s="140">
        <v>0</v>
      </c>
      <c r="BK246" s="140">
        <v>0</v>
      </c>
      <c r="BR246" s="75">
        <f t="shared" ca="1" si="97"/>
        <v>50770</v>
      </c>
      <c r="BS246" s="74">
        <f t="shared" ca="1" si="111"/>
        <v>12</v>
      </c>
      <c r="BT246" s="74">
        <f t="shared" ca="1" si="112"/>
        <v>0</v>
      </c>
      <c r="BU246" s="73" t="str">
        <f t="shared" ca="1" si="113"/>
        <v xml:space="preserve"> </v>
      </c>
      <c r="BW246" s="75">
        <f t="shared" ca="1" si="123"/>
        <v>50770</v>
      </c>
      <c r="BX246" s="74">
        <f t="shared" ca="1" si="124"/>
        <v>12</v>
      </c>
      <c r="BY246" s="74">
        <f t="shared" ca="1" si="114"/>
        <v>0</v>
      </c>
      <c r="BZ246" s="73" t="str">
        <f t="shared" ca="1" si="115"/>
        <v xml:space="preserve"> </v>
      </c>
      <c r="CB246" s="75">
        <f t="shared" ca="1" si="125"/>
        <v>50770</v>
      </c>
      <c r="CC246" s="74">
        <f t="shared" ca="1" si="139"/>
        <v>12</v>
      </c>
      <c r="CD246" s="74">
        <f t="shared" ca="1" si="117"/>
        <v>0</v>
      </c>
      <c r="CE246" s="73" t="str">
        <f t="shared" ca="1" si="140"/>
        <v xml:space="preserve"> </v>
      </c>
    </row>
    <row r="247" spans="1:83" x14ac:dyDescent="0.2">
      <c r="A247" s="38" t="str">
        <f t="shared" si="127"/>
        <v xml:space="preserve"> </v>
      </c>
      <c r="B247" s="108"/>
      <c r="C247" s="38"/>
      <c r="D247" s="137"/>
      <c r="E247" s="137"/>
      <c r="F247" s="137"/>
      <c r="G247" s="122"/>
      <c r="H247" s="137"/>
      <c r="I247" s="50"/>
      <c r="J247" s="50"/>
      <c r="K247" s="50"/>
      <c r="L247" s="38"/>
      <c r="M247" s="38"/>
      <c r="N247" s="38"/>
      <c r="O247" s="50"/>
      <c r="P247" s="218"/>
      <c r="Q247" s="50"/>
      <c r="R247" s="50"/>
      <c r="S247" s="38"/>
      <c r="T247" s="51"/>
      <c r="U247" s="65"/>
      <c r="V247" s="105"/>
      <c r="W247" s="66"/>
      <c r="X247" s="66"/>
      <c r="Y247" s="38"/>
      <c r="Z247" s="66">
        <f t="shared" si="98"/>
        <v>0</v>
      </c>
      <c r="AA247" s="67"/>
      <c r="AC247" s="41" t="e">
        <f>VLOOKUP(A247,'Input Sheet'!$A$2:$B$232,2,0)</f>
        <v>#N/A</v>
      </c>
      <c r="AD247" s="70"/>
      <c r="AI247" s="68"/>
      <c r="AL247" s="107">
        <f t="shared" ca="1" si="128"/>
        <v>0</v>
      </c>
      <c r="AM247" s="49">
        <f t="shared" ca="1" si="120"/>
        <v>50801</v>
      </c>
      <c r="AN247" s="137" t="str">
        <f t="shared" ca="1" si="129"/>
        <v xml:space="preserve"> </v>
      </c>
      <c r="AO247" s="107">
        <f t="shared" ca="1" si="107"/>
        <v>0</v>
      </c>
      <c r="AP247" s="143">
        <f t="shared" ca="1" si="99"/>
        <v>0</v>
      </c>
      <c r="AQ247" s="143">
        <f t="shared" ca="1" si="130"/>
        <v>0</v>
      </c>
      <c r="AR247" s="49" t="str">
        <f t="shared" ca="1" si="131"/>
        <v xml:space="preserve"> </v>
      </c>
      <c r="AS247" s="107">
        <f t="shared" ca="1" si="132"/>
        <v>0</v>
      </c>
      <c r="AT247" s="107">
        <f t="shared" ca="1" si="102"/>
        <v>0</v>
      </c>
      <c r="AU247" s="107"/>
      <c r="AV247" s="107">
        <f ca="1">MAX(SUM($AQ$6:AQ247)-SUM($AT$6:AT247),0)</f>
        <v>0</v>
      </c>
      <c r="AW247" s="107">
        <f t="shared" ca="1" si="121"/>
        <v>0</v>
      </c>
      <c r="AX247" s="107">
        <v>0</v>
      </c>
      <c r="AY247" s="138" t="str">
        <f t="shared" ca="1" si="133"/>
        <v xml:space="preserve"> </v>
      </c>
      <c r="AZ247" s="107">
        <f t="shared" ca="1" si="134"/>
        <v>0</v>
      </c>
      <c r="BA247" s="107">
        <f ca="1">IF(AZ247=1,(SUM($AW$6:AW247,$AX$6:AX247)-SUM($BA$6:BA246)),0)</f>
        <v>0</v>
      </c>
      <c r="BB247" s="107"/>
      <c r="BC247" s="107">
        <f ca="1">AV247+SUM($AW$6:AW247)+SUM($AX$6:AX247)-SUM($BA$6:BA247)</f>
        <v>0</v>
      </c>
      <c r="BD247" s="107">
        <f t="shared" ca="1" si="135"/>
        <v>0</v>
      </c>
      <c r="BE247" s="51">
        <f ca="1">'PiT PD Structure'!J287</f>
        <v>1.2043661996585797E-4</v>
      </c>
      <c r="BF247" s="139">
        <f t="shared" ca="1" si="122"/>
        <v>0.45</v>
      </c>
      <c r="BG247" s="51">
        <f t="shared" ca="1" si="136"/>
        <v>1</v>
      </c>
      <c r="BH247" s="50">
        <f t="shared" ca="1" si="137"/>
        <v>0</v>
      </c>
      <c r="BI247" s="50">
        <f t="shared" ca="1" si="138"/>
        <v>3.4816594052244909E-13</v>
      </c>
      <c r="BJ247" s="140">
        <v>0</v>
      </c>
      <c r="BK247" s="140">
        <v>0</v>
      </c>
      <c r="BR247" s="75">
        <f t="shared" ca="1" si="97"/>
        <v>50801</v>
      </c>
      <c r="BS247" s="74">
        <f t="shared" ca="1" si="111"/>
        <v>1</v>
      </c>
      <c r="BT247" s="74">
        <f t="shared" ca="1" si="112"/>
        <v>0</v>
      </c>
      <c r="BU247" s="73" t="str">
        <f t="shared" ca="1" si="113"/>
        <v xml:space="preserve"> </v>
      </c>
      <c r="BW247" s="75">
        <f t="shared" ca="1" si="123"/>
        <v>50801</v>
      </c>
      <c r="BX247" s="74">
        <f t="shared" ca="1" si="124"/>
        <v>1</v>
      </c>
      <c r="BY247" s="74">
        <f t="shared" ca="1" si="114"/>
        <v>0</v>
      </c>
      <c r="BZ247" s="73" t="str">
        <f t="shared" ca="1" si="115"/>
        <v xml:space="preserve"> </v>
      </c>
      <c r="CB247" s="75">
        <f t="shared" ca="1" si="125"/>
        <v>50801</v>
      </c>
      <c r="CC247" s="74">
        <f t="shared" ca="1" si="139"/>
        <v>1</v>
      </c>
      <c r="CD247" s="74">
        <f t="shared" ca="1" si="117"/>
        <v>0</v>
      </c>
      <c r="CE247" s="73" t="str">
        <f t="shared" ca="1" si="140"/>
        <v xml:space="preserve"> </v>
      </c>
    </row>
    <row r="248" spans="1:83" x14ac:dyDescent="0.2">
      <c r="A248" s="38" t="str">
        <f t="shared" si="127"/>
        <v xml:space="preserve"> </v>
      </c>
      <c r="B248" s="108"/>
      <c r="C248" s="38"/>
      <c r="D248" s="137"/>
      <c r="E248" s="137"/>
      <c r="F248" s="137"/>
      <c r="G248" s="122"/>
      <c r="H248" s="137"/>
      <c r="I248" s="50"/>
      <c r="J248" s="50"/>
      <c r="K248" s="50"/>
      <c r="L248" s="38"/>
      <c r="M248" s="38"/>
      <c r="N248" s="38"/>
      <c r="O248" s="50"/>
      <c r="P248" s="218"/>
      <c r="Q248" s="50"/>
      <c r="R248" s="50"/>
      <c r="S248" s="38"/>
      <c r="T248" s="51"/>
      <c r="U248" s="65"/>
      <c r="V248" s="105"/>
      <c r="W248" s="66"/>
      <c r="X248" s="66"/>
      <c r="Y248" s="38"/>
      <c r="Z248" s="66">
        <f t="shared" si="98"/>
        <v>0</v>
      </c>
      <c r="AA248" s="67"/>
      <c r="AC248" s="41" t="e">
        <f>VLOOKUP(A248,'Input Sheet'!$A$2:$B$232,2,0)</f>
        <v>#N/A</v>
      </c>
      <c r="AD248" s="70"/>
      <c r="AI248" s="68"/>
      <c r="AL248" s="107">
        <f t="shared" ca="1" si="128"/>
        <v>0</v>
      </c>
      <c r="AM248" s="49">
        <f t="shared" ca="1" si="120"/>
        <v>50829</v>
      </c>
      <c r="AN248" s="137" t="str">
        <f t="shared" ca="1" si="129"/>
        <v xml:space="preserve"> </v>
      </c>
      <c r="AO248" s="107">
        <f t="shared" ca="1" si="107"/>
        <v>0</v>
      </c>
      <c r="AP248" s="143">
        <f t="shared" ca="1" si="99"/>
        <v>0</v>
      </c>
      <c r="AQ248" s="143">
        <f t="shared" ca="1" si="130"/>
        <v>0</v>
      </c>
      <c r="AR248" s="49" t="str">
        <f t="shared" ca="1" si="131"/>
        <v xml:space="preserve"> </v>
      </c>
      <c r="AS248" s="107">
        <f t="shared" ca="1" si="132"/>
        <v>0</v>
      </c>
      <c r="AT248" s="107">
        <f t="shared" ca="1" si="102"/>
        <v>0</v>
      </c>
      <c r="AU248" s="107"/>
      <c r="AV248" s="107">
        <f ca="1">MAX(SUM($AQ$6:AQ248)-SUM($AT$6:AT248),0)</f>
        <v>0</v>
      </c>
      <c r="AW248" s="107">
        <f t="shared" ca="1" si="121"/>
        <v>0</v>
      </c>
      <c r="AX248" s="107">
        <v>0</v>
      </c>
      <c r="AY248" s="138" t="str">
        <f t="shared" ca="1" si="133"/>
        <v xml:space="preserve"> </v>
      </c>
      <c r="AZ248" s="107">
        <f t="shared" ca="1" si="134"/>
        <v>0</v>
      </c>
      <c r="BA248" s="107">
        <f ca="1">IF(AZ248=1,(SUM($AW$6:AW248,$AX$6:AX248)-SUM($BA$6:BA247)),0)</f>
        <v>0</v>
      </c>
      <c r="BB248" s="107"/>
      <c r="BC248" s="107">
        <f ca="1">AV248+SUM($AW$6:AW248)+SUM($AX$6:AX248)-SUM($BA$6:BA248)</f>
        <v>0</v>
      </c>
      <c r="BD248" s="107">
        <f t="shared" ca="1" si="135"/>
        <v>0</v>
      </c>
      <c r="BE248" s="51">
        <f ca="1">'PiT PD Structure'!J288</f>
        <v>1.2042144919233166E-4</v>
      </c>
      <c r="BF248" s="139">
        <f t="shared" ca="1" si="122"/>
        <v>0.45</v>
      </c>
      <c r="BG248" s="51">
        <f t="shared" ca="1" si="136"/>
        <v>1</v>
      </c>
      <c r="BH248" s="50">
        <f t="shared" ca="1" si="137"/>
        <v>0</v>
      </c>
      <c r="BI248" s="50">
        <f t="shared" ca="1" si="138"/>
        <v>3.4816594052244909E-13</v>
      </c>
      <c r="BJ248" s="140">
        <v>0</v>
      </c>
      <c r="BK248" s="140">
        <v>0</v>
      </c>
      <c r="BR248" s="75">
        <f t="shared" ca="1" si="97"/>
        <v>50829</v>
      </c>
      <c r="BS248" s="74">
        <f t="shared" ca="1" si="111"/>
        <v>2</v>
      </c>
      <c r="BT248" s="74">
        <f t="shared" ca="1" si="112"/>
        <v>0</v>
      </c>
      <c r="BU248" s="73" t="str">
        <f t="shared" ca="1" si="113"/>
        <v xml:space="preserve"> </v>
      </c>
      <c r="BW248" s="75">
        <f t="shared" ca="1" si="123"/>
        <v>50829</v>
      </c>
      <c r="BX248" s="74">
        <f t="shared" ca="1" si="124"/>
        <v>2</v>
      </c>
      <c r="BY248" s="74">
        <f t="shared" ca="1" si="114"/>
        <v>0</v>
      </c>
      <c r="BZ248" s="73" t="str">
        <f t="shared" ca="1" si="115"/>
        <v xml:space="preserve"> </v>
      </c>
      <c r="CB248" s="75">
        <f t="shared" ca="1" si="125"/>
        <v>50829</v>
      </c>
      <c r="CC248" s="74">
        <f t="shared" ca="1" si="139"/>
        <v>2</v>
      </c>
      <c r="CD248" s="74">
        <f t="shared" ca="1" si="117"/>
        <v>0</v>
      </c>
      <c r="CE248" s="73" t="str">
        <f t="shared" ca="1" si="140"/>
        <v xml:space="preserve"> </v>
      </c>
    </row>
    <row r="249" spans="1:83" x14ac:dyDescent="0.2">
      <c r="A249" s="38" t="str">
        <f t="shared" si="127"/>
        <v xml:space="preserve"> </v>
      </c>
      <c r="B249" s="108"/>
      <c r="C249" s="38"/>
      <c r="D249" s="137"/>
      <c r="E249" s="137"/>
      <c r="F249" s="137"/>
      <c r="G249" s="122"/>
      <c r="H249" s="137"/>
      <c r="I249" s="50"/>
      <c r="J249" s="50"/>
      <c r="K249" s="50"/>
      <c r="L249" s="38"/>
      <c r="M249" s="38"/>
      <c r="N249" s="38"/>
      <c r="O249" s="50"/>
      <c r="P249" s="218"/>
      <c r="Q249" s="50"/>
      <c r="R249" s="50"/>
      <c r="S249" s="38"/>
      <c r="T249" s="51"/>
      <c r="U249" s="65"/>
      <c r="V249" s="105"/>
      <c r="W249" s="66"/>
      <c r="X249" s="66"/>
      <c r="Y249" s="38"/>
      <c r="Z249" s="66">
        <f t="shared" si="98"/>
        <v>0</v>
      </c>
      <c r="AA249" s="67"/>
      <c r="AC249" s="41" t="e">
        <f>VLOOKUP(A249,'Input Sheet'!$A$2:$B$232,2,0)</f>
        <v>#N/A</v>
      </c>
      <c r="AD249" s="70"/>
      <c r="AI249" s="68"/>
      <c r="AL249" s="107">
        <f t="shared" ca="1" si="128"/>
        <v>0</v>
      </c>
      <c r="AM249" s="49">
        <f t="shared" ca="1" si="120"/>
        <v>50860</v>
      </c>
      <c r="AN249" s="137" t="str">
        <f t="shared" ca="1" si="129"/>
        <v xml:space="preserve"> </v>
      </c>
      <c r="AO249" s="107">
        <f t="shared" ca="1" si="107"/>
        <v>0</v>
      </c>
      <c r="AP249" s="143">
        <f t="shared" ca="1" si="99"/>
        <v>0</v>
      </c>
      <c r="AQ249" s="143">
        <f t="shared" ca="1" si="130"/>
        <v>0</v>
      </c>
      <c r="AR249" s="49" t="str">
        <f t="shared" ca="1" si="131"/>
        <v xml:space="preserve"> </v>
      </c>
      <c r="AS249" s="107">
        <f t="shared" ca="1" si="132"/>
        <v>0</v>
      </c>
      <c r="AT249" s="107">
        <f t="shared" ca="1" si="102"/>
        <v>0</v>
      </c>
      <c r="AU249" s="107"/>
      <c r="AV249" s="107">
        <f ca="1">MAX(SUM($AQ$6:AQ249)-SUM($AT$6:AT249),0)</f>
        <v>0</v>
      </c>
      <c r="AW249" s="107">
        <f t="shared" ca="1" si="121"/>
        <v>0</v>
      </c>
      <c r="AX249" s="107">
        <v>0</v>
      </c>
      <c r="AY249" s="138" t="str">
        <f t="shared" ca="1" si="133"/>
        <v xml:space="preserve"> </v>
      </c>
      <c r="AZ249" s="107">
        <f t="shared" ca="1" si="134"/>
        <v>0</v>
      </c>
      <c r="BA249" s="107">
        <f ca="1">IF(AZ249=1,(SUM($AW$6:AW249,$AX$6:AX249)-SUM($BA$6:BA248)),0)</f>
        <v>0</v>
      </c>
      <c r="BB249" s="107"/>
      <c r="BC249" s="107">
        <f ca="1">AV249+SUM($AW$6:AW249)+SUM($AX$6:AX249)-SUM($BA$6:BA249)</f>
        <v>0</v>
      </c>
      <c r="BD249" s="107">
        <f t="shared" ca="1" si="135"/>
        <v>0</v>
      </c>
      <c r="BE249" s="51">
        <f ca="1">'PiT PD Structure'!J289</f>
        <v>1.2040628032983225E-4</v>
      </c>
      <c r="BF249" s="139">
        <f t="shared" ca="1" si="122"/>
        <v>0.45</v>
      </c>
      <c r="BG249" s="51">
        <f t="shared" ca="1" si="136"/>
        <v>1</v>
      </c>
      <c r="BH249" s="50">
        <f t="shared" ca="1" si="137"/>
        <v>0</v>
      </c>
      <c r="BI249" s="50">
        <f t="shared" ca="1" si="138"/>
        <v>3.4816594052244909E-13</v>
      </c>
      <c r="BJ249" s="140">
        <v>0</v>
      </c>
      <c r="BK249" s="140">
        <v>0</v>
      </c>
      <c r="BR249" s="75">
        <f t="shared" ca="1" si="97"/>
        <v>50860</v>
      </c>
      <c r="BS249" s="74">
        <f t="shared" ca="1" si="111"/>
        <v>3</v>
      </c>
      <c r="BT249" s="74">
        <f t="shared" ca="1" si="112"/>
        <v>0</v>
      </c>
      <c r="BU249" s="73" t="str">
        <f t="shared" ca="1" si="113"/>
        <v xml:space="preserve"> </v>
      </c>
      <c r="BW249" s="75">
        <f t="shared" ca="1" si="123"/>
        <v>50860</v>
      </c>
      <c r="BX249" s="74">
        <f t="shared" ca="1" si="124"/>
        <v>3</v>
      </c>
      <c r="BY249" s="74">
        <f t="shared" ca="1" si="114"/>
        <v>0</v>
      </c>
      <c r="BZ249" s="73" t="str">
        <f t="shared" ca="1" si="115"/>
        <v xml:space="preserve"> </v>
      </c>
      <c r="CB249" s="75">
        <f t="shared" ca="1" si="125"/>
        <v>50860</v>
      </c>
      <c r="CC249" s="74">
        <f t="shared" ca="1" si="139"/>
        <v>3</v>
      </c>
      <c r="CD249" s="74">
        <f t="shared" ca="1" si="117"/>
        <v>0</v>
      </c>
      <c r="CE249" s="73" t="str">
        <f t="shared" ca="1" si="140"/>
        <v xml:space="preserve"> </v>
      </c>
    </row>
    <row r="250" spans="1:83" x14ac:dyDescent="0.2">
      <c r="A250" s="38" t="str">
        <f t="shared" si="127"/>
        <v xml:space="preserve"> </v>
      </c>
      <c r="B250" s="108"/>
      <c r="C250" s="38"/>
      <c r="D250" s="137"/>
      <c r="E250" s="137"/>
      <c r="F250" s="137"/>
      <c r="G250" s="122"/>
      <c r="H250" s="137"/>
      <c r="I250" s="50"/>
      <c r="J250" s="50"/>
      <c r="K250" s="50"/>
      <c r="L250" s="38"/>
      <c r="M250" s="38"/>
      <c r="N250" s="38"/>
      <c r="O250" s="50"/>
      <c r="P250" s="218"/>
      <c r="Q250" s="50"/>
      <c r="R250" s="50"/>
      <c r="S250" s="38"/>
      <c r="T250" s="51"/>
      <c r="U250" s="65"/>
      <c r="V250" s="105"/>
      <c r="W250" s="66"/>
      <c r="X250" s="66"/>
      <c r="Y250" s="38"/>
      <c r="Z250" s="66">
        <f t="shared" si="98"/>
        <v>0</v>
      </c>
      <c r="AA250" s="67"/>
      <c r="AC250" s="41" t="e">
        <f>VLOOKUP(A250,'Input Sheet'!$A$2:$B$232,2,0)</f>
        <v>#N/A</v>
      </c>
      <c r="AD250" s="70"/>
      <c r="AI250" s="68"/>
      <c r="AL250" s="107">
        <f t="shared" ca="1" si="128"/>
        <v>0</v>
      </c>
      <c r="AM250" s="49">
        <f t="shared" ca="1" si="120"/>
        <v>50890</v>
      </c>
      <c r="AN250" s="137" t="str">
        <f t="shared" ca="1" si="129"/>
        <v xml:space="preserve"> </v>
      </c>
      <c r="AO250" s="107">
        <f t="shared" ca="1" si="107"/>
        <v>0</v>
      </c>
      <c r="AP250" s="143">
        <f t="shared" ca="1" si="99"/>
        <v>0</v>
      </c>
      <c r="AQ250" s="143">
        <f t="shared" ca="1" si="130"/>
        <v>0</v>
      </c>
      <c r="AR250" s="49" t="str">
        <f t="shared" ca="1" si="131"/>
        <v xml:space="preserve"> </v>
      </c>
      <c r="AS250" s="107">
        <f t="shared" ca="1" si="132"/>
        <v>0</v>
      </c>
      <c r="AT250" s="107">
        <f t="shared" ca="1" si="102"/>
        <v>0</v>
      </c>
      <c r="AU250" s="107"/>
      <c r="AV250" s="107">
        <f ca="1">MAX(SUM($AQ$6:AQ250)-SUM($AT$6:AT250),0)</f>
        <v>0</v>
      </c>
      <c r="AW250" s="107">
        <f t="shared" ca="1" si="121"/>
        <v>0</v>
      </c>
      <c r="AX250" s="107">
        <v>0</v>
      </c>
      <c r="AY250" s="138" t="str">
        <f t="shared" ca="1" si="133"/>
        <v xml:space="preserve"> </v>
      </c>
      <c r="AZ250" s="107">
        <f t="shared" ca="1" si="134"/>
        <v>0</v>
      </c>
      <c r="BA250" s="107">
        <f ca="1">IF(AZ250=1,(SUM($AW$6:AW250,$AX$6:AX250)-SUM($BA$6:BA249)),0)</f>
        <v>0</v>
      </c>
      <c r="BB250" s="107"/>
      <c r="BC250" s="107">
        <f ca="1">AV250+SUM($AW$6:AW250)+SUM($AX$6:AX250)-SUM($BA$6:BA250)</f>
        <v>0</v>
      </c>
      <c r="BD250" s="107">
        <f t="shared" ca="1" si="135"/>
        <v>0</v>
      </c>
      <c r="BE250" s="51">
        <f ca="1">'PiT PD Structure'!J290</f>
        <v>1.2039111337802666E-4</v>
      </c>
      <c r="BF250" s="139">
        <f t="shared" ca="1" si="122"/>
        <v>0.45</v>
      </c>
      <c r="BG250" s="51">
        <f t="shared" ca="1" si="136"/>
        <v>1</v>
      </c>
      <c r="BH250" s="50">
        <f t="shared" ca="1" si="137"/>
        <v>0</v>
      </c>
      <c r="BI250" s="50">
        <f t="shared" ca="1" si="138"/>
        <v>3.4816594052244909E-13</v>
      </c>
      <c r="BJ250" s="140">
        <v>0</v>
      </c>
      <c r="BK250" s="140">
        <v>0</v>
      </c>
      <c r="BR250" s="75">
        <f t="shared" ca="1" si="97"/>
        <v>50890</v>
      </c>
      <c r="BS250" s="74">
        <f t="shared" ca="1" si="111"/>
        <v>4</v>
      </c>
      <c r="BT250" s="74">
        <f t="shared" ca="1" si="112"/>
        <v>0</v>
      </c>
      <c r="BU250" s="73" t="str">
        <f t="shared" ca="1" si="113"/>
        <v xml:space="preserve"> </v>
      </c>
      <c r="BW250" s="75">
        <f t="shared" ca="1" si="123"/>
        <v>50890</v>
      </c>
      <c r="BX250" s="74">
        <f t="shared" ca="1" si="124"/>
        <v>4</v>
      </c>
      <c r="BY250" s="74">
        <f t="shared" ca="1" si="114"/>
        <v>0</v>
      </c>
      <c r="BZ250" s="73" t="str">
        <f t="shared" ca="1" si="115"/>
        <v xml:space="preserve"> </v>
      </c>
      <c r="CB250" s="75">
        <f t="shared" ca="1" si="125"/>
        <v>50890</v>
      </c>
      <c r="CC250" s="74">
        <f t="shared" ca="1" si="139"/>
        <v>4</v>
      </c>
      <c r="CD250" s="74">
        <f t="shared" ca="1" si="117"/>
        <v>0</v>
      </c>
      <c r="CE250" s="73" t="str">
        <f t="shared" ca="1" si="140"/>
        <v xml:space="preserve"> </v>
      </c>
    </row>
    <row r="251" spans="1:83" x14ac:dyDescent="0.2">
      <c r="A251" s="38" t="str">
        <f t="shared" si="127"/>
        <v xml:space="preserve"> </v>
      </c>
      <c r="B251" s="108"/>
      <c r="C251" s="38"/>
      <c r="D251" s="137"/>
      <c r="E251" s="137"/>
      <c r="F251" s="137"/>
      <c r="G251" s="122"/>
      <c r="H251" s="137"/>
      <c r="I251" s="50"/>
      <c r="J251" s="50"/>
      <c r="K251" s="50"/>
      <c r="L251" s="38"/>
      <c r="M251" s="38"/>
      <c r="N251" s="38"/>
      <c r="O251" s="50"/>
      <c r="P251" s="218"/>
      <c r="Q251" s="50"/>
      <c r="R251" s="50"/>
      <c r="S251" s="38"/>
      <c r="T251" s="51"/>
      <c r="U251" s="65"/>
      <c r="V251" s="105"/>
      <c r="W251" s="66"/>
      <c r="X251" s="66"/>
      <c r="Y251" s="38"/>
      <c r="Z251" s="66">
        <f t="shared" si="98"/>
        <v>0</v>
      </c>
      <c r="AA251" s="67"/>
      <c r="AC251" s="41" t="e">
        <f>VLOOKUP(A251,'Input Sheet'!$A$2:$B$232,2,0)</f>
        <v>#N/A</v>
      </c>
      <c r="AD251" s="70"/>
      <c r="AI251" s="68"/>
      <c r="AL251" s="107">
        <f t="shared" ca="1" si="128"/>
        <v>0</v>
      </c>
      <c r="AM251" s="49">
        <f t="shared" ca="1" si="120"/>
        <v>50921</v>
      </c>
      <c r="AN251" s="137" t="str">
        <f t="shared" ca="1" si="129"/>
        <v xml:space="preserve"> </v>
      </c>
      <c r="AO251" s="107">
        <f t="shared" ca="1" si="107"/>
        <v>0</v>
      </c>
      <c r="AP251" s="143">
        <f t="shared" ca="1" si="99"/>
        <v>0</v>
      </c>
      <c r="AQ251" s="143">
        <f t="shared" ca="1" si="130"/>
        <v>0</v>
      </c>
      <c r="AR251" s="49" t="str">
        <f t="shared" ca="1" si="131"/>
        <v xml:space="preserve"> </v>
      </c>
      <c r="AS251" s="107">
        <f t="shared" ca="1" si="132"/>
        <v>0</v>
      </c>
      <c r="AT251" s="107">
        <f t="shared" ca="1" si="102"/>
        <v>0</v>
      </c>
      <c r="AU251" s="107"/>
      <c r="AV251" s="107">
        <f ca="1">MAX(SUM($AQ$6:AQ251)-SUM($AT$6:AT251),0)</f>
        <v>0</v>
      </c>
      <c r="AW251" s="107">
        <f t="shared" ca="1" si="121"/>
        <v>0</v>
      </c>
      <c r="AX251" s="107">
        <v>0</v>
      </c>
      <c r="AY251" s="138" t="str">
        <f t="shared" ca="1" si="133"/>
        <v xml:space="preserve"> </v>
      </c>
      <c r="AZ251" s="107">
        <f t="shared" ca="1" si="134"/>
        <v>0</v>
      </c>
      <c r="BA251" s="107">
        <f ca="1">IF(AZ251=1,(SUM($AW$6:AW251,$AX$6:AX251)-SUM($BA$6:BA250)),0)</f>
        <v>0</v>
      </c>
      <c r="BB251" s="107"/>
      <c r="BC251" s="107">
        <f ca="1">AV251+SUM($AW$6:AW251)+SUM($AX$6:AX251)-SUM($BA$6:BA251)</f>
        <v>0</v>
      </c>
      <c r="BD251" s="107">
        <f t="shared" ca="1" si="135"/>
        <v>0</v>
      </c>
      <c r="BE251" s="51">
        <f ca="1">'PiT PD Structure'!J291</f>
        <v>1.2037594833669285E-4</v>
      </c>
      <c r="BF251" s="139">
        <f t="shared" ca="1" si="122"/>
        <v>0.45</v>
      </c>
      <c r="BG251" s="51">
        <f t="shared" ca="1" si="136"/>
        <v>1</v>
      </c>
      <c r="BH251" s="50">
        <f t="shared" ca="1" si="137"/>
        <v>0</v>
      </c>
      <c r="BI251" s="50">
        <f t="shared" ca="1" si="138"/>
        <v>3.4816594052244909E-13</v>
      </c>
      <c r="BJ251" s="140">
        <v>0</v>
      </c>
      <c r="BK251" s="140">
        <v>0</v>
      </c>
      <c r="BR251" s="75">
        <f t="shared" ca="1" si="97"/>
        <v>50921</v>
      </c>
      <c r="BS251" s="74">
        <f t="shared" ca="1" si="111"/>
        <v>5</v>
      </c>
      <c r="BT251" s="74">
        <f t="shared" ca="1" si="112"/>
        <v>0</v>
      </c>
      <c r="BU251" s="73" t="str">
        <f t="shared" ca="1" si="113"/>
        <v xml:space="preserve"> </v>
      </c>
      <c r="BW251" s="75">
        <f t="shared" ca="1" si="123"/>
        <v>50921</v>
      </c>
      <c r="BX251" s="74">
        <f t="shared" ca="1" si="124"/>
        <v>5</v>
      </c>
      <c r="BY251" s="74">
        <f t="shared" ca="1" si="114"/>
        <v>0</v>
      </c>
      <c r="BZ251" s="73" t="str">
        <f t="shared" ca="1" si="115"/>
        <v xml:space="preserve"> </v>
      </c>
      <c r="CB251" s="75">
        <f t="shared" ca="1" si="125"/>
        <v>50921</v>
      </c>
      <c r="CC251" s="74">
        <f t="shared" ca="1" si="139"/>
        <v>5</v>
      </c>
      <c r="CD251" s="74">
        <f t="shared" ca="1" si="117"/>
        <v>0</v>
      </c>
      <c r="CE251" s="73" t="str">
        <f t="shared" ca="1" si="140"/>
        <v xml:space="preserve"> </v>
      </c>
    </row>
    <row r="252" spans="1:83" x14ac:dyDescent="0.2">
      <c r="A252" s="38" t="str">
        <f t="shared" si="127"/>
        <v xml:space="preserve"> </v>
      </c>
      <c r="B252" s="108"/>
      <c r="C252" s="38"/>
      <c r="D252" s="137"/>
      <c r="E252" s="137"/>
      <c r="F252" s="137"/>
      <c r="G252" s="122"/>
      <c r="H252" s="137"/>
      <c r="I252" s="50"/>
      <c r="J252" s="50"/>
      <c r="K252" s="50"/>
      <c r="L252" s="38"/>
      <c r="M252" s="38"/>
      <c r="N252" s="38"/>
      <c r="O252" s="50"/>
      <c r="P252" s="218"/>
      <c r="Q252" s="50"/>
      <c r="R252" s="50"/>
      <c r="S252" s="38"/>
      <c r="T252" s="51"/>
      <c r="U252" s="65"/>
      <c r="V252" s="105"/>
      <c r="W252" s="66"/>
      <c r="X252" s="66"/>
      <c r="Y252" s="38"/>
      <c r="Z252" s="66">
        <f t="shared" si="98"/>
        <v>0</v>
      </c>
      <c r="AA252" s="67"/>
      <c r="AC252" s="41" t="e">
        <f>VLOOKUP(A252,'Input Sheet'!$A$2:$B$232,2,0)</f>
        <v>#N/A</v>
      </c>
      <c r="AD252" s="70"/>
      <c r="AI252" s="68"/>
      <c r="AL252" s="107">
        <f t="shared" ca="1" si="128"/>
        <v>0</v>
      </c>
      <c r="AM252" s="49">
        <f t="shared" ca="1" si="120"/>
        <v>50951</v>
      </c>
      <c r="AN252" s="137" t="str">
        <f t="shared" ca="1" si="129"/>
        <v xml:space="preserve"> </v>
      </c>
      <c r="AO252" s="107">
        <f t="shared" ca="1" si="107"/>
        <v>0</v>
      </c>
      <c r="AP252" s="143">
        <f t="shared" ca="1" si="99"/>
        <v>0</v>
      </c>
      <c r="AQ252" s="143">
        <f t="shared" ca="1" si="130"/>
        <v>0</v>
      </c>
      <c r="AR252" s="49" t="str">
        <f t="shared" ca="1" si="131"/>
        <v xml:space="preserve"> </v>
      </c>
      <c r="AS252" s="107">
        <f t="shared" ca="1" si="132"/>
        <v>0</v>
      </c>
      <c r="AT252" s="107">
        <f t="shared" ca="1" si="102"/>
        <v>0</v>
      </c>
      <c r="AU252" s="107"/>
      <c r="AV252" s="107">
        <f ca="1">MAX(SUM($AQ$6:AQ252)-SUM($AT$6:AT252),0)</f>
        <v>0</v>
      </c>
      <c r="AW252" s="107">
        <f t="shared" ca="1" si="121"/>
        <v>0</v>
      </c>
      <c r="AX252" s="107">
        <v>0</v>
      </c>
      <c r="AY252" s="138" t="str">
        <f t="shared" ca="1" si="133"/>
        <v xml:space="preserve"> </v>
      </c>
      <c r="AZ252" s="107">
        <f t="shared" ca="1" si="134"/>
        <v>0</v>
      </c>
      <c r="BA252" s="107">
        <f ca="1">IF(AZ252=1,(SUM($AW$6:AW252,$AX$6:AX252)-SUM($BA$6:BA251)),0)</f>
        <v>0</v>
      </c>
      <c r="BB252" s="107"/>
      <c r="BC252" s="107">
        <f ca="1">AV252+SUM($AW$6:AW252)+SUM($AX$6:AX252)-SUM($BA$6:BA252)</f>
        <v>0</v>
      </c>
      <c r="BD252" s="107">
        <f t="shared" ca="1" si="135"/>
        <v>0</v>
      </c>
      <c r="BE252" s="51">
        <f ca="1">'PiT PD Structure'!J292</f>
        <v>1.2036078520583082E-4</v>
      </c>
      <c r="BF252" s="139">
        <f t="shared" ca="1" si="122"/>
        <v>0.45</v>
      </c>
      <c r="BG252" s="51">
        <f t="shared" ca="1" si="136"/>
        <v>1</v>
      </c>
      <c r="BH252" s="50">
        <f t="shared" ca="1" si="137"/>
        <v>0</v>
      </c>
      <c r="BI252" s="50">
        <f t="shared" ca="1" si="138"/>
        <v>3.4816594052244909E-13</v>
      </c>
      <c r="BJ252" s="140">
        <v>0</v>
      </c>
      <c r="BK252" s="140">
        <v>0</v>
      </c>
      <c r="BR252" s="75">
        <f t="shared" ca="1" si="97"/>
        <v>50951</v>
      </c>
      <c r="BS252" s="74">
        <f t="shared" ca="1" si="111"/>
        <v>6</v>
      </c>
      <c r="BT252" s="74">
        <f t="shared" ca="1" si="112"/>
        <v>0</v>
      </c>
      <c r="BU252" s="73" t="str">
        <f t="shared" ca="1" si="113"/>
        <v xml:space="preserve"> </v>
      </c>
      <c r="BW252" s="75">
        <f t="shared" ca="1" si="123"/>
        <v>50951</v>
      </c>
      <c r="BX252" s="74">
        <f t="shared" ca="1" si="124"/>
        <v>6</v>
      </c>
      <c r="BY252" s="74">
        <f t="shared" ca="1" si="114"/>
        <v>0</v>
      </c>
      <c r="BZ252" s="73" t="str">
        <f t="shared" ca="1" si="115"/>
        <v xml:space="preserve"> </v>
      </c>
      <c r="CB252" s="75">
        <f t="shared" ca="1" si="125"/>
        <v>50951</v>
      </c>
      <c r="CC252" s="74">
        <f t="shared" ca="1" si="139"/>
        <v>6</v>
      </c>
      <c r="CD252" s="74">
        <f t="shared" ca="1" si="117"/>
        <v>0</v>
      </c>
      <c r="CE252" s="73" t="str">
        <f t="shared" ca="1" si="140"/>
        <v xml:space="preserve"> </v>
      </c>
    </row>
    <row r="253" spans="1:83" x14ac:dyDescent="0.2">
      <c r="A253" s="38" t="str">
        <f t="shared" si="127"/>
        <v xml:space="preserve"> </v>
      </c>
      <c r="B253" s="108"/>
      <c r="C253" s="38"/>
      <c r="D253" s="137"/>
      <c r="E253" s="137"/>
      <c r="F253" s="137"/>
      <c r="G253" s="122"/>
      <c r="H253" s="137"/>
      <c r="I253" s="50"/>
      <c r="J253" s="50"/>
      <c r="K253" s="50"/>
      <c r="L253" s="38"/>
      <c r="M253" s="38"/>
      <c r="N253" s="38"/>
      <c r="O253" s="50"/>
      <c r="P253" s="218"/>
      <c r="Q253" s="50"/>
      <c r="R253" s="50"/>
      <c r="S253" s="38"/>
      <c r="T253" s="51"/>
      <c r="U253" s="65"/>
      <c r="V253" s="105"/>
      <c r="W253" s="66"/>
      <c r="X253" s="66"/>
      <c r="Y253" s="38"/>
      <c r="Z253" s="66">
        <f t="shared" si="98"/>
        <v>0</v>
      </c>
      <c r="AA253" s="67"/>
      <c r="AC253" s="41" t="e">
        <f>VLOOKUP(A253,'Input Sheet'!$A$2:$B$232,2,0)</f>
        <v>#N/A</v>
      </c>
      <c r="AD253" s="70"/>
      <c r="AI253" s="68"/>
      <c r="AL253" s="107">
        <f t="shared" ca="1" si="128"/>
        <v>0</v>
      </c>
      <c r="AM253" s="49">
        <f t="shared" ca="1" si="120"/>
        <v>50982</v>
      </c>
      <c r="AN253" s="137" t="str">
        <f t="shared" ca="1" si="129"/>
        <v xml:space="preserve"> </v>
      </c>
      <c r="AO253" s="107">
        <f t="shared" ca="1" si="107"/>
        <v>0</v>
      </c>
      <c r="AP253" s="143">
        <f t="shared" ca="1" si="99"/>
        <v>0</v>
      </c>
      <c r="AQ253" s="143">
        <f t="shared" ca="1" si="130"/>
        <v>0</v>
      </c>
      <c r="AR253" s="49" t="str">
        <f t="shared" ca="1" si="131"/>
        <v xml:space="preserve"> </v>
      </c>
      <c r="AS253" s="107">
        <f t="shared" ca="1" si="132"/>
        <v>0</v>
      </c>
      <c r="AT253" s="107">
        <f t="shared" ca="1" si="102"/>
        <v>0</v>
      </c>
      <c r="AU253" s="107"/>
      <c r="AV253" s="107">
        <f ca="1">MAX(SUM($AQ$6:AQ253)-SUM($AT$6:AT253),0)</f>
        <v>0</v>
      </c>
      <c r="AW253" s="107">
        <f t="shared" ca="1" si="121"/>
        <v>0</v>
      </c>
      <c r="AX253" s="107">
        <v>0</v>
      </c>
      <c r="AY253" s="138" t="str">
        <f t="shared" ca="1" si="133"/>
        <v xml:space="preserve"> </v>
      </c>
      <c r="AZ253" s="107">
        <f t="shared" ca="1" si="134"/>
        <v>0</v>
      </c>
      <c r="BA253" s="107">
        <f ca="1">IF(AZ253=1,(SUM($AW$6:AW253,$AX$6:AX253)-SUM($BA$6:BA252)),0)</f>
        <v>0</v>
      </c>
      <c r="BB253" s="107"/>
      <c r="BC253" s="107">
        <f ca="1">AV253+SUM($AW$6:AW253)+SUM($AX$6:AX253)-SUM($BA$6:BA253)</f>
        <v>0</v>
      </c>
      <c r="BD253" s="107">
        <f t="shared" ca="1" si="135"/>
        <v>0</v>
      </c>
      <c r="BE253" s="51">
        <f ca="1">'PiT PD Structure'!J293</f>
        <v>1.2034562398466342E-4</v>
      </c>
      <c r="BF253" s="139">
        <f t="shared" ca="1" si="122"/>
        <v>0.45</v>
      </c>
      <c r="BG253" s="51">
        <f t="shared" ca="1" si="136"/>
        <v>1</v>
      </c>
      <c r="BH253" s="50">
        <f t="shared" ca="1" si="137"/>
        <v>0</v>
      </c>
      <c r="BI253" s="50">
        <f t="shared" ca="1" si="138"/>
        <v>3.4816594052244909E-13</v>
      </c>
      <c r="BJ253" s="140">
        <v>0</v>
      </c>
      <c r="BK253" s="140">
        <v>0</v>
      </c>
      <c r="BR253" s="75">
        <f t="shared" ca="1" si="97"/>
        <v>50982</v>
      </c>
      <c r="BS253" s="74">
        <f t="shared" ca="1" si="111"/>
        <v>7</v>
      </c>
      <c r="BT253" s="74">
        <f t="shared" ca="1" si="112"/>
        <v>0</v>
      </c>
      <c r="BU253" s="73" t="str">
        <f t="shared" ca="1" si="113"/>
        <v xml:space="preserve"> </v>
      </c>
      <c r="BW253" s="75">
        <f t="shared" ca="1" si="123"/>
        <v>50982</v>
      </c>
      <c r="BX253" s="74">
        <f t="shared" ca="1" si="124"/>
        <v>7</v>
      </c>
      <c r="BY253" s="74">
        <f t="shared" ca="1" si="114"/>
        <v>0</v>
      </c>
      <c r="BZ253" s="73" t="str">
        <f t="shared" ca="1" si="115"/>
        <v xml:space="preserve"> </v>
      </c>
      <c r="CB253" s="75">
        <f t="shared" ca="1" si="125"/>
        <v>50982</v>
      </c>
      <c r="CC253" s="74">
        <f t="shared" ca="1" si="139"/>
        <v>7</v>
      </c>
      <c r="CD253" s="74">
        <f t="shared" ca="1" si="117"/>
        <v>0</v>
      </c>
      <c r="CE253" s="73" t="str">
        <f t="shared" ca="1" si="140"/>
        <v xml:space="preserve"> </v>
      </c>
    </row>
    <row r="254" spans="1:83" x14ac:dyDescent="0.2">
      <c r="A254" s="38" t="str">
        <f t="shared" si="127"/>
        <v xml:space="preserve"> </v>
      </c>
      <c r="B254" s="108"/>
      <c r="C254" s="38"/>
      <c r="D254" s="137"/>
      <c r="E254" s="137"/>
      <c r="F254" s="137"/>
      <c r="G254" s="122"/>
      <c r="H254" s="137"/>
      <c r="I254" s="50"/>
      <c r="J254" s="50"/>
      <c r="K254" s="50"/>
      <c r="L254" s="38"/>
      <c r="M254" s="38"/>
      <c r="N254" s="38"/>
      <c r="O254" s="50"/>
      <c r="P254" s="218"/>
      <c r="Q254" s="50"/>
      <c r="R254" s="50"/>
      <c r="S254" s="38"/>
      <c r="T254" s="51"/>
      <c r="U254" s="65"/>
      <c r="V254" s="105"/>
      <c r="W254" s="66"/>
      <c r="X254" s="66"/>
      <c r="Y254" s="38"/>
      <c r="Z254" s="66">
        <f t="shared" si="98"/>
        <v>0</v>
      </c>
      <c r="AA254" s="67"/>
      <c r="AC254" s="41" t="e">
        <f>VLOOKUP(A254,'Input Sheet'!$A$2:$B$232,2,0)</f>
        <v>#N/A</v>
      </c>
      <c r="AD254" s="70"/>
      <c r="AI254" s="68"/>
      <c r="AL254" s="107">
        <f t="shared" ca="1" si="128"/>
        <v>0</v>
      </c>
      <c r="AM254" s="49">
        <f t="shared" ca="1" si="120"/>
        <v>51013</v>
      </c>
      <c r="AN254" s="137" t="str">
        <f t="shared" ca="1" si="129"/>
        <v xml:space="preserve"> </v>
      </c>
      <c r="AO254" s="107">
        <f t="shared" ca="1" si="107"/>
        <v>0</v>
      </c>
      <c r="AP254" s="143">
        <f t="shared" ca="1" si="99"/>
        <v>0</v>
      </c>
      <c r="AQ254" s="143">
        <f t="shared" ca="1" si="130"/>
        <v>0</v>
      </c>
      <c r="AR254" s="49" t="str">
        <f t="shared" ca="1" si="131"/>
        <v xml:space="preserve"> </v>
      </c>
      <c r="AS254" s="107">
        <f t="shared" ca="1" si="132"/>
        <v>0</v>
      </c>
      <c r="AT254" s="107">
        <f t="shared" ca="1" si="102"/>
        <v>0</v>
      </c>
      <c r="AU254" s="107"/>
      <c r="AV254" s="107">
        <f ca="1">MAX(SUM($AQ$6:AQ254)-SUM($AT$6:AT254),0)</f>
        <v>0</v>
      </c>
      <c r="AW254" s="107">
        <f t="shared" ca="1" si="121"/>
        <v>0</v>
      </c>
      <c r="AX254" s="107">
        <v>0</v>
      </c>
      <c r="AY254" s="138" t="str">
        <f t="shared" ca="1" si="133"/>
        <v xml:space="preserve"> </v>
      </c>
      <c r="AZ254" s="107">
        <f t="shared" ca="1" si="134"/>
        <v>0</v>
      </c>
      <c r="BA254" s="107">
        <f ca="1">IF(AZ254=1,(SUM($AW$6:AW254,$AX$6:AX254)-SUM($BA$6:BA253)),0)</f>
        <v>0</v>
      </c>
      <c r="BB254" s="107"/>
      <c r="BC254" s="107">
        <f ca="1">AV254+SUM($AW$6:AW254)+SUM($AX$6:AX254)-SUM($BA$6:BA254)</f>
        <v>0</v>
      </c>
      <c r="BD254" s="107">
        <f t="shared" ca="1" si="135"/>
        <v>0</v>
      </c>
      <c r="BE254" s="51">
        <f ca="1">'PiT PD Structure'!J294</f>
        <v>1.2033046467363473E-4</v>
      </c>
      <c r="BF254" s="139">
        <f t="shared" ca="1" si="122"/>
        <v>0.45</v>
      </c>
      <c r="BG254" s="51">
        <f t="shared" ca="1" si="136"/>
        <v>1</v>
      </c>
      <c r="BH254" s="50">
        <f t="shared" ca="1" si="137"/>
        <v>0</v>
      </c>
      <c r="BI254" s="50">
        <f t="shared" ca="1" si="138"/>
        <v>3.4816594052244909E-13</v>
      </c>
      <c r="BJ254" s="140">
        <v>0</v>
      </c>
      <c r="BK254" s="140">
        <v>0</v>
      </c>
      <c r="BR254" s="75">
        <f t="shared" ca="1" si="97"/>
        <v>51013</v>
      </c>
      <c r="BS254" s="74">
        <f t="shared" ca="1" si="111"/>
        <v>8</v>
      </c>
      <c r="BT254" s="74">
        <f t="shared" ca="1" si="112"/>
        <v>0</v>
      </c>
      <c r="BU254" s="73" t="str">
        <f t="shared" ca="1" si="113"/>
        <v xml:space="preserve"> </v>
      </c>
      <c r="BW254" s="75">
        <f t="shared" ca="1" si="123"/>
        <v>51013</v>
      </c>
      <c r="BX254" s="74">
        <f t="shared" ca="1" si="124"/>
        <v>8</v>
      </c>
      <c r="BY254" s="74">
        <f t="shared" ca="1" si="114"/>
        <v>0</v>
      </c>
      <c r="BZ254" s="73" t="str">
        <f t="shared" ca="1" si="115"/>
        <v xml:space="preserve"> </v>
      </c>
      <c r="CB254" s="75">
        <f t="shared" ca="1" si="125"/>
        <v>51013</v>
      </c>
      <c r="CC254" s="74">
        <f t="shared" ca="1" si="139"/>
        <v>8</v>
      </c>
      <c r="CD254" s="74">
        <f t="shared" ca="1" si="117"/>
        <v>0</v>
      </c>
      <c r="CE254" s="73" t="str">
        <f t="shared" ca="1" si="140"/>
        <v xml:space="preserve"> </v>
      </c>
    </row>
    <row r="255" spans="1:83" x14ac:dyDescent="0.2">
      <c r="A255" s="38" t="str">
        <f t="shared" si="127"/>
        <v xml:space="preserve"> </v>
      </c>
      <c r="B255" s="108"/>
      <c r="C255" s="38"/>
      <c r="D255" s="137"/>
      <c r="E255" s="137"/>
      <c r="F255" s="137"/>
      <c r="G255" s="122"/>
      <c r="H255" s="137"/>
      <c r="I255" s="50"/>
      <c r="J255" s="50"/>
      <c r="K255" s="50"/>
      <c r="L255" s="38"/>
      <c r="M255" s="38"/>
      <c r="N255" s="38"/>
      <c r="O255" s="50"/>
      <c r="P255" s="218"/>
      <c r="Q255" s="50"/>
      <c r="R255" s="50"/>
      <c r="S255" s="38"/>
      <c r="T255" s="51"/>
      <c r="U255" s="65"/>
      <c r="V255" s="105"/>
      <c r="W255" s="66"/>
      <c r="X255" s="66"/>
      <c r="Y255" s="38"/>
      <c r="Z255" s="66">
        <f t="shared" si="98"/>
        <v>0</v>
      </c>
      <c r="AA255" s="67"/>
      <c r="AC255" s="41" t="e">
        <f>VLOOKUP(A255,'Input Sheet'!$A$2:$B$232,2,0)</f>
        <v>#N/A</v>
      </c>
      <c r="AD255" s="70"/>
      <c r="AI255" s="68"/>
      <c r="AL255" s="107">
        <f t="shared" ca="1" si="128"/>
        <v>0</v>
      </c>
      <c r="AM255" s="49">
        <f t="shared" ca="1" si="120"/>
        <v>51043</v>
      </c>
      <c r="AN255" s="137" t="str">
        <f t="shared" ca="1" si="129"/>
        <v xml:space="preserve"> </v>
      </c>
      <c r="AO255" s="107">
        <f t="shared" ca="1" si="107"/>
        <v>0</v>
      </c>
      <c r="AP255" s="143">
        <f t="shared" ca="1" si="99"/>
        <v>0</v>
      </c>
      <c r="AQ255" s="143">
        <f t="shared" ca="1" si="130"/>
        <v>0</v>
      </c>
      <c r="AR255" s="49" t="str">
        <f t="shared" ca="1" si="131"/>
        <v xml:space="preserve"> </v>
      </c>
      <c r="AS255" s="107">
        <f t="shared" ca="1" si="132"/>
        <v>0</v>
      </c>
      <c r="AT255" s="107">
        <f t="shared" ca="1" si="102"/>
        <v>0</v>
      </c>
      <c r="AU255" s="107"/>
      <c r="AV255" s="107">
        <f ca="1">MAX(SUM($AQ$6:AQ255)-SUM($AT$6:AT255),0)</f>
        <v>0</v>
      </c>
      <c r="AW255" s="107">
        <f t="shared" ca="1" si="121"/>
        <v>0</v>
      </c>
      <c r="AX255" s="107">
        <v>0</v>
      </c>
      <c r="AY255" s="138" t="str">
        <f t="shared" ca="1" si="133"/>
        <v xml:space="preserve"> </v>
      </c>
      <c r="AZ255" s="107">
        <f t="shared" ca="1" si="134"/>
        <v>0</v>
      </c>
      <c r="BA255" s="107">
        <f ca="1">IF(AZ255=1,(SUM($AW$6:AW255,$AX$6:AX255)-SUM($BA$6:BA254)),0)</f>
        <v>0</v>
      </c>
      <c r="BB255" s="107"/>
      <c r="BC255" s="107">
        <f ca="1">AV255+SUM($AW$6:AW255)+SUM($AX$6:AX255)-SUM($BA$6:BA255)</f>
        <v>0</v>
      </c>
      <c r="BD255" s="107">
        <f t="shared" ca="1" si="135"/>
        <v>0</v>
      </c>
      <c r="BE255" s="51">
        <f ca="1">'PiT PD Structure'!J295</f>
        <v>1.2031530727174555E-4</v>
      </c>
      <c r="BF255" s="139">
        <f t="shared" ca="1" si="122"/>
        <v>0.45</v>
      </c>
      <c r="BG255" s="51">
        <f t="shared" ca="1" si="136"/>
        <v>1</v>
      </c>
      <c r="BH255" s="50">
        <f t="shared" ca="1" si="137"/>
        <v>0</v>
      </c>
      <c r="BI255" s="50">
        <f t="shared" ca="1" si="138"/>
        <v>3.4816594052244909E-13</v>
      </c>
      <c r="BJ255" s="140">
        <v>0</v>
      </c>
      <c r="BK255" s="140">
        <v>0</v>
      </c>
      <c r="BR255" s="75">
        <f t="shared" ca="1" si="97"/>
        <v>51043</v>
      </c>
      <c r="BS255" s="74">
        <f t="shared" ca="1" si="111"/>
        <v>9</v>
      </c>
      <c r="BT255" s="74">
        <f t="shared" ca="1" si="112"/>
        <v>0</v>
      </c>
      <c r="BU255" s="73" t="str">
        <f t="shared" ca="1" si="113"/>
        <v xml:space="preserve"> </v>
      </c>
      <c r="BW255" s="75">
        <f t="shared" ca="1" si="123"/>
        <v>51043</v>
      </c>
      <c r="BX255" s="74">
        <f t="shared" ca="1" si="124"/>
        <v>9</v>
      </c>
      <c r="BY255" s="74">
        <f t="shared" ca="1" si="114"/>
        <v>0</v>
      </c>
      <c r="BZ255" s="73" t="str">
        <f t="shared" ca="1" si="115"/>
        <v xml:space="preserve"> </v>
      </c>
      <c r="CB255" s="75">
        <f t="shared" ca="1" si="125"/>
        <v>51043</v>
      </c>
      <c r="CC255" s="74">
        <f t="shared" ca="1" si="139"/>
        <v>9</v>
      </c>
      <c r="CD255" s="74">
        <f t="shared" ca="1" si="117"/>
        <v>0</v>
      </c>
      <c r="CE255" s="73" t="str">
        <f t="shared" ca="1" si="140"/>
        <v xml:space="preserve"> </v>
      </c>
    </row>
    <row r="256" spans="1:83" x14ac:dyDescent="0.2">
      <c r="A256" s="38" t="str">
        <f t="shared" si="127"/>
        <v xml:space="preserve"> </v>
      </c>
      <c r="B256" s="108"/>
      <c r="C256" s="38"/>
      <c r="D256" s="137"/>
      <c r="E256" s="137"/>
      <c r="F256" s="137"/>
      <c r="G256" s="122"/>
      <c r="H256" s="137"/>
      <c r="I256" s="50"/>
      <c r="J256" s="50"/>
      <c r="K256" s="50"/>
      <c r="L256" s="38"/>
      <c r="M256" s="38"/>
      <c r="N256" s="38"/>
      <c r="O256" s="50"/>
      <c r="P256" s="218"/>
      <c r="Q256" s="50"/>
      <c r="R256" s="50"/>
      <c r="S256" s="38"/>
      <c r="T256" s="51"/>
      <c r="U256" s="65"/>
      <c r="V256" s="105"/>
      <c r="W256" s="66"/>
      <c r="X256" s="66"/>
      <c r="Y256" s="38"/>
      <c r="Z256" s="66">
        <f t="shared" si="98"/>
        <v>0</v>
      </c>
      <c r="AA256" s="67"/>
      <c r="AC256" s="41" t="e">
        <f>VLOOKUP(A256,'Input Sheet'!$A$2:$B$232,2,0)</f>
        <v>#N/A</v>
      </c>
      <c r="AD256" s="70"/>
      <c r="AI256" s="68"/>
      <c r="AL256" s="107">
        <f t="shared" ca="1" si="128"/>
        <v>0</v>
      </c>
      <c r="AM256" s="49">
        <f t="shared" ca="1" si="120"/>
        <v>51074</v>
      </c>
      <c r="AN256" s="137" t="str">
        <f t="shared" ca="1" si="129"/>
        <v xml:space="preserve"> </v>
      </c>
      <c r="AO256" s="107">
        <f t="shared" ca="1" si="107"/>
        <v>0</v>
      </c>
      <c r="AP256" s="143">
        <f t="shared" ca="1" si="99"/>
        <v>0</v>
      </c>
      <c r="AQ256" s="143">
        <f t="shared" ca="1" si="130"/>
        <v>0</v>
      </c>
      <c r="AR256" s="49" t="str">
        <f t="shared" ca="1" si="131"/>
        <v xml:space="preserve"> </v>
      </c>
      <c r="AS256" s="107">
        <f t="shared" ca="1" si="132"/>
        <v>0</v>
      </c>
      <c r="AT256" s="107">
        <f t="shared" ca="1" si="102"/>
        <v>0</v>
      </c>
      <c r="AU256" s="107"/>
      <c r="AV256" s="107">
        <f ca="1">MAX(SUM($AQ$6:AQ256)-SUM($AT$6:AT256),0)</f>
        <v>0</v>
      </c>
      <c r="AW256" s="107">
        <f t="shared" ca="1" si="121"/>
        <v>0</v>
      </c>
      <c r="AX256" s="107">
        <v>0</v>
      </c>
      <c r="AY256" s="138" t="str">
        <f t="shared" ca="1" si="133"/>
        <v xml:space="preserve"> </v>
      </c>
      <c r="AZ256" s="107">
        <f t="shared" ca="1" si="134"/>
        <v>0</v>
      </c>
      <c r="BA256" s="107">
        <f ca="1">IF(AZ256=1,(SUM($AW$6:AW256,$AX$6:AX256)-SUM($BA$6:BA255)),0)</f>
        <v>0</v>
      </c>
      <c r="BB256" s="107"/>
      <c r="BC256" s="107">
        <f ca="1">AV256+SUM($AW$6:AW256)+SUM($AX$6:AX256)-SUM($BA$6:BA256)</f>
        <v>0</v>
      </c>
      <c r="BD256" s="107">
        <f t="shared" ca="1" si="135"/>
        <v>0</v>
      </c>
      <c r="BE256" s="51">
        <f ca="1">'PiT PD Structure'!J296</f>
        <v>1.20300151779551E-4</v>
      </c>
      <c r="BF256" s="139">
        <f t="shared" ca="1" si="122"/>
        <v>0.45</v>
      </c>
      <c r="BG256" s="51">
        <f t="shared" ca="1" si="136"/>
        <v>1</v>
      </c>
      <c r="BH256" s="50">
        <f t="shared" ca="1" si="137"/>
        <v>0</v>
      </c>
      <c r="BI256" s="50">
        <f t="shared" ca="1" si="138"/>
        <v>3.4816594052244909E-13</v>
      </c>
      <c r="BJ256" s="140">
        <v>0</v>
      </c>
      <c r="BK256" s="140">
        <v>0</v>
      </c>
      <c r="BR256" s="75">
        <f t="shared" ca="1" si="97"/>
        <v>51074</v>
      </c>
      <c r="BS256" s="74">
        <f t="shared" ca="1" si="111"/>
        <v>10</v>
      </c>
      <c r="BT256" s="74">
        <f t="shared" ca="1" si="112"/>
        <v>0</v>
      </c>
      <c r="BU256" s="73" t="str">
        <f t="shared" ca="1" si="113"/>
        <v xml:space="preserve"> </v>
      </c>
      <c r="BW256" s="75">
        <f t="shared" ca="1" si="123"/>
        <v>51074</v>
      </c>
      <c r="BX256" s="74">
        <f t="shared" ca="1" si="124"/>
        <v>10</v>
      </c>
      <c r="BY256" s="74">
        <f t="shared" ca="1" si="114"/>
        <v>0</v>
      </c>
      <c r="BZ256" s="73" t="str">
        <f t="shared" ca="1" si="115"/>
        <v xml:space="preserve"> </v>
      </c>
      <c r="CB256" s="75">
        <f t="shared" ca="1" si="125"/>
        <v>51074</v>
      </c>
      <c r="CC256" s="74">
        <f t="shared" ca="1" si="139"/>
        <v>10</v>
      </c>
      <c r="CD256" s="74">
        <f t="shared" ca="1" si="117"/>
        <v>0</v>
      </c>
      <c r="CE256" s="73" t="str">
        <f t="shared" ca="1" si="140"/>
        <v xml:space="preserve"> </v>
      </c>
    </row>
    <row r="257" spans="1:83" x14ac:dyDescent="0.2">
      <c r="A257" s="38" t="str">
        <f t="shared" si="127"/>
        <v xml:space="preserve"> </v>
      </c>
      <c r="B257" s="108"/>
      <c r="C257" s="38"/>
      <c r="D257" s="137"/>
      <c r="E257" s="137"/>
      <c r="F257" s="137"/>
      <c r="G257" s="122"/>
      <c r="H257" s="137"/>
      <c r="I257" s="50"/>
      <c r="J257" s="50"/>
      <c r="K257" s="50"/>
      <c r="L257" s="38"/>
      <c r="M257" s="38"/>
      <c r="N257" s="38"/>
      <c r="O257" s="50"/>
      <c r="P257" s="218"/>
      <c r="Q257" s="50"/>
      <c r="R257" s="50"/>
      <c r="S257" s="38"/>
      <c r="T257" s="51"/>
      <c r="U257" s="65"/>
      <c r="V257" s="105"/>
      <c r="W257" s="66"/>
      <c r="X257" s="66"/>
      <c r="Y257" s="38"/>
      <c r="Z257" s="66">
        <f t="shared" si="98"/>
        <v>0</v>
      </c>
      <c r="AA257" s="67"/>
      <c r="AC257" s="41" t="e">
        <f>VLOOKUP(A257,'Input Sheet'!$A$2:$B$232,2,0)</f>
        <v>#N/A</v>
      </c>
      <c r="AD257" s="70"/>
      <c r="AI257" s="68"/>
      <c r="AL257" s="107">
        <f t="shared" ca="1" si="128"/>
        <v>0</v>
      </c>
      <c r="AM257" s="49">
        <f t="shared" ca="1" si="120"/>
        <v>51104</v>
      </c>
      <c r="AN257" s="137" t="str">
        <f t="shared" ca="1" si="129"/>
        <v xml:space="preserve"> </v>
      </c>
      <c r="AO257" s="107">
        <f t="shared" ca="1" si="107"/>
        <v>0</v>
      </c>
      <c r="AP257" s="143">
        <f t="shared" ca="1" si="99"/>
        <v>0</v>
      </c>
      <c r="AQ257" s="143">
        <f t="shared" ca="1" si="130"/>
        <v>0</v>
      </c>
      <c r="AR257" s="49" t="str">
        <f t="shared" ca="1" si="131"/>
        <v xml:space="preserve"> </v>
      </c>
      <c r="AS257" s="107">
        <f t="shared" ca="1" si="132"/>
        <v>0</v>
      </c>
      <c r="AT257" s="107">
        <f t="shared" ca="1" si="102"/>
        <v>0</v>
      </c>
      <c r="AU257" s="107"/>
      <c r="AV257" s="107">
        <f ca="1">MAX(SUM($AQ$6:AQ257)-SUM($AT$6:AT257),0)</f>
        <v>0</v>
      </c>
      <c r="AW257" s="107">
        <f t="shared" ca="1" si="121"/>
        <v>0</v>
      </c>
      <c r="AX257" s="107">
        <v>0</v>
      </c>
      <c r="AY257" s="138" t="str">
        <f t="shared" ca="1" si="133"/>
        <v xml:space="preserve"> </v>
      </c>
      <c r="AZ257" s="107">
        <f t="shared" ca="1" si="134"/>
        <v>0</v>
      </c>
      <c r="BA257" s="107">
        <f ca="1">IF(AZ257=1,(SUM($AW$6:AW257,$AX$6:AX257)-SUM($BA$6:BA256)),0)</f>
        <v>0</v>
      </c>
      <c r="BB257" s="107"/>
      <c r="BC257" s="107">
        <f ca="1">AV257+SUM($AW$6:AW257)+SUM($AX$6:AX257)-SUM($BA$6:BA257)</f>
        <v>0</v>
      </c>
      <c r="BD257" s="107">
        <f t="shared" ca="1" si="135"/>
        <v>0</v>
      </c>
      <c r="BE257" s="51">
        <f ca="1">'PiT PD Structure'!J297</f>
        <v>1.2028499819605187E-4</v>
      </c>
      <c r="BF257" s="139">
        <f t="shared" ca="1" si="122"/>
        <v>0.45</v>
      </c>
      <c r="BG257" s="51">
        <f t="shared" ca="1" si="136"/>
        <v>1</v>
      </c>
      <c r="BH257" s="50">
        <f t="shared" ca="1" si="137"/>
        <v>0</v>
      </c>
      <c r="BI257" s="50">
        <f t="shared" ca="1" si="138"/>
        <v>3.4816594052244909E-13</v>
      </c>
      <c r="BJ257" s="140">
        <v>0</v>
      </c>
      <c r="BK257" s="140">
        <v>0</v>
      </c>
      <c r="BR257" s="75">
        <f t="shared" ca="1" si="97"/>
        <v>51104</v>
      </c>
      <c r="BS257" s="74">
        <f t="shared" ca="1" si="111"/>
        <v>11</v>
      </c>
      <c r="BT257" s="74">
        <f t="shared" ca="1" si="112"/>
        <v>0</v>
      </c>
      <c r="BU257" s="73" t="str">
        <f t="shared" ca="1" si="113"/>
        <v xml:space="preserve"> </v>
      </c>
      <c r="BW257" s="75">
        <f t="shared" ca="1" si="123"/>
        <v>51104</v>
      </c>
      <c r="BX257" s="74">
        <f t="shared" ca="1" si="124"/>
        <v>11</v>
      </c>
      <c r="BY257" s="74">
        <f t="shared" ca="1" si="114"/>
        <v>0</v>
      </c>
      <c r="BZ257" s="73" t="str">
        <f t="shared" ca="1" si="115"/>
        <v xml:space="preserve"> </v>
      </c>
      <c r="CB257" s="75">
        <f t="shared" ca="1" si="125"/>
        <v>51104</v>
      </c>
      <c r="CC257" s="74">
        <f t="shared" ca="1" si="139"/>
        <v>11</v>
      </c>
      <c r="CD257" s="74">
        <f t="shared" ca="1" si="117"/>
        <v>0</v>
      </c>
      <c r="CE257" s="73" t="str">
        <f t="shared" ca="1" si="140"/>
        <v xml:space="preserve"> </v>
      </c>
    </row>
    <row r="258" spans="1:83" x14ac:dyDescent="0.2">
      <c r="A258" s="38" t="str">
        <f t="shared" si="127"/>
        <v xml:space="preserve"> </v>
      </c>
      <c r="B258" s="108"/>
      <c r="C258" s="38"/>
      <c r="D258" s="137"/>
      <c r="E258" s="137"/>
      <c r="F258" s="137"/>
      <c r="G258" s="122"/>
      <c r="H258" s="137"/>
      <c r="I258" s="50"/>
      <c r="J258" s="50"/>
      <c r="K258" s="50"/>
      <c r="L258" s="38"/>
      <c r="M258" s="38"/>
      <c r="N258" s="38"/>
      <c r="O258" s="50"/>
      <c r="P258" s="218"/>
      <c r="Q258" s="50"/>
      <c r="R258" s="50"/>
      <c r="S258" s="38"/>
      <c r="T258" s="51"/>
      <c r="U258" s="65"/>
      <c r="V258" s="105"/>
      <c r="W258" s="66"/>
      <c r="X258" s="66"/>
      <c r="Y258" s="38"/>
      <c r="Z258" s="66">
        <f t="shared" si="98"/>
        <v>0</v>
      </c>
      <c r="AA258" s="67"/>
      <c r="AC258" s="41" t="e">
        <f>VLOOKUP(A258,'Input Sheet'!$A$2:$B$232,2,0)</f>
        <v>#N/A</v>
      </c>
      <c r="AD258" s="70"/>
      <c r="AI258" s="68"/>
      <c r="AL258" s="107">
        <f t="shared" ca="1" si="128"/>
        <v>0</v>
      </c>
      <c r="AM258" s="49">
        <f t="shared" ca="1" si="120"/>
        <v>51135</v>
      </c>
      <c r="AN258" s="137" t="str">
        <f t="shared" ca="1" si="129"/>
        <v xml:space="preserve"> </v>
      </c>
      <c r="AO258" s="107">
        <f t="shared" ca="1" si="107"/>
        <v>0</v>
      </c>
      <c r="AP258" s="143">
        <f t="shared" ca="1" si="99"/>
        <v>0</v>
      </c>
      <c r="AQ258" s="143">
        <f t="shared" ca="1" si="130"/>
        <v>0</v>
      </c>
      <c r="AR258" s="49" t="str">
        <f t="shared" ca="1" si="131"/>
        <v xml:space="preserve"> </v>
      </c>
      <c r="AS258" s="107">
        <f t="shared" ca="1" si="132"/>
        <v>0</v>
      </c>
      <c r="AT258" s="107">
        <f t="shared" ca="1" si="102"/>
        <v>0</v>
      </c>
      <c r="AU258" s="107"/>
      <c r="AV258" s="107">
        <f ca="1">MAX(SUM($AQ$6:AQ258)-SUM($AT$6:AT258),0)</f>
        <v>0</v>
      </c>
      <c r="AW258" s="107">
        <f t="shared" ca="1" si="121"/>
        <v>0</v>
      </c>
      <c r="AX258" s="107">
        <v>0</v>
      </c>
      <c r="AY258" s="138" t="str">
        <f t="shared" ca="1" si="133"/>
        <v xml:space="preserve"> </v>
      </c>
      <c r="AZ258" s="107">
        <f t="shared" ca="1" si="134"/>
        <v>0</v>
      </c>
      <c r="BA258" s="107">
        <f ca="1">IF(AZ258=1,(SUM($AW$6:AW258,$AX$6:AX258)-SUM($BA$6:BA257)),0)</f>
        <v>0</v>
      </c>
      <c r="BB258" s="107"/>
      <c r="BC258" s="107">
        <f ca="1">AV258+SUM($AW$6:AW258)+SUM($AX$6:AX258)-SUM($BA$6:BA258)</f>
        <v>0</v>
      </c>
      <c r="BD258" s="107">
        <f t="shared" ca="1" si="135"/>
        <v>0</v>
      </c>
      <c r="BE258" s="51">
        <f ca="1">'PiT PD Structure'!J298</f>
        <v>3.0940182271652628E-3</v>
      </c>
      <c r="BF258" s="139">
        <f t="shared" ca="1" si="122"/>
        <v>0.45</v>
      </c>
      <c r="BG258" s="51">
        <f t="shared" ca="1" si="136"/>
        <v>1</v>
      </c>
      <c r="BH258" s="50">
        <f t="shared" ca="1" si="137"/>
        <v>0</v>
      </c>
      <c r="BI258" s="50">
        <f t="shared" ca="1" si="138"/>
        <v>3.4816594052244909E-13</v>
      </c>
      <c r="BJ258" s="140">
        <v>0</v>
      </c>
      <c r="BK258" s="140">
        <v>0</v>
      </c>
      <c r="BR258" s="75">
        <f t="shared" ca="1" si="97"/>
        <v>51135</v>
      </c>
      <c r="BS258" s="74">
        <f t="shared" ca="1" si="111"/>
        <v>12</v>
      </c>
      <c r="BT258" s="74">
        <f t="shared" ca="1" si="112"/>
        <v>0</v>
      </c>
      <c r="BU258" s="73" t="str">
        <f t="shared" ca="1" si="113"/>
        <v xml:space="preserve"> </v>
      </c>
      <c r="BW258" s="75">
        <f t="shared" ca="1" si="123"/>
        <v>51135</v>
      </c>
      <c r="BX258" s="74">
        <f t="shared" ca="1" si="124"/>
        <v>12</v>
      </c>
      <c r="BY258" s="74">
        <f t="shared" ca="1" si="114"/>
        <v>0</v>
      </c>
      <c r="BZ258" s="73" t="str">
        <f t="shared" ca="1" si="115"/>
        <v xml:space="preserve"> </v>
      </c>
      <c r="CB258" s="75">
        <f t="shared" ca="1" si="125"/>
        <v>51135</v>
      </c>
      <c r="CC258" s="74">
        <f t="shared" ca="1" si="139"/>
        <v>12</v>
      </c>
      <c r="CD258" s="74">
        <f t="shared" ca="1" si="117"/>
        <v>0</v>
      </c>
      <c r="CE258" s="73" t="str">
        <f t="shared" ca="1" si="140"/>
        <v xml:space="preserve"> </v>
      </c>
    </row>
    <row r="259" spans="1:83" x14ac:dyDescent="0.2">
      <c r="A259" s="38" t="str">
        <f t="shared" si="127"/>
        <v xml:space="preserve"> </v>
      </c>
      <c r="B259" s="108"/>
      <c r="C259" s="38"/>
      <c r="D259" s="137"/>
      <c r="E259" s="137"/>
      <c r="F259" s="137"/>
      <c r="G259" s="122"/>
      <c r="H259" s="137"/>
      <c r="I259" s="50"/>
      <c r="J259" s="50"/>
      <c r="K259" s="50"/>
      <c r="L259" s="38"/>
      <c r="M259" s="38"/>
      <c r="N259" s="38"/>
      <c r="O259" s="50"/>
      <c r="P259" s="218"/>
      <c r="Q259" s="50"/>
      <c r="R259" s="50"/>
      <c r="S259" s="38"/>
      <c r="T259" s="51"/>
      <c r="U259" s="65"/>
      <c r="V259" s="105"/>
      <c r="W259" s="66"/>
      <c r="X259" s="66"/>
      <c r="Y259" s="38"/>
      <c r="Z259" s="66">
        <f t="shared" si="98"/>
        <v>0</v>
      </c>
      <c r="AA259" s="67"/>
      <c r="AC259" s="41" t="e">
        <f>VLOOKUP(A259,'Input Sheet'!$A$2:$B$232,2,0)</f>
        <v>#N/A</v>
      </c>
      <c r="AD259" s="70"/>
      <c r="AI259" s="68"/>
      <c r="AL259" s="107">
        <f t="shared" ca="1" si="128"/>
        <v>0</v>
      </c>
      <c r="AM259" s="49">
        <f t="shared" ca="1" si="120"/>
        <v>51166</v>
      </c>
      <c r="AN259" s="137" t="str">
        <f t="shared" ca="1" si="129"/>
        <v xml:space="preserve"> </v>
      </c>
      <c r="AO259" s="107">
        <f t="shared" ca="1" si="107"/>
        <v>0</v>
      </c>
      <c r="AP259" s="143">
        <f t="shared" ca="1" si="99"/>
        <v>0</v>
      </c>
      <c r="AQ259" s="143">
        <f t="shared" ca="1" si="130"/>
        <v>0</v>
      </c>
      <c r="AR259" s="49" t="str">
        <f t="shared" ca="1" si="131"/>
        <v xml:space="preserve"> </v>
      </c>
      <c r="AS259" s="107">
        <f t="shared" ca="1" si="132"/>
        <v>0</v>
      </c>
      <c r="AT259" s="107">
        <f t="shared" ca="1" si="102"/>
        <v>0</v>
      </c>
      <c r="AU259" s="107"/>
      <c r="AV259" s="107">
        <f ca="1">MAX(SUM($AQ$6:AQ259)-SUM($AT$6:AT259),0)</f>
        <v>0</v>
      </c>
      <c r="AW259" s="107">
        <f t="shared" ca="1" si="121"/>
        <v>0</v>
      </c>
      <c r="AX259" s="107">
        <v>0</v>
      </c>
      <c r="AY259" s="138" t="str">
        <f t="shared" ca="1" si="133"/>
        <v xml:space="preserve"> </v>
      </c>
      <c r="AZ259" s="107">
        <f t="shared" ca="1" si="134"/>
        <v>0</v>
      </c>
      <c r="BA259" s="107">
        <f ca="1">IF(AZ259=1,(SUM($AW$6:AW259,$AX$6:AX259)-SUM($BA$6:BA258)),0)</f>
        <v>0</v>
      </c>
      <c r="BB259" s="107"/>
      <c r="BC259" s="107">
        <f ca="1">AV259+SUM($AW$6:AW259)+SUM($AX$6:AX259)-SUM($BA$6:BA259)</f>
        <v>0</v>
      </c>
      <c r="BD259" s="107">
        <f t="shared" ca="1" si="135"/>
        <v>0</v>
      </c>
      <c r="BE259" s="51">
        <f ca="1">'PiT PD Structure'!J299</f>
        <v>1.2622974489828742E-4</v>
      </c>
      <c r="BF259" s="139">
        <f t="shared" ca="1" si="122"/>
        <v>0.45</v>
      </c>
      <c r="BG259" s="51">
        <f t="shared" ca="1" si="136"/>
        <v>1</v>
      </c>
      <c r="BH259" s="50">
        <f t="shared" ca="1" si="137"/>
        <v>0</v>
      </c>
      <c r="BI259" s="50">
        <f t="shared" ca="1" si="138"/>
        <v>3.4816594052244909E-13</v>
      </c>
      <c r="BJ259" s="140">
        <v>0</v>
      </c>
      <c r="BK259" s="140">
        <v>0</v>
      </c>
      <c r="BR259" s="75">
        <f ca="1">EOMONTH(BR258,1)</f>
        <v>51166</v>
      </c>
      <c r="BS259" s="74">
        <f t="shared" ca="1" si="111"/>
        <v>1</v>
      </c>
      <c r="BT259" s="74">
        <f t="shared" ca="1" si="112"/>
        <v>0</v>
      </c>
      <c r="BU259" s="73" t="str">
        <f t="shared" ca="1" si="113"/>
        <v xml:space="preserve"> </v>
      </c>
      <c r="BW259" s="75">
        <f t="shared" ca="1" si="123"/>
        <v>51166</v>
      </c>
      <c r="BX259" s="74">
        <f t="shared" ca="1" si="124"/>
        <v>1</v>
      </c>
      <c r="BY259" s="74">
        <f t="shared" ca="1" si="114"/>
        <v>0</v>
      </c>
      <c r="BZ259" s="73" t="str">
        <f t="shared" ca="1" si="115"/>
        <v xml:space="preserve"> </v>
      </c>
      <c r="CB259" s="75">
        <f t="shared" ca="1" si="125"/>
        <v>51166</v>
      </c>
      <c r="CC259" s="74">
        <f t="shared" ca="1" si="139"/>
        <v>1</v>
      </c>
      <c r="CD259" s="74">
        <f t="shared" ca="1" si="117"/>
        <v>0</v>
      </c>
      <c r="CE259" s="73" t="str">
        <f t="shared" ca="1" si="140"/>
        <v xml:space="preserve"> </v>
      </c>
    </row>
    <row r="260" spans="1:83" x14ac:dyDescent="0.2">
      <c r="A260" s="38" t="str">
        <f t="shared" si="127"/>
        <v xml:space="preserve"> </v>
      </c>
      <c r="B260" s="108"/>
      <c r="C260" s="38"/>
      <c r="D260" s="137"/>
      <c r="E260" s="137"/>
      <c r="F260" s="137"/>
      <c r="G260" s="122"/>
      <c r="H260" s="137"/>
      <c r="I260" s="50"/>
      <c r="J260" s="50"/>
      <c r="K260" s="50"/>
      <c r="L260" s="38"/>
      <c r="M260" s="38"/>
      <c r="N260" s="38"/>
      <c r="O260" s="50"/>
      <c r="P260" s="218"/>
      <c r="Q260" s="50"/>
      <c r="R260" s="50"/>
      <c r="S260" s="38"/>
      <c r="T260" s="51"/>
      <c r="U260" s="65"/>
      <c r="V260" s="105"/>
      <c r="W260" s="66"/>
      <c r="X260" s="66"/>
      <c r="Y260" s="38"/>
      <c r="Z260" s="66">
        <f t="shared" si="98"/>
        <v>0</v>
      </c>
      <c r="AA260" s="67"/>
      <c r="AC260" s="41" t="e">
        <f>VLOOKUP(A260,'Input Sheet'!$A$2:$B$232,2,0)</f>
        <v>#N/A</v>
      </c>
      <c r="AD260" s="70"/>
      <c r="AI260" s="68"/>
      <c r="AL260" s="107">
        <f t="shared" ca="1" si="128"/>
        <v>0</v>
      </c>
      <c r="AM260" s="49">
        <f t="shared" ca="1" si="120"/>
        <v>51195</v>
      </c>
      <c r="AN260" s="137" t="str">
        <f t="shared" ca="1" si="129"/>
        <v xml:space="preserve"> </v>
      </c>
      <c r="AO260" s="107">
        <f t="shared" ca="1" si="107"/>
        <v>0</v>
      </c>
      <c r="AP260" s="143">
        <f t="shared" ca="1" si="99"/>
        <v>0</v>
      </c>
      <c r="AQ260" s="143">
        <f t="shared" ca="1" si="130"/>
        <v>0</v>
      </c>
      <c r="AR260" s="49" t="str">
        <f t="shared" ca="1" si="131"/>
        <v xml:space="preserve"> </v>
      </c>
      <c r="AS260" s="107">
        <f t="shared" ca="1" si="132"/>
        <v>0</v>
      </c>
      <c r="AT260" s="107">
        <f t="shared" ca="1" si="102"/>
        <v>0</v>
      </c>
      <c r="AU260" s="107"/>
      <c r="AV260" s="107">
        <f ca="1">MAX(SUM($AQ$6:AQ260)-SUM($AT$6:AT260),0)</f>
        <v>0</v>
      </c>
      <c r="AW260" s="107">
        <f t="shared" ca="1" si="121"/>
        <v>0</v>
      </c>
      <c r="AX260" s="107">
        <v>0</v>
      </c>
      <c r="AY260" s="138" t="str">
        <f t="shared" ca="1" si="133"/>
        <v xml:space="preserve"> </v>
      </c>
      <c r="AZ260" s="107">
        <f t="shared" ca="1" si="134"/>
        <v>0</v>
      </c>
      <c r="BA260" s="107">
        <f ca="1">IF(AZ260=1,(SUM($AW$6:AW260,$AX$6:AX260)-SUM($BA$6:BA259)),0)</f>
        <v>0</v>
      </c>
      <c r="BB260" s="107"/>
      <c r="BC260" s="107">
        <f ca="1">AV260+SUM($AW$6:AW260)+SUM($AX$6:AX260)-SUM($BA$6:BA260)</f>
        <v>0</v>
      </c>
      <c r="BD260" s="107">
        <f t="shared" ca="1" si="135"/>
        <v>0</v>
      </c>
      <c r="BE260" s="51">
        <f ca="1">'PiT PD Structure'!J300</f>
        <v>1.2621300220017062E-4</v>
      </c>
      <c r="BF260" s="139">
        <f t="shared" ca="1" si="122"/>
        <v>0.45</v>
      </c>
      <c r="BG260" s="51">
        <f t="shared" ca="1" si="136"/>
        <v>1</v>
      </c>
      <c r="BH260" s="50">
        <f t="shared" ca="1" si="137"/>
        <v>0</v>
      </c>
      <c r="BI260" s="50">
        <f t="shared" ca="1" si="138"/>
        <v>3.4816594052244909E-13</v>
      </c>
      <c r="BJ260" s="140">
        <v>0</v>
      </c>
      <c r="BK260" s="140">
        <v>0</v>
      </c>
      <c r="BR260" s="75">
        <f ca="1">EOMONTH(BR259,1)</f>
        <v>51195</v>
      </c>
      <c r="BS260" s="74">
        <f t="shared" ca="1" si="111"/>
        <v>2</v>
      </c>
      <c r="BT260" s="74">
        <f t="shared" ca="1" si="112"/>
        <v>0</v>
      </c>
      <c r="BU260" s="73" t="str">
        <f t="shared" ca="1" si="113"/>
        <v xml:space="preserve"> </v>
      </c>
      <c r="BW260" s="75">
        <f t="shared" ca="1" si="123"/>
        <v>51195</v>
      </c>
      <c r="BX260" s="74">
        <f t="shared" ca="1" si="124"/>
        <v>2</v>
      </c>
      <c r="BY260" s="74">
        <f t="shared" ca="1" si="114"/>
        <v>0</v>
      </c>
      <c r="BZ260" s="73" t="str">
        <f t="shared" ca="1" si="115"/>
        <v xml:space="preserve"> </v>
      </c>
      <c r="CB260" s="75">
        <f t="shared" ca="1" si="125"/>
        <v>51195</v>
      </c>
      <c r="CC260" s="74">
        <f t="shared" ca="1" si="139"/>
        <v>2</v>
      </c>
      <c r="CD260" s="74">
        <f t="shared" ca="1" si="117"/>
        <v>0</v>
      </c>
      <c r="CE260" s="73" t="str">
        <f t="shared" ca="1" si="140"/>
        <v xml:space="preserve"> </v>
      </c>
    </row>
    <row r="261" spans="1:83" x14ac:dyDescent="0.2">
      <c r="A261" s="38" t="str">
        <f t="shared" si="127"/>
        <v xml:space="preserve"> </v>
      </c>
      <c r="B261" s="108"/>
      <c r="C261" s="38"/>
      <c r="D261" s="137"/>
      <c r="E261" s="137"/>
      <c r="F261" s="137"/>
      <c r="G261" s="122"/>
      <c r="H261" s="137"/>
      <c r="I261" s="50"/>
      <c r="J261" s="50"/>
      <c r="K261" s="50"/>
      <c r="L261" s="38"/>
      <c r="M261" s="38"/>
      <c r="N261" s="38"/>
      <c r="O261" s="50"/>
      <c r="P261" s="218"/>
      <c r="Q261" s="50"/>
      <c r="R261" s="50"/>
      <c r="S261" s="38"/>
      <c r="T261" s="51"/>
      <c r="U261" s="65"/>
      <c r="V261" s="105"/>
      <c r="W261" s="66"/>
      <c r="X261" s="66"/>
      <c r="Y261" s="38"/>
      <c r="Z261" s="66">
        <f t="shared" ref="Z261:Z324" si="141">IF(Y261="Stage 1",X261,IF(Y261="Stage 2",W261,O261))</f>
        <v>0</v>
      </c>
      <c r="AA261" s="67"/>
      <c r="AC261" s="41" t="e">
        <f>VLOOKUP(A261,'Input Sheet'!$A$2:$B$232,2,0)</f>
        <v>#N/A</v>
      </c>
      <c r="AD261" s="70"/>
      <c r="AI261" s="68"/>
      <c r="AL261" s="107">
        <f t="shared" ca="1" si="128"/>
        <v>0</v>
      </c>
      <c r="AM261" s="49">
        <f t="shared" ca="1" si="120"/>
        <v>51226</v>
      </c>
      <c r="AN261" s="137" t="str">
        <f t="shared" ca="1" si="129"/>
        <v xml:space="preserve"> </v>
      </c>
      <c r="AO261" s="107">
        <f t="shared" ca="1" si="107"/>
        <v>0</v>
      </c>
      <c r="AP261" s="143">
        <f t="shared" ca="1" si="99"/>
        <v>0</v>
      </c>
      <c r="AQ261" s="143">
        <f t="shared" ca="1" si="130"/>
        <v>0</v>
      </c>
      <c r="AR261" s="49" t="str">
        <f t="shared" ca="1" si="131"/>
        <v xml:space="preserve"> </v>
      </c>
      <c r="AS261" s="107">
        <f t="shared" ca="1" si="132"/>
        <v>0</v>
      </c>
      <c r="AT261" s="107">
        <f t="shared" ca="1" si="102"/>
        <v>0</v>
      </c>
      <c r="AU261" s="107"/>
      <c r="AV261" s="107">
        <f ca="1">MAX(SUM($AQ$6:AQ261)-SUM($AT$6:AT261),0)</f>
        <v>0</v>
      </c>
      <c r="AW261" s="107">
        <f t="shared" ca="1" si="121"/>
        <v>0</v>
      </c>
      <c r="AX261" s="107">
        <v>0</v>
      </c>
      <c r="AY261" s="138" t="str">
        <f t="shared" ca="1" si="133"/>
        <v xml:space="preserve"> </v>
      </c>
      <c r="AZ261" s="107">
        <f t="shared" ca="1" si="134"/>
        <v>0</v>
      </c>
      <c r="BA261" s="107">
        <f ca="1">IF(AZ261=1,(SUM($AW$6:AW261,$AX$6:AX261)-SUM($BA$6:BA260)),0)</f>
        <v>0</v>
      </c>
      <c r="BB261" s="107"/>
      <c r="BC261" s="107">
        <f ca="1">AV261+SUM($AW$6:AW261)+SUM($AX$6:AX261)-SUM($BA$6:BA261)</f>
        <v>0</v>
      </c>
      <c r="BD261" s="107">
        <f t="shared" ca="1" si="135"/>
        <v>0</v>
      </c>
      <c r="BE261" s="51">
        <f ca="1">'PiT PD Structure'!J301</f>
        <v>1.2619626172283294E-4</v>
      </c>
      <c r="BF261" s="139">
        <f t="shared" ca="1" si="122"/>
        <v>0.45</v>
      </c>
      <c r="BG261" s="51">
        <f t="shared" ca="1" si="136"/>
        <v>1</v>
      </c>
      <c r="BH261" s="50">
        <f t="shared" ca="1" si="137"/>
        <v>0</v>
      </c>
      <c r="BI261" s="50">
        <f t="shared" ca="1" si="138"/>
        <v>3.4816594052244909E-13</v>
      </c>
      <c r="BJ261" s="140">
        <v>0</v>
      </c>
      <c r="BK261" s="140">
        <v>0</v>
      </c>
      <c r="BR261" s="75">
        <f ca="1">EOMONTH(BR260,1)</f>
        <v>51226</v>
      </c>
      <c r="BS261" s="74">
        <f t="shared" ca="1" si="111"/>
        <v>3</v>
      </c>
      <c r="BT261" s="74">
        <f t="shared" ca="1" si="112"/>
        <v>0</v>
      </c>
      <c r="BU261" s="73" t="str">
        <f t="shared" ca="1" si="113"/>
        <v xml:space="preserve"> </v>
      </c>
      <c r="BW261" s="75">
        <f t="shared" ca="1" si="123"/>
        <v>51226</v>
      </c>
      <c r="BX261" s="74">
        <f t="shared" ca="1" si="124"/>
        <v>3</v>
      </c>
      <c r="BY261" s="74">
        <f t="shared" ca="1" si="114"/>
        <v>0</v>
      </c>
      <c r="BZ261" s="73" t="str">
        <f t="shared" ca="1" si="115"/>
        <v xml:space="preserve"> </v>
      </c>
      <c r="CB261" s="75">
        <f t="shared" ca="1" si="125"/>
        <v>51226</v>
      </c>
      <c r="CC261" s="74">
        <f t="shared" ca="1" si="139"/>
        <v>3</v>
      </c>
      <c r="CD261" s="74">
        <f t="shared" ca="1" si="117"/>
        <v>0</v>
      </c>
      <c r="CE261" s="73" t="str">
        <f t="shared" ca="1" si="140"/>
        <v xml:space="preserve"> </v>
      </c>
    </row>
    <row r="262" spans="1:83" x14ac:dyDescent="0.2">
      <c r="A262" s="38" t="str">
        <f t="shared" si="127"/>
        <v xml:space="preserve"> </v>
      </c>
      <c r="B262" s="108"/>
      <c r="C262" s="38"/>
      <c r="D262" s="137"/>
      <c r="E262" s="137"/>
      <c r="F262" s="137"/>
      <c r="G262" s="122"/>
      <c r="H262" s="137"/>
      <c r="I262" s="50"/>
      <c r="J262" s="50"/>
      <c r="K262" s="50"/>
      <c r="L262" s="38"/>
      <c r="M262" s="38"/>
      <c r="N262" s="38"/>
      <c r="O262" s="50"/>
      <c r="P262" s="218"/>
      <c r="Q262" s="50"/>
      <c r="R262" s="50"/>
      <c r="S262" s="38"/>
      <c r="T262" s="51"/>
      <c r="U262" s="65"/>
      <c r="V262" s="105"/>
      <c r="W262" s="66"/>
      <c r="X262" s="66"/>
      <c r="Y262" s="38"/>
      <c r="Z262" s="66">
        <f t="shared" si="141"/>
        <v>0</v>
      </c>
      <c r="AA262" s="67"/>
      <c r="AC262" s="41" t="e">
        <f>VLOOKUP(A262,'Input Sheet'!$A$2:$B$232,2,0)</f>
        <v>#N/A</v>
      </c>
      <c r="AD262" s="70"/>
      <c r="AI262" s="68"/>
      <c r="AL262" s="107">
        <f t="shared" ca="1" si="128"/>
        <v>0</v>
      </c>
      <c r="AM262" s="49">
        <f t="shared" ca="1" si="120"/>
        <v>51256</v>
      </c>
      <c r="AN262" s="137" t="str">
        <f t="shared" ca="1" si="129"/>
        <v xml:space="preserve"> </v>
      </c>
      <c r="AO262" s="107">
        <f t="shared" ca="1" si="107"/>
        <v>0</v>
      </c>
      <c r="AP262" s="143">
        <f t="shared" ref="AP262:AP325" ca="1" si="142">AO262*$AV$2</f>
        <v>0</v>
      </c>
      <c r="AQ262" s="143">
        <f t="shared" ca="1" si="130"/>
        <v>0</v>
      </c>
      <c r="AR262" s="49" t="str">
        <f t="shared" ca="1" si="131"/>
        <v xml:space="preserve"> </v>
      </c>
      <c r="AS262" s="107">
        <f t="shared" ca="1" si="132"/>
        <v>0</v>
      </c>
      <c r="AT262" s="107">
        <f t="shared" ref="AT262:AT325" ca="1" si="143">AS262*$BI$2</f>
        <v>0</v>
      </c>
      <c r="AU262" s="107"/>
      <c r="AV262" s="107">
        <f ca="1">MAX(SUM($AQ$6:AQ262)-SUM($AT$6:AT262),0)</f>
        <v>0</v>
      </c>
      <c r="AW262" s="107">
        <f t="shared" ca="1" si="121"/>
        <v>0</v>
      </c>
      <c r="AX262" s="107">
        <v>0</v>
      </c>
      <c r="AY262" s="138" t="str">
        <f t="shared" ca="1" si="133"/>
        <v xml:space="preserve"> </v>
      </c>
      <c r="AZ262" s="107">
        <f t="shared" ca="1" si="134"/>
        <v>0</v>
      </c>
      <c r="BA262" s="107">
        <f ca="1">IF(AZ262=1,(SUM($AW$6:AW262,$AX$6:AX262)-SUM($BA$6:BA261)),0)</f>
        <v>0</v>
      </c>
      <c r="BB262" s="107"/>
      <c r="BC262" s="107">
        <f ca="1">AV262+SUM($AW$6:AW262)+SUM($AX$6:AX262)-SUM($BA$6:BA262)</f>
        <v>0</v>
      </c>
      <c r="BD262" s="107">
        <f t="shared" ca="1" si="135"/>
        <v>0</v>
      </c>
      <c r="BE262" s="51">
        <f ca="1">'PiT PD Structure'!J302</f>
        <v>1.261795234659413E-4</v>
      </c>
      <c r="BF262" s="139">
        <f t="shared" ca="1" si="122"/>
        <v>0.45</v>
      </c>
      <c r="BG262" s="51">
        <f t="shared" ca="1" si="136"/>
        <v>1</v>
      </c>
      <c r="BH262" s="50">
        <f t="shared" ca="1" si="137"/>
        <v>0</v>
      </c>
      <c r="BI262" s="50">
        <f t="shared" ca="1" si="138"/>
        <v>3.4816594052244909E-13</v>
      </c>
      <c r="BJ262" s="140">
        <v>0</v>
      </c>
      <c r="BK262" s="140">
        <v>0</v>
      </c>
      <c r="BR262" s="75">
        <f ca="1">EOMONTH(BR261,1)</f>
        <v>51256</v>
      </c>
      <c r="BS262" s="74">
        <f t="shared" ca="1" si="111"/>
        <v>4</v>
      </c>
      <c r="BT262" s="74">
        <f t="shared" ca="1" si="112"/>
        <v>0</v>
      </c>
      <c r="BU262" s="73" t="str">
        <f t="shared" ca="1" si="113"/>
        <v xml:space="preserve"> </v>
      </c>
      <c r="BW262" s="75">
        <f t="shared" ca="1" si="123"/>
        <v>51256</v>
      </c>
      <c r="BX262" s="74">
        <f t="shared" ca="1" si="124"/>
        <v>4</v>
      </c>
      <c r="BY262" s="74">
        <f t="shared" ca="1" si="114"/>
        <v>0</v>
      </c>
      <c r="BZ262" s="73" t="str">
        <f t="shared" ca="1" si="115"/>
        <v xml:space="preserve"> </v>
      </c>
      <c r="CB262" s="75">
        <f t="shared" ca="1" si="125"/>
        <v>51256</v>
      </c>
      <c r="CC262" s="74">
        <f t="shared" ca="1" si="139"/>
        <v>4</v>
      </c>
      <c r="CD262" s="74">
        <f t="shared" ca="1" si="117"/>
        <v>0</v>
      </c>
      <c r="CE262" s="73" t="str">
        <f t="shared" ca="1" si="140"/>
        <v xml:space="preserve"> </v>
      </c>
    </row>
    <row r="263" spans="1:83" x14ac:dyDescent="0.2">
      <c r="A263" s="38" t="str">
        <f t="shared" si="127"/>
        <v xml:space="preserve"> </v>
      </c>
      <c r="B263" s="108"/>
      <c r="C263" s="38"/>
      <c r="D263" s="137"/>
      <c r="E263" s="137"/>
      <c r="F263" s="137"/>
      <c r="G263" s="122"/>
      <c r="H263" s="137"/>
      <c r="I263" s="50"/>
      <c r="J263" s="50"/>
      <c r="K263" s="50"/>
      <c r="L263" s="38"/>
      <c r="M263" s="38"/>
      <c r="N263" s="38"/>
      <c r="O263" s="50"/>
      <c r="P263" s="218"/>
      <c r="Q263" s="50"/>
      <c r="R263" s="50"/>
      <c r="S263" s="38"/>
      <c r="T263" s="51"/>
      <c r="U263" s="65"/>
      <c r="V263" s="105"/>
      <c r="W263" s="66"/>
      <c r="X263" s="66"/>
      <c r="Y263" s="38"/>
      <c r="Z263" s="66">
        <f t="shared" si="141"/>
        <v>0</v>
      </c>
      <c r="AA263" s="67"/>
      <c r="AC263" s="41" t="e">
        <f>VLOOKUP(A263,'Input Sheet'!$A$2:$B$232,2,0)</f>
        <v>#N/A</v>
      </c>
      <c r="AD263" s="70"/>
      <c r="AI263" s="68"/>
      <c r="AL263" s="107">
        <f t="shared" ca="1" si="128"/>
        <v>0</v>
      </c>
      <c r="AM263" s="49">
        <f t="shared" ca="1" si="120"/>
        <v>51287</v>
      </c>
      <c r="AN263" s="137" t="str">
        <f t="shared" ca="1" si="129"/>
        <v xml:space="preserve"> </v>
      </c>
      <c r="AO263" s="107">
        <f t="shared" ref="AO263:AO326" ca="1" si="144">IF(EOMONTH(AM263,0)=EOMONTH($AN$2,12),1,0)</f>
        <v>0</v>
      </c>
      <c r="AP263" s="143">
        <f t="shared" ca="1" si="142"/>
        <v>0</v>
      </c>
      <c r="AQ263" s="143">
        <f t="shared" ca="1" si="130"/>
        <v>0</v>
      </c>
      <c r="AR263" s="49" t="str">
        <f t="shared" ca="1" si="131"/>
        <v xml:space="preserve"> </v>
      </c>
      <c r="AS263" s="107">
        <f t="shared" ca="1" si="132"/>
        <v>0</v>
      </c>
      <c r="AT263" s="107">
        <f t="shared" ca="1" si="143"/>
        <v>0</v>
      </c>
      <c r="AU263" s="107"/>
      <c r="AV263" s="107">
        <f ca="1">MAX(SUM($AQ$6:AQ263)-SUM($AT$6:AT263),0)</f>
        <v>0</v>
      </c>
      <c r="AW263" s="107">
        <f t="shared" ca="1" si="121"/>
        <v>0</v>
      </c>
      <c r="AX263" s="107">
        <v>0</v>
      </c>
      <c r="AY263" s="138" t="str">
        <f t="shared" ca="1" si="133"/>
        <v xml:space="preserve"> </v>
      </c>
      <c r="AZ263" s="107">
        <f t="shared" ca="1" si="134"/>
        <v>0</v>
      </c>
      <c r="BA263" s="107">
        <f ca="1">IF(AZ263=1,(SUM($AW$6:AW263,$AX$6:AX263)-SUM($BA$6:BA262)),0)</f>
        <v>0</v>
      </c>
      <c r="BB263" s="107"/>
      <c r="BC263" s="107">
        <f ca="1">AV263+SUM($AW$6:AW263)+SUM($AX$6:AX263)-SUM($BA$6:BA263)</f>
        <v>0</v>
      </c>
      <c r="BD263" s="107">
        <f t="shared" ca="1" si="135"/>
        <v>0</v>
      </c>
      <c r="BE263" s="51">
        <f ca="1">'PiT PD Structure'!J303</f>
        <v>1.2616278742905163E-4</v>
      </c>
      <c r="BF263" s="139">
        <f t="shared" ca="1" si="122"/>
        <v>0.45</v>
      </c>
      <c r="BG263" s="51">
        <f t="shared" ca="1" si="136"/>
        <v>1</v>
      </c>
      <c r="BH263" s="50">
        <f t="shared" ca="1" si="137"/>
        <v>0</v>
      </c>
      <c r="BI263" s="50">
        <f t="shared" ca="1" si="138"/>
        <v>3.4816594052244909E-13</v>
      </c>
      <c r="BJ263" s="140">
        <v>0</v>
      </c>
      <c r="BK263" s="140">
        <v>0</v>
      </c>
      <c r="BR263" s="75">
        <f ca="1">EOMONTH(BR262,1)</f>
        <v>51287</v>
      </c>
      <c r="BS263" s="74">
        <f ca="1">MONTH(BR263)</f>
        <v>5</v>
      </c>
      <c r="BT263" s="74">
        <f t="shared" ref="BT263:BT326" ca="1" si="145">IF(EOMONTH(BR263,0)&gt;EOMONTH($AR$2,0),0,IF(EOMONTH(BR263,0)&gt;=EOMONTH($AO$2,0),(IF($BS$3=1,IF(MONTH($AO$2)=BS263,1,0),IF($BS$3=2,IF(OR(MONTH($AO$2)=BS263,MONTH($AO$2)+6=BS263,MONTH($AO$2)-6=BS263),1,0),IF($BS$3=4,IF(OR(MONTH($AO$2)=BS263,MONTH($AO$2)+3=BS263,MONTH($AO$2)+6=BS263,MONTH($AO$2)+9=BS263,MONTH($AO$2)-9=BS263,MONTH($AO$2)-3=BS263,MONTH($AO$2)-6=BS263),1,0),IF($BS$3=6,IF(OR(MONTH($AO$2)=BS263,MONTH($AO$2)+2=BS263,MONTH($AO$2)+4=BS263,MONTH($AO$2)+6=BS263,MONTH($AO$2)+8=BS263,MONTH($AO$2)+10=BS263,MONTH($AO$2)-2=BS263,MONTH($AO$2)-4=BS263,MONTH($AO$2)-6=BS263,MONTH($AO$2)-8=BS263,MONTH($AO$2)-10=BS263),1,0),IF($BS$3=12,1,IF(AND($BS$3=0,EOMONTH(BR263,0)=EOMONTH($AR$2,0)),1,0))))))),0))</f>
        <v>0</v>
      </c>
      <c r="BU263" s="73" t="str">
        <f ca="1">IF(BT263=1,BR263," ")</f>
        <v xml:space="preserve"> </v>
      </c>
      <c r="BW263" s="75">
        <f t="shared" ca="1" si="123"/>
        <v>51287</v>
      </c>
      <c r="BX263" s="74">
        <f t="shared" ca="1" si="124"/>
        <v>5</v>
      </c>
      <c r="BY263" s="74">
        <f t="shared" ref="BY263:BY326" ca="1" si="146">IF(EOMONTH(BW263,0)&gt;EOMONTH($AR$2,0),0,IF(EOMONTH(BW263,0)&gt;=EOMONTH($AP$2,0),(IF($BX$3=1,IF(MONTH($AP$2)=BX263,1,0),IF($BX$3=2,IF(OR(MONTH($AP$2)=BX263,MONTH($AP$2)+6=BX263,MONTH($AP$2)-6=BX263),1,0),IF($BX$3=4,IF(OR(MONTH($AP$2)=BX263,MONTH($AP$2)+3=BX263,MONTH($AP$2)+6=BX263,MONTH($AP$2)+9=BX263,MONTH($AP$2)-9=BX263,MONTH($AP$2)-3=BX263,MONTH($AP$2)-6=BX263),1,0),IF($BX$3=6,IF(OR(MONTH($AP$2)=BX263,MONTH($AP$2)+2=BX263,MONTH($AP$2)+4=BX263,MONTH($AP$2)+6=BX263,MONTH($AP$2)+8=BX263,MONTH($AP$2)+10=BX263,MONTH($AP$2)-2=BX263,MONTH($AP$2)-4=BX263,MONTH($AP$2)-6=BX263,MONTH($AP$2)-8=BX263,MONTH($AP$2)-10=BX263),1,0),IF($BX$3=12,1,IF(AND($BX$3=0,EOMONTH(BW263,0)=EOMONTH($AR$2,0)),1,0))))))),0))</f>
        <v>0</v>
      </c>
      <c r="BZ263" s="73" t="str">
        <f ca="1">IF(BY263=1,BW263," ")</f>
        <v xml:space="preserve"> </v>
      </c>
      <c r="CB263" s="75">
        <f t="shared" ca="1" si="125"/>
        <v>51287</v>
      </c>
      <c r="CC263" s="74">
        <f t="shared" ca="1" si="139"/>
        <v>5</v>
      </c>
      <c r="CD263" s="74">
        <f t="shared" ref="CD263:CD326" ca="1" si="147">IF(EOMONTH(CB263,0)&gt;EOMONTH($AR$2,0),0,IF(EOMONTH(BR263,0)&gt;=EOMONTH($AO$2,0),IF($CC$3=1,IF(MONTH($AO$2)=CC263,1,0),IF($CC$3=2,IF(OR(MONTH($AO$2)=CC263,MONTH($AO$2)+6=CC263),1,0),IF($CC$3=4,IF(OR(MONTH($AO$2)=CC263,MONTH($AO$2)+3=CC263,MONTH($AO$2)+6=CC263,MONTH($AO$2)+9=CC263,MONTH($AO$2)-9=CC263,MONTH($AO$2)-3=CC263,MONTH($AO$2)-6=CC263),1,0),IF($CC$3=6,IF(OR(MONTH($AO$2)=CC263,MONTH($AO$2)+2=CC263,MONTH($AO$2)+4=CC263,MONTH($AO$2)+6=CC263,MONTH($AO$2)+8=CC263,MONTH($AO$2)+10=CC263,MONTH($AO$2)-2=CC263,MONTH($AO$2)-4=CC263,MONTH($AO$2)-6=CC263,MONTH($AO$2)-8=CC263,MONTH($AO$2)-10=CC263),1,0),IF($CC$3=12,1,IF(AND($CC$3=0,EOMONTH(CB263,0)=EOMONTH($AR$2,0)),1,0)))))),0))</f>
        <v>0</v>
      </c>
      <c r="CE263" s="73" t="str">
        <f t="shared" ca="1" si="140"/>
        <v xml:space="preserve"> </v>
      </c>
    </row>
    <row r="264" spans="1:83" x14ac:dyDescent="0.2">
      <c r="A264" s="38" t="str">
        <f t="shared" si="127"/>
        <v xml:space="preserve"> </v>
      </c>
      <c r="B264" s="108"/>
      <c r="C264" s="38"/>
      <c r="D264" s="137"/>
      <c r="E264" s="137"/>
      <c r="F264" s="137"/>
      <c r="G264" s="122"/>
      <c r="H264" s="137"/>
      <c r="I264" s="50"/>
      <c r="J264" s="50"/>
      <c r="K264" s="50"/>
      <c r="L264" s="38"/>
      <c r="M264" s="38"/>
      <c r="N264" s="38"/>
      <c r="O264" s="50"/>
      <c r="P264" s="218"/>
      <c r="Q264" s="50"/>
      <c r="R264" s="50"/>
      <c r="S264" s="38"/>
      <c r="T264" s="51"/>
      <c r="U264" s="65"/>
      <c r="V264" s="105"/>
      <c r="W264" s="66"/>
      <c r="X264" s="66"/>
      <c r="Y264" s="38"/>
      <c r="Z264" s="66">
        <f t="shared" si="141"/>
        <v>0</v>
      </c>
      <c r="AA264" s="67"/>
      <c r="AC264" s="41" t="e">
        <f>VLOOKUP(A264,'Input Sheet'!$A$2:$B$232,2,0)</f>
        <v>#N/A</v>
      </c>
      <c r="AD264" s="70"/>
      <c r="AI264" s="68"/>
      <c r="AL264" s="107">
        <f t="shared" ca="1" si="128"/>
        <v>0</v>
      </c>
      <c r="AM264" s="49">
        <f t="shared" ref="AM264:AM327" ca="1" si="148">EOMONTH(AM263,1)</f>
        <v>51317</v>
      </c>
      <c r="AN264" s="137" t="str">
        <f t="shared" ca="1" si="129"/>
        <v xml:space="preserve"> </v>
      </c>
      <c r="AO264" s="107">
        <f t="shared" ca="1" si="144"/>
        <v>0</v>
      </c>
      <c r="AP264" s="143">
        <f t="shared" ca="1" si="142"/>
        <v>0</v>
      </c>
      <c r="AQ264" s="143">
        <f t="shared" ca="1" si="130"/>
        <v>0</v>
      </c>
      <c r="AR264" s="49" t="str">
        <f t="shared" ca="1" si="131"/>
        <v xml:space="preserve"> </v>
      </c>
      <c r="AS264" s="107">
        <f t="shared" ca="1" si="132"/>
        <v>0</v>
      </c>
      <c r="AT264" s="107">
        <f t="shared" ca="1" si="143"/>
        <v>0</v>
      </c>
      <c r="AU264" s="107"/>
      <c r="AV264" s="107">
        <f ca="1">MAX(SUM($AQ$6:AQ264)-SUM($AT$6:AT264),0)</f>
        <v>0</v>
      </c>
      <c r="AW264" s="107">
        <f t="shared" ref="AW264:AW327" ca="1" si="149">IFERROR(IF(AND(AV263&gt;0,AM264&lt;=$AR$2),(AV263*($AZ$2*(DATEDIF(AM264,$AR$2,"d")/365)))/(DATEDIF(AM264,$AR$2,"m")),0),0)</f>
        <v>0</v>
      </c>
      <c r="AX264" s="107">
        <v>0</v>
      </c>
      <c r="AY264" s="138" t="str">
        <f t="shared" ca="1" si="133"/>
        <v xml:space="preserve"> </v>
      </c>
      <c r="AZ264" s="107">
        <f t="shared" ca="1" si="134"/>
        <v>0</v>
      </c>
      <c r="BA264" s="107">
        <f ca="1">IF(AZ264=1,(SUM($AW$6:AW264,$AX$6:AX264)-SUM($BA$6:BA263)),0)</f>
        <v>0</v>
      </c>
      <c r="BB264" s="107"/>
      <c r="BC264" s="107">
        <f ca="1">AV264+SUM($AW$6:AW264)+SUM($AX$6:AX264)-SUM($BA$6:BA264)</f>
        <v>0</v>
      </c>
      <c r="BD264" s="107">
        <f t="shared" ca="1" si="135"/>
        <v>0</v>
      </c>
      <c r="BE264" s="51">
        <f ca="1">'PiT PD Structure'!J304</f>
        <v>1.2614605361194187E-4</v>
      </c>
      <c r="BF264" s="139">
        <f t="shared" ref="BF264:BF327" ca="1" si="150">BF263</f>
        <v>0.45</v>
      </c>
      <c r="BG264" s="51">
        <f t="shared" ca="1" si="136"/>
        <v>1</v>
      </c>
      <c r="BH264" s="50">
        <f t="shared" ca="1" si="137"/>
        <v>0</v>
      </c>
      <c r="BI264" s="50">
        <f t="shared" ca="1" si="138"/>
        <v>3.4816594052244909E-13</v>
      </c>
      <c r="BJ264" s="140">
        <v>0</v>
      </c>
      <c r="BK264" s="140">
        <v>0</v>
      </c>
      <c r="BR264" s="75">
        <f t="shared" ref="BR264:BR327" ca="1" si="151">EOMONTH(BR263,1)</f>
        <v>51317</v>
      </c>
      <c r="BS264" s="74">
        <f t="shared" ref="BS264:BS293" ca="1" si="152">MONTH(BR264)</f>
        <v>6</v>
      </c>
      <c r="BT264" s="74">
        <f t="shared" ca="1" si="145"/>
        <v>0</v>
      </c>
      <c r="BU264" s="73" t="str">
        <f t="shared" ref="BU264:BU293" ca="1" si="153">IF(BT264=1,BR264," ")</f>
        <v xml:space="preserve"> </v>
      </c>
      <c r="BW264" s="75">
        <f t="shared" ref="BW264:BW293" ca="1" si="154">EOMONTH(BR263,1)</f>
        <v>51317</v>
      </c>
      <c r="BX264" s="74">
        <f t="shared" ref="BX264:BX293" ca="1" si="155">MONTH(BR264)</f>
        <v>6</v>
      </c>
      <c r="BY264" s="74">
        <f t="shared" ca="1" si="146"/>
        <v>0</v>
      </c>
      <c r="BZ264" s="73" t="str">
        <f t="shared" ref="BZ264:BZ293" ca="1" si="156">IF(BY264=1,BW264," ")</f>
        <v xml:space="preserve"> </v>
      </c>
      <c r="CB264" s="75">
        <f t="shared" ref="CB264:CB327" ca="1" si="157">EOMONTH(CB263,1)</f>
        <v>51317</v>
      </c>
      <c r="CC264" s="74">
        <f t="shared" ca="1" si="139"/>
        <v>6</v>
      </c>
      <c r="CD264" s="74">
        <f t="shared" ca="1" si="147"/>
        <v>0</v>
      </c>
      <c r="CE264" s="73" t="str">
        <f t="shared" ca="1" si="140"/>
        <v xml:space="preserve"> </v>
      </c>
    </row>
    <row r="265" spans="1:83" x14ac:dyDescent="0.2">
      <c r="A265" s="38" t="str">
        <f t="shared" si="127"/>
        <v xml:space="preserve"> </v>
      </c>
      <c r="B265" s="108"/>
      <c r="C265" s="38"/>
      <c r="D265" s="137"/>
      <c r="E265" s="137"/>
      <c r="F265" s="137"/>
      <c r="G265" s="122"/>
      <c r="H265" s="137"/>
      <c r="I265" s="50"/>
      <c r="J265" s="50"/>
      <c r="K265" s="50"/>
      <c r="L265" s="38"/>
      <c r="M265" s="38"/>
      <c r="N265" s="38"/>
      <c r="O265" s="50"/>
      <c r="P265" s="218"/>
      <c r="Q265" s="50"/>
      <c r="R265" s="50"/>
      <c r="S265" s="38"/>
      <c r="T265" s="51"/>
      <c r="U265" s="65"/>
      <c r="V265" s="105"/>
      <c r="W265" s="66"/>
      <c r="X265" s="66"/>
      <c r="Y265" s="38"/>
      <c r="Z265" s="66">
        <f t="shared" si="141"/>
        <v>0</v>
      </c>
      <c r="AA265" s="67"/>
      <c r="AC265" s="41" t="e">
        <f>VLOOKUP(A265,'Input Sheet'!$A$2:$B$232,2,0)</f>
        <v>#N/A</v>
      </c>
      <c r="AD265" s="70"/>
      <c r="AI265" s="68"/>
      <c r="AL265" s="107">
        <f t="shared" ca="1" si="128"/>
        <v>0</v>
      </c>
      <c r="AM265" s="49">
        <f t="shared" ca="1" si="148"/>
        <v>51348</v>
      </c>
      <c r="AN265" s="137" t="str">
        <f t="shared" ca="1" si="129"/>
        <v xml:space="preserve"> </v>
      </c>
      <c r="AO265" s="107">
        <f t="shared" ca="1" si="144"/>
        <v>0</v>
      </c>
      <c r="AP265" s="143">
        <f t="shared" ca="1" si="142"/>
        <v>0</v>
      </c>
      <c r="AQ265" s="143">
        <f t="shared" ca="1" si="130"/>
        <v>0</v>
      </c>
      <c r="AR265" s="49" t="str">
        <f t="shared" ca="1" si="131"/>
        <v xml:space="preserve"> </v>
      </c>
      <c r="AS265" s="107">
        <f t="shared" ca="1" si="132"/>
        <v>0</v>
      </c>
      <c r="AT265" s="107">
        <f t="shared" ca="1" si="143"/>
        <v>0</v>
      </c>
      <c r="AU265" s="107"/>
      <c r="AV265" s="107">
        <f ca="1">MAX(SUM($AQ$6:AQ265)-SUM($AT$6:AT265),0)</f>
        <v>0</v>
      </c>
      <c r="AW265" s="107">
        <f t="shared" ca="1" si="149"/>
        <v>0</v>
      </c>
      <c r="AX265" s="107">
        <v>0</v>
      </c>
      <c r="AY265" s="138" t="str">
        <f t="shared" ca="1" si="133"/>
        <v xml:space="preserve"> </v>
      </c>
      <c r="AZ265" s="107">
        <f t="shared" ca="1" si="134"/>
        <v>0</v>
      </c>
      <c r="BA265" s="107">
        <f ca="1">IF(AZ265=1,(SUM($AW$6:AW265,$AX$6:AX265)-SUM($BA$6:BA264)),0)</f>
        <v>0</v>
      </c>
      <c r="BB265" s="107"/>
      <c r="BC265" s="107">
        <f ca="1">AV265+SUM($AW$6:AW265)+SUM($AX$6:AX265)-SUM($BA$6:BA265)</f>
        <v>0</v>
      </c>
      <c r="BD265" s="107">
        <f t="shared" ca="1" si="135"/>
        <v>0</v>
      </c>
      <c r="BE265" s="51">
        <f ca="1">'PiT PD Structure'!J305</f>
        <v>1.26129322014501E-4</v>
      </c>
      <c r="BF265" s="139">
        <f t="shared" ca="1" si="150"/>
        <v>0.45</v>
      </c>
      <c r="BG265" s="51">
        <f t="shared" ca="1" si="136"/>
        <v>1</v>
      </c>
      <c r="BH265" s="50">
        <f t="shared" ca="1" si="137"/>
        <v>0</v>
      </c>
      <c r="BI265" s="50">
        <f t="shared" ca="1" si="138"/>
        <v>3.4816594052244909E-13</v>
      </c>
      <c r="BJ265" s="140">
        <v>0</v>
      </c>
      <c r="BK265" s="140">
        <v>0</v>
      </c>
      <c r="BR265" s="75">
        <f t="shared" ca="1" si="151"/>
        <v>51348</v>
      </c>
      <c r="BS265" s="74">
        <f t="shared" ca="1" si="152"/>
        <v>7</v>
      </c>
      <c r="BT265" s="74">
        <f t="shared" ca="1" si="145"/>
        <v>0</v>
      </c>
      <c r="BU265" s="73" t="str">
        <f t="shared" ca="1" si="153"/>
        <v xml:space="preserve"> </v>
      </c>
      <c r="BW265" s="75">
        <f t="shared" ca="1" si="154"/>
        <v>51348</v>
      </c>
      <c r="BX265" s="74">
        <f t="shared" ca="1" si="155"/>
        <v>7</v>
      </c>
      <c r="BY265" s="74">
        <f t="shared" ca="1" si="146"/>
        <v>0</v>
      </c>
      <c r="BZ265" s="73" t="str">
        <f t="shared" ca="1" si="156"/>
        <v xml:space="preserve"> </v>
      </c>
      <c r="CB265" s="75">
        <f t="shared" ca="1" si="157"/>
        <v>51348</v>
      </c>
      <c r="CC265" s="74">
        <f t="shared" ca="1" si="139"/>
        <v>7</v>
      </c>
      <c r="CD265" s="74">
        <f t="shared" ca="1" si="147"/>
        <v>0</v>
      </c>
      <c r="CE265" s="73" t="str">
        <f t="shared" ca="1" si="140"/>
        <v xml:space="preserve"> </v>
      </c>
    </row>
    <row r="266" spans="1:83" x14ac:dyDescent="0.2">
      <c r="A266" s="38" t="str">
        <f t="shared" ref="A266:A329" si="158">IF(B266=0," ",A265+1)</f>
        <v xml:space="preserve"> </v>
      </c>
      <c r="B266" s="108"/>
      <c r="C266" s="38"/>
      <c r="D266" s="137"/>
      <c r="E266" s="137"/>
      <c r="F266" s="137"/>
      <c r="G266" s="122"/>
      <c r="H266" s="137"/>
      <c r="I266" s="50"/>
      <c r="J266" s="50"/>
      <c r="K266" s="50"/>
      <c r="L266" s="38"/>
      <c r="M266" s="38"/>
      <c r="N266" s="38"/>
      <c r="O266" s="50"/>
      <c r="P266" s="218"/>
      <c r="Q266" s="50"/>
      <c r="R266" s="50"/>
      <c r="S266" s="38"/>
      <c r="T266" s="51"/>
      <c r="U266" s="65"/>
      <c r="V266" s="105"/>
      <c r="W266" s="66"/>
      <c r="X266" s="66"/>
      <c r="Y266" s="38"/>
      <c r="Z266" s="66">
        <f t="shared" si="141"/>
        <v>0</v>
      </c>
      <c r="AA266" s="67"/>
      <c r="AC266" s="41" t="e">
        <f>VLOOKUP(A266,'Input Sheet'!$A$2:$B$232,2,0)</f>
        <v>#N/A</v>
      </c>
      <c r="AD266" s="70"/>
      <c r="AI266" s="68"/>
      <c r="AL266" s="107">
        <f t="shared" ca="1" si="128"/>
        <v>0</v>
      </c>
      <c r="AM266" s="49">
        <f t="shared" ca="1" si="148"/>
        <v>51379</v>
      </c>
      <c r="AN266" s="137" t="str">
        <f t="shared" ca="1" si="129"/>
        <v xml:space="preserve"> </v>
      </c>
      <c r="AO266" s="107">
        <f t="shared" ca="1" si="144"/>
        <v>0</v>
      </c>
      <c r="AP266" s="143">
        <f t="shared" ca="1" si="142"/>
        <v>0</v>
      </c>
      <c r="AQ266" s="143">
        <f t="shared" ca="1" si="130"/>
        <v>0</v>
      </c>
      <c r="AR266" s="49" t="str">
        <f t="shared" ca="1" si="131"/>
        <v xml:space="preserve"> </v>
      </c>
      <c r="AS266" s="107">
        <f t="shared" ca="1" si="132"/>
        <v>0</v>
      </c>
      <c r="AT266" s="107">
        <f t="shared" ca="1" si="143"/>
        <v>0</v>
      </c>
      <c r="AU266" s="107"/>
      <c r="AV266" s="107">
        <f ca="1">MAX(SUM($AQ$6:AQ266)-SUM($AT$6:AT266),0)</f>
        <v>0</v>
      </c>
      <c r="AW266" s="107">
        <f t="shared" ca="1" si="149"/>
        <v>0</v>
      </c>
      <c r="AX266" s="107">
        <v>0</v>
      </c>
      <c r="AY266" s="138" t="str">
        <f t="shared" ca="1" si="133"/>
        <v xml:space="preserve"> </v>
      </c>
      <c r="AZ266" s="107">
        <f t="shared" ca="1" si="134"/>
        <v>0</v>
      </c>
      <c r="BA266" s="107">
        <f ca="1">IF(AZ266=1,(SUM($AW$6:AW266,$AX$6:AX266)-SUM($BA$6:BA265)),0)</f>
        <v>0</v>
      </c>
      <c r="BB266" s="107"/>
      <c r="BC266" s="107">
        <f ca="1">AV266+SUM($AW$6:AW266)+SUM($AX$6:AX266)-SUM($BA$6:BA266)</f>
        <v>0</v>
      </c>
      <c r="BD266" s="107">
        <f t="shared" ca="1" si="135"/>
        <v>0</v>
      </c>
      <c r="BE266" s="51">
        <f ca="1">'PiT PD Structure'!J306</f>
        <v>1.2611259263617391E-4</v>
      </c>
      <c r="BF266" s="139">
        <f t="shared" ca="1" si="150"/>
        <v>0.45</v>
      </c>
      <c r="BG266" s="51">
        <f t="shared" ca="1" si="136"/>
        <v>1</v>
      </c>
      <c r="BH266" s="50">
        <f t="shared" ca="1" si="137"/>
        <v>0</v>
      </c>
      <c r="BI266" s="50">
        <f t="shared" ca="1" si="138"/>
        <v>3.4816594052244909E-13</v>
      </c>
      <c r="BJ266" s="140">
        <v>0</v>
      </c>
      <c r="BK266" s="140">
        <v>0</v>
      </c>
      <c r="BR266" s="75">
        <f t="shared" ca="1" si="151"/>
        <v>51379</v>
      </c>
      <c r="BS266" s="74">
        <f t="shared" ca="1" si="152"/>
        <v>8</v>
      </c>
      <c r="BT266" s="74">
        <f t="shared" ca="1" si="145"/>
        <v>0</v>
      </c>
      <c r="BU266" s="73" t="str">
        <f t="shared" ca="1" si="153"/>
        <v xml:space="preserve"> </v>
      </c>
      <c r="BW266" s="75">
        <f t="shared" ca="1" si="154"/>
        <v>51379</v>
      </c>
      <c r="BX266" s="74">
        <f t="shared" ca="1" si="155"/>
        <v>8</v>
      </c>
      <c r="BY266" s="74">
        <f t="shared" ca="1" si="146"/>
        <v>0</v>
      </c>
      <c r="BZ266" s="73" t="str">
        <f t="shared" ca="1" si="156"/>
        <v xml:space="preserve"> </v>
      </c>
      <c r="CB266" s="75">
        <f t="shared" ca="1" si="157"/>
        <v>51379</v>
      </c>
      <c r="CC266" s="74">
        <f t="shared" ca="1" si="139"/>
        <v>8</v>
      </c>
      <c r="CD266" s="74">
        <f t="shared" ca="1" si="147"/>
        <v>0</v>
      </c>
      <c r="CE266" s="73" t="str">
        <f t="shared" ca="1" si="140"/>
        <v xml:space="preserve"> </v>
      </c>
    </row>
    <row r="267" spans="1:83" x14ac:dyDescent="0.2">
      <c r="A267" s="38" t="str">
        <f t="shared" si="158"/>
        <v xml:space="preserve"> </v>
      </c>
      <c r="B267" s="108"/>
      <c r="C267" s="38"/>
      <c r="D267" s="137"/>
      <c r="E267" s="137"/>
      <c r="F267" s="137"/>
      <c r="G267" s="122"/>
      <c r="H267" s="137"/>
      <c r="I267" s="50"/>
      <c r="J267" s="50"/>
      <c r="K267" s="50"/>
      <c r="L267" s="38"/>
      <c r="M267" s="38"/>
      <c r="N267" s="38"/>
      <c r="O267" s="50"/>
      <c r="P267" s="218"/>
      <c r="Q267" s="50"/>
      <c r="R267" s="50"/>
      <c r="S267" s="38"/>
      <c r="T267" s="51"/>
      <c r="U267" s="65"/>
      <c r="V267" s="105"/>
      <c r="W267" s="66"/>
      <c r="X267" s="66"/>
      <c r="Y267" s="38"/>
      <c r="Z267" s="66">
        <f t="shared" si="141"/>
        <v>0</v>
      </c>
      <c r="AA267" s="67"/>
      <c r="AC267" s="41" t="e">
        <f>VLOOKUP(A267,'Input Sheet'!$A$2:$B$232,2,0)</f>
        <v>#N/A</v>
      </c>
      <c r="AD267" s="70"/>
      <c r="AI267" s="68"/>
      <c r="AL267" s="107">
        <f t="shared" ca="1" si="128"/>
        <v>0</v>
      </c>
      <c r="AM267" s="49">
        <f t="shared" ca="1" si="148"/>
        <v>51409</v>
      </c>
      <c r="AN267" s="137" t="str">
        <f t="shared" ca="1" si="129"/>
        <v xml:space="preserve"> </v>
      </c>
      <c r="AO267" s="107">
        <f t="shared" ca="1" si="144"/>
        <v>0</v>
      </c>
      <c r="AP267" s="143">
        <f t="shared" ca="1" si="142"/>
        <v>0</v>
      </c>
      <c r="AQ267" s="143">
        <f t="shared" ca="1" si="130"/>
        <v>0</v>
      </c>
      <c r="AR267" s="49" t="str">
        <f t="shared" ca="1" si="131"/>
        <v xml:space="preserve"> </v>
      </c>
      <c r="AS267" s="107">
        <f t="shared" ca="1" si="132"/>
        <v>0</v>
      </c>
      <c r="AT267" s="107">
        <f t="shared" ca="1" si="143"/>
        <v>0</v>
      </c>
      <c r="AU267" s="107"/>
      <c r="AV267" s="107">
        <f ca="1">MAX(SUM($AQ$6:AQ267)-SUM($AT$6:AT267),0)</f>
        <v>0</v>
      </c>
      <c r="AW267" s="107">
        <f t="shared" ca="1" si="149"/>
        <v>0</v>
      </c>
      <c r="AX267" s="107">
        <v>0</v>
      </c>
      <c r="AY267" s="138" t="str">
        <f t="shared" ca="1" si="133"/>
        <v xml:space="preserve"> </v>
      </c>
      <c r="AZ267" s="107">
        <f t="shared" ca="1" si="134"/>
        <v>0</v>
      </c>
      <c r="BA267" s="107">
        <f ca="1">IF(AZ267=1,(SUM($AW$6:AW267,$AX$6:AX267)-SUM($BA$6:BA266)),0)</f>
        <v>0</v>
      </c>
      <c r="BB267" s="107"/>
      <c r="BC267" s="107">
        <f ca="1">AV267+SUM($AW$6:AW267)+SUM($AX$6:AX267)-SUM($BA$6:BA267)</f>
        <v>0</v>
      </c>
      <c r="BD267" s="107">
        <f t="shared" ca="1" si="135"/>
        <v>0</v>
      </c>
      <c r="BE267" s="51">
        <f ca="1">'PiT PD Structure'!J307</f>
        <v>1.2609586547684959E-4</v>
      </c>
      <c r="BF267" s="139">
        <f t="shared" ca="1" si="150"/>
        <v>0.45</v>
      </c>
      <c r="BG267" s="51">
        <f t="shared" ca="1" si="136"/>
        <v>1</v>
      </c>
      <c r="BH267" s="50">
        <f t="shared" ca="1" si="137"/>
        <v>0</v>
      </c>
      <c r="BI267" s="50">
        <f t="shared" ca="1" si="138"/>
        <v>3.4816594052244909E-13</v>
      </c>
      <c r="BJ267" s="140">
        <v>0</v>
      </c>
      <c r="BK267" s="140">
        <v>0</v>
      </c>
      <c r="BR267" s="75">
        <f t="shared" ca="1" si="151"/>
        <v>51409</v>
      </c>
      <c r="BS267" s="74">
        <f t="shared" ca="1" si="152"/>
        <v>9</v>
      </c>
      <c r="BT267" s="74">
        <f t="shared" ca="1" si="145"/>
        <v>0</v>
      </c>
      <c r="BU267" s="73" t="str">
        <f t="shared" ca="1" si="153"/>
        <v xml:space="preserve"> </v>
      </c>
      <c r="BW267" s="75">
        <f t="shared" ca="1" si="154"/>
        <v>51409</v>
      </c>
      <c r="BX267" s="74">
        <f t="shared" ca="1" si="155"/>
        <v>9</v>
      </c>
      <c r="BY267" s="74">
        <f t="shared" ca="1" si="146"/>
        <v>0</v>
      </c>
      <c r="BZ267" s="73" t="str">
        <f t="shared" ca="1" si="156"/>
        <v xml:space="preserve"> </v>
      </c>
      <c r="CB267" s="75">
        <f t="shared" ca="1" si="157"/>
        <v>51409</v>
      </c>
      <c r="CC267" s="74">
        <f t="shared" ca="1" si="139"/>
        <v>9</v>
      </c>
      <c r="CD267" s="74">
        <f t="shared" ca="1" si="147"/>
        <v>0</v>
      </c>
      <c r="CE267" s="73" t="str">
        <f t="shared" ca="1" si="140"/>
        <v xml:space="preserve"> </v>
      </c>
    </row>
    <row r="268" spans="1:83" x14ac:dyDescent="0.2">
      <c r="A268" s="38" t="str">
        <f t="shared" si="158"/>
        <v xml:space="preserve"> </v>
      </c>
      <c r="B268" s="108"/>
      <c r="C268" s="38"/>
      <c r="D268" s="137"/>
      <c r="E268" s="137"/>
      <c r="F268" s="137"/>
      <c r="G268" s="122"/>
      <c r="H268" s="137"/>
      <c r="I268" s="50"/>
      <c r="J268" s="50"/>
      <c r="K268" s="50"/>
      <c r="L268" s="38"/>
      <c r="M268" s="38"/>
      <c r="N268" s="38"/>
      <c r="O268" s="50"/>
      <c r="P268" s="218"/>
      <c r="Q268" s="50"/>
      <c r="R268" s="50"/>
      <c r="S268" s="38"/>
      <c r="T268" s="51"/>
      <c r="U268" s="65"/>
      <c r="V268" s="105"/>
      <c r="W268" s="66"/>
      <c r="X268" s="66"/>
      <c r="Y268" s="38"/>
      <c r="Z268" s="66">
        <f t="shared" si="141"/>
        <v>0</v>
      </c>
      <c r="AA268" s="67"/>
      <c r="AC268" s="41" t="e">
        <f>VLOOKUP(A268,'Input Sheet'!$A$2:$B$232,2,0)</f>
        <v>#N/A</v>
      </c>
      <c r="AD268" s="70"/>
      <c r="AI268" s="68"/>
      <c r="AL268" s="107">
        <f t="shared" ca="1" si="128"/>
        <v>0</v>
      </c>
      <c r="AM268" s="49">
        <f t="shared" ca="1" si="148"/>
        <v>51440</v>
      </c>
      <c r="AN268" s="137" t="str">
        <f t="shared" ca="1" si="129"/>
        <v xml:space="preserve"> </v>
      </c>
      <c r="AO268" s="107">
        <f t="shared" ca="1" si="144"/>
        <v>0</v>
      </c>
      <c r="AP268" s="143">
        <f t="shared" ca="1" si="142"/>
        <v>0</v>
      </c>
      <c r="AQ268" s="143">
        <f t="shared" ca="1" si="130"/>
        <v>0</v>
      </c>
      <c r="AR268" s="49" t="str">
        <f t="shared" ca="1" si="131"/>
        <v xml:space="preserve"> </v>
      </c>
      <c r="AS268" s="107">
        <f t="shared" ca="1" si="132"/>
        <v>0</v>
      </c>
      <c r="AT268" s="107">
        <f t="shared" ca="1" si="143"/>
        <v>0</v>
      </c>
      <c r="AU268" s="107"/>
      <c r="AV268" s="107">
        <f ca="1">MAX(SUM($AQ$6:AQ268)-SUM($AT$6:AT268),0)</f>
        <v>0</v>
      </c>
      <c r="AW268" s="107">
        <f t="shared" ca="1" si="149"/>
        <v>0</v>
      </c>
      <c r="AX268" s="107">
        <v>0</v>
      </c>
      <c r="AY268" s="138" t="str">
        <f t="shared" ca="1" si="133"/>
        <v xml:space="preserve"> </v>
      </c>
      <c r="AZ268" s="107">
        <f t="shared" ca="1" si="134"/>
        <v>0</v>
      </c>
      <c r="BA268" s="107">
        <f ca="1">IF(AZ268=1,(SUM($AW$6:AW268,$AX$6:AX268)-SUM($BA$6:BA267)),0)</f>
        <v>0</v>
      </c>
      <c r="BB268" s="107"/>
      <c r="BC268" s="107">
        <f ca="1">AV268+SUM($AW$6:AW268)+SUM($AX$6:AX268)-SUM($BA$6:BA268)</f>
        <v>0</v>
      </c>
      <c r="BD268" s="107">
        <f t="shared" ca="1" si="135"/>
        <v>0</v>
      </c>
      <c r="BE268" s="51">
        <f ca="1">'PiT PD Structure'!J308</f>
        <v>1.2607914053608393E-4</v>
      </c>
      <c r="BF268" s="139">
        <f t="shared" ca="1" si="150"/>
        <v>0.45</v>
      </c>
      <c r="BG268" s="51">
        <f t="shared" ca="1" si="136"/>
        <v>1</v>
      </c>
      <c r="BH268" s="50">
        <f t="shared" ca="1" si="137"/>
        <v>0</v>
      </c>
      <c r="BI268" s="50">
        <f t="shared" ca="1" si="138"/>
        <v>3.4816594052244909E-13</v>
      </c>
      <c r="BJ268" s="140">
        <v>0</v>
      </c>
      <c r="BK268" s="140">
        <v>0</v>
      </c>
      <c r="BR268" s="75">
        <f t="shared" ca="1" si="151"/>
        <v>51440</v>
      </c>
      <c r="BS268" s="74">
        <f t="shared" ca="1" si="152"/>
        <v>10</v>
      </c>
      <c r="BT268" s="74">
        <f t="shared" ca="1" si="145"/>
        <v>0</v>
      </c>
      <c r="BU268" s="73" t="str">
        <f t="shared" ca="1" si="153"/>
        <v xml:space="preserve"> </v>
      </c>
      <c r="BW268" s="75">
        <f t="shared" ca="1" si="154"/>
        <v>51440</v>
      </c>
      <c r="BX268" s="74">
        <f t="shared" ca="1" si="155"/>
        <v>10</v>
      </c>
      <c r="BY268" s="74">
        <f t="shared" ca="1" si="146"/>
        <v>0</v>
      </c>
      <c r="BZ268" s="73" t="str">
        <f t="shared" ca="1" si="156"/>
        <v xml:space="preserve"> </v>
      </c>
      <c r="CB268" s="75">
        <f t="shared" ca="1" si="157"/>
        <v>51440</v>
      </c>
      <c r="CC268" s="74">
        <f t="shared" ca="1" si="139"/>
        <v>10</v>
      </c>
      <c r="CD268" s="74">
        <f t="shared" ca="1" si="147"/>
        <v>0</v>
      </c>
      <c r="CE268" s="73" t="str">
        <f t="shared" ca="1" si="140"/>
        <v xml:space="preserve"> </v>
      </c>
    </row>
    <row r="269" spans="1:83" x14ac:dyDescent="0.2">
      <c r="A269" s="38" t="str">
        <f t="shared" si="158"/>
        <v xml:space="preserve"> </v>
      </c>
      <c r="B269" s="108"/>
      <c r="C269" s="38"/>
      <c r="D269" s="137"/>
      <c r="E269" s="137"/>
      <c r="F269" s="137"/>
      <c r="G269" s="122"/>
      <c r="H269" s="137"/>
      <c r="I269" s="50"/>
      <c r="J269" s="50"/>
      <c r="K269" s="50"/>
      <c r="L269" s="38"/>
      <c r="M269" s="38"/>
      <c r="N269" s="38"/>
      <c r="O269" s="50"/>
      <c r="P269" s="218"/>
      <c r="Q269" s="50"/>
      <c r="R269" s="50"/>
      <c r="S269" s="38"/>
      <c r="T269" s="51"/>
      <c r="U269" s="65"/>
      <c r="V269" s="105"/>
      <c r="W269" s="66"/>
      <c r="X269" s="66"/>
      <c r="Y269" s="38"/>
      <c r="Z269" s="66">
        <f t="shared" si="141"/>
        <v>0</v>
      </c>
      <c r="AA269" s="67"/>
      <c r="AC269" s="41" t="e">
        <f>VLOOKUP(A269,'Input Sheet'!$A$2:$B$232,2,0)</f>
        <v>#N/A</v>
      </c>
      <c r="AD269" s="70"/>
      <c r="AI269" s="68"/>
      <c r="AL269" s="107">
        <f t="shared" ca="1" si="128"/>
        <v>0</v>
      </c>
      <c r="AM269" s="49">
        <f t="shared" ca="1" si="148"/>
        <v>51470</v>
      </c>
      <c r="AN269" s="137" t="str">
        <f t="shared" ca="1" si="129"/>
        <v xml:space="preserve"> </v>
      </c>
      <c r="AO269" s="107">
        <f t="shared" ca="1" si="144"/>
        <v>0</v>
      </c>
      <c r="AP269" s="143">
        <f t="shared" ca="1" si="142"/>
        <v>0</v>
      </c>
      <c r="AQ269" s="143">
        <f t="shared" ca="1" si="130"/>
        <v>0</v>
      </c>
      <c r="AR269" s="49" t="str">
        <f t="shared" ca="1" si="131"/>
        <v xml:space="preserve"> </v>
      </c>
      <c r="AS269" s="107">
        <f t="shared" ca="1" si="132"/>
        <v>0</v>
      </c>
      <c r="AT269" s="107">
        <f t="shared" ca="1" si="143"/>
        <v>0</v>
      </c>
      <c r="AU269" s="107"/>
      <c r="AV269" s="107">
        <f ca="1">MAX(SUM($AQ$6:AQ269)-SUM($AT$6:AT269),0)</f>
        <v>0</v>
      </c>
      <c r="AW269" s="107">
        <f t="shared" ca="1" si="149"/>
        <v>0</v>
      </c>
      <c r="AX269" s="107">
        <v>0</v>
      </c>
      <c r="AY269" s="138" t="str">
        <f t="shared" ca="1" si="133"/>
        <v xml:space="preserve"> </v>
      </c>
      <c r="AZ269" s="107">
        <f t="shared" ca="1" si="134"/>
        <v>0</v>
      </c>
      <c r="BA269" s="107">
        <f ca="1">IF(AZ269=1,(SUM($AW$6:AW269,$AX$6:AX269)-SUM($BA$6:BA268)),0)</f>
        <v>0</v>
      </c>
      <c r="BB269" s="107"/>
      <c r="BC269" s="107">
        <f ca="1">AV269+SUM($AW$6:AW269)+SUM($AX$6:AX269)-SUM($BA$6:BA269)</f>
        <v>0</v>
      </c>
      <c r="BD269" s="107">
        <f t="shared" ca="1" si="135"/>
        <v>0</v>
      </c>
      <c r="BE269" s="51">
        <f ca="1">'PiT PD Structure'!J309</f>
        <v>1.260624178136549E-4</v>
      </c>
      <c r="BF269" s="139">
        <f t="shared" ca="1" si="150"/>
        <v>0.45</v>
      </c>
      <c r="BG269" s="51">
        <f t="shared" ca="1" si="136"/>
        <v>1</v>
      </c>
      <c r="BH269" s="50">
        <f t="shared" ca="1" si="137"/>
        <v>0</v>
      </c>
      <c r="BI269" s="50">
        <f t="shared" ca="1" si="138"/>
        <v>3.4816594052244909E-13</v>
      </c>
      <c r="BJ269" s="140">
        <v>0</v>
      </c>
      <c r="BK269" s="140">
        <v>0</v>
      </c>
      <c r="BR269" s="75">
        <f t="shared" ca="1" si="151"/>
        <v>51470</v>
      </c>
      <c r="BS269" s="74">
        <f t="shared" ca="1" si="152"/>
        <v>11</v>
      </c>
      <c r="BT269" s="74">
        <f t="shared" ca="1" si="145"/>
        <v>0</v>
      </c>
      <c r="BU269" s="73" t="str">
        <f t="shared" ca="1" si="153"/>
        <v xml:space="preserve"> </v>
      </c>
      <c r="BW269" s="75">
        <f t="shared" ca="1" si="154"/>
        <v>51470</v>
      </c>
      <c r="BX269" s="74">
        <f t="shared" ca="1" si="155"/>
        <v>11</v>
      </c>
      <c r="BY269" s="74">
        <f t="shared" ca="1" si="146"/>
        <v>0</v>
      </c>
      <c r="BZ269" s="73" t="str">
        <f t="shared" ca="1" si="156"/>
        <v xml:space="preserve"> </v>
      </c>
      <c r="CB269" s="75">
        <f t="shared" ca="1" si="157"/>
        <v>51470</v>
      </c>
      <c r="CC269" s="74">
        <f t="shared" ca="1" si="139"/>
        <v>11</v>
      </c>
      <c r="CD269" s="74">
        <f t="shared" ca="1" si="147"/>
        <v>0</v>
      </c>
      <c r="CE269" s="73" t="str">
        <f t="shared" ca="1" si="140"/>
        <v xml:space="preserve"> </v>
      </c>
    </row>
    <row r="270" spans="1:83" x14ac:dyDescent="0.2">
      <c r="A270" s="38" t="str">
        <f t="shared" si="158"/>
        <v xml:space="preserve"> </v>
      </c>
      <c r="B270" s="108"/>
      <c r="C270" s="38"/>
      <c r="D270" s="137"/>
      <c r="E270" s="137"/>
      <c r="F270" s="137"/>
      <c r="G270" s="122"/>
      <c r="H270" s="137"/>
      <c r="I270" s="50"/>
      <c r="J270" s="50"/>
      <c r="K270" s="50"/>
      <c r="L270" s="38"/>
      <c r="M270" s="38"/>
      <c r="N270" s="38"/>
      <c r="O270" s="50"/>
      <c r="P270" s="218"/>
      <c r="Q270" s="50"/>
      <c r="R270" s="50"/>
      <c r="S270" s="38"/>
      <c r="T270" s="51"/>
      <c r="U270" s="65"/>
      <c r="V270" s="105"/>
      <c r="W270" s="66"/>
      <c r="X270" s="66"/>
      <c r="Y270" s="38"/>
      <c r="Z270" s="66">
        <f t="shared" si="141"/>
        <v>0</v>
      </c>
      <c r="AA270" s="67"/>
      <c r="AC270" s="41" t="e">
        <f>VLOOKUP(A270,'Input Sheet'!$A$2:$B$232,2,0)</f>
        <v>#N/A</v>
      </c>
      <c r="AD270" s="70"/>
      <c r="AI270" s="68"/>
      <c r="AL270" s="107">
        <f t="shared" ca="1" si="128"/>
        <v>0</v>
      </c>
      <c r="AM270" s="49">
        <f t="shared" ca="1" si="148"/>
        <v>51501</v>
      </c>
      <c r="AN270" s="137" t="str">
        <f t="shared" ca="1" si="129"/>
        <v xml:space="preserve"> </v>
      </c>
      <c r="AO270" s="107">
        <f t="shared" ca="1" si="144"/>
        <v>0</v>
      </c>
      <c r="AP270" s="143">
        <f t="shared" ca="1" si="142"/>
        <v>0</v>
      </c>
      <c r="AQ270" s="143">
        <f t="shared" ca="1" si="130"/>
        <v>0</v>
      </c>
      <c r="AR270" s="49" t="str">
        <f t="shared" ca="1" si="131"/>
        <v xml:space="preserve"> </v>
      </c>
      <c r="AS270" s="107">
        <f t="shared" ca="1" si="132"/>
        <v>0</v>
      </c>
      <c r="AT270" s="107">
        <f t="shared" ca="1" si="143"/>
        <v>0</v>
      </c>
      <c r="AU270" s="107"/>
      <c r="AV270" s="107">
        <f ca="1">MAX(SUM($AQ$6:AQ270)-SUM($AT$6:AT270),0)</f>
        <v>0</v>
      </c>
      <c r="AW270" s="107">
        <f t="shared" ca="1" si="149"/>
        <v>0</v>
      </c>
      <c r="AX270" s="107">
        <v>0</v>
      </c>
      <c r="AY270" s="138" t="str">
        <f t="shared" ca="1" si="133"/>
        <v xml:space="preserve"> </v>
      </c>
      <c r="AZ270" s="107">
        <f t="shared" ca="1" si="134"/>
        <v>0</v>
      </c>
      <c r="BA270" s="107">
        <f ca="1">IF(AZ270=1,(SUM($AW$6:AW270,$AX$6:AX270)-SUM($BA$6:BA269)),0)</f>
        <v>0</v>
      </c>
      <c r="BB270" s="107"/>
      <c r="BC270" s="107">
        <f ca="1">AV270+SUM($AW$6:AW270)+SUM($AX$6:AX270)-SUM($BA$6:BA270)</f>
        <v>0</v>
      </c>
      <c r="BD270" s="107">
        <f t="shared" ca="1" si="135"/>
        <v>0</v>
      </c>
      <c r="BE270" s="51">
        <f ca="1">'PiT PD Structure'!J310</f>
        <v>3.2309177072918915E-3</v>
      </c>
      <c r="BF270" s="139">
        <f t="shared" ca="1" si="150"/>
        <v>0.45</v>
      </c>
      <c r="BG270" s="51">
        <f t="shared" ca="1" si="136"/>
        <v>1</v>
      </c>
      <c r="BH270" s="50">
        <f t="shared" ca="1" si="137"/>
        <v>0</v>
      </c>
      <c r="BI270" s="50">
        <f t="shared" ca="1" si="138"/>
        <v>3.4816594052244909E-13</v>
      </c>
      <c r="BJ270" s="140">
        <v>0</v>
      </c>
      <c r="BK270" s="140">
        <v>0</v>
      </c>
      <c r="BR270" s="75">
        <f t="shared" ca="1" si="151"/>
        <v>51501</v>
      </c>
      <c r="BS270" s="74">
        <f t="shared" ca="1" si="152"/>
        <v>12</v>
      </c>
      <c r="BT270" s="74">
        <f t="shared" ca="1" si="145"/>
        <v>0</v>
      </c>
      <c r="BU270" s="73" t="str">
        <f t="shared" ca="1" si="153"/>
        <v xml:space="preserve"> </v>
      </c>
      <c r="BW270" s="75">
        <f t="shared" ca="1" si="154"/>
        <v>51501</v>
      </c>
      <c r="BX270" s="74">
        <f t="shared" ca="1" si="155"/>
        <v>12</v>
      </c>
      <c r="BY270" s="74">
        <f t="shared" ca="1" si="146"/>
        <v>0</v>
      </c>
      <c r="BZ270" s="73" t="str">
        <f t="shared" ca="1" si="156"/>
        <v xml:space="preserve"> </v>
      </c>
      <c r="CB270" s="75">
        <f t="shared" ca="1" si="157"/>
        <v>51501</v>
      </c>
      <c r="CC270" s="74">
        <f t="shared" ca="1" si="139"/>
        <v>12</v>
      </c>
      <c r="CD270" s="74">
        <f t="shared" ca="1" si="147"/>
        <v>0</v>
      </c>
      <c r="CE270" s="73" t="str">
        <f t="shared" ca="1" si="140"/>
        <v xml:space="preserve"> </v>
      </c>
    </row>
    <row r="271" spans="1:83" x14ac:dyDescent="0.2">
      <c r="A271" s="38" t="str">
        <f t="shared" si="158"/>
        <v xml:space="preserve"> </v>
      </c>
      <c r="B271" s="108"/>
      <c r="C271" s="38"/>
      <c r="D271" s="137"/>
      <c r="E271" s="137"/>
      <c r="F271" s="137"/>
      <c r="G271" s="122"/>
      <c r="H271" s="137"/>
      <c r="I271" s="50"/>
      <c r="J271" s="50"/>
      <c r="K271" s="50"/>
      <c r="L271" s="38"/>
      <c r="M271" s="38"/>
      <c r="N271" s="38"/>
      <c r="O271" s="50"/>
      <c r="P271" s="218"/>
      <c r="Q271" s="50"/>
      <c r="R271" s="50"/>
      <c r="S271" s="38"/>
      <c r="T271" s="51"/>
      <c r="U271" s="65"/>
      <c r="V271" s="105"/>
      <c r="W271" s="66"/>
      <c r="X271" s="66"/>
      <c r="Y271" s="38"/>
      <c r="Z271" s="66">
        <f t="shared" si="141"/>
        <v>0</v>
      </c>
      <c r="AA271" s="67"/>
      <c r="AC271" s="41" t="e">
        <f>VLOOKUP(A271,'Input Sheet'!$A$2:$B$232,2,0)</f>
        <v>#N/A</v>
      </c>
      <c r="AD271" s="70"/>
      <c r="AI271" s="68"/>
      <c r="AL271" s="107">
        <f t="shared" ca="1" si="128"/>
        <v>0</v>
      </c>
      <c r="AM271" s="49">
        <f t="shared" ca="1" si="148"/>
        <v>51532</v>
      </c>
      <c r="AN271" s="137" t="str">
        <f t="shared" ca="1" si="129"/>
        <v xml:space="preserve"> </v>
      </c>
      <c r="AO271" s="107">
        <f t="shared" ca="1" si="144"/>
        <v>0</v>
      </c>
      <c r="AP271" s="143">
        <f t="shared" ca="1" si="142"/>
        <v>0</v>
      </c>
      <c r="AQ271" s="143">
        <f t="shared" ca="1" si="130"/>
        <v>0</v>
      </c>
      <c r="AR271" s="49" t="str">
        <f t="shared" ca="1" si="131"/>
        <v xml:space="preserve"> </v>
      </c>
      <c r="AS271" s="107">
        <f t="shared" ca="1" si="132"/>
        <v>0</v>
      </c>
      <c r="AT271" s="107">
        <f t="shared" ca="1" si="143"/>
        <v>0</v>
      </c>
      <c r="AU271" s="107"/>
      <c r="AV271" s="107">
        <f ca="1">MAX(SUM($AQ$6:AQ271)-SUM($AT$6:AT271),0)</f>
        <v>0</v>
      </c>
      <c r="AW271" s="107">
        <f t="shared" ca="1" si="149"/>
        <v>0</v>
      </c>
      <c r="AX271" s="107">
        <v>0</v>
      </c>
      <c r="AY271" s="138" t="str">
        <f t="shared" ca="1" si="133"/>
        <v xml:space="preserve"> </v>
      </c>
      <c r="AZ271" s="107">
        <f t="shared" ca="1" si="134"/>
        <v>0</v>
      </c>
      <c r="BA271" s="107">
        <f ca="1">IF(AZ271=1,(SUM($AW$6:AW271,$AX$6:AX271)-SUM($BA$6:BA270)),0)</f>
        <v>0</v>
      </c>
      <c r="BB271" s="107"/>
      <c r="BC271" s="107">
        <f ca="1">AV271+SUM($AW$6:AW271)+SUM($AX$6:AX271)-SUM($BA$6:BA271)</f>
        <v>0</v>
      </c>
      <c r="BD271" s="107">
        <f t="shared" ca="1" si="135"/>
        <v>0</v>
      </c>
      <c r="BE271" s="51">
        <f ca="1">'PiT PD Structure'!J311</f>
        <v>1.3190993082934366E-4</v>
      </c>
      <c r="BF271" s="139">
        <f t="shared" ca="1" si="150"/>
        <v>0.45</v>
      </c>
      <c r="BG271" s="51">
        <f t="shared" ca="1" si="136"/>
        <v>1</v>
      </c>
      <c r="BH271" s="50">
        <f t="shared" ca="1" si="137"/>
        <v>0</v>
      </c>
      <c r="BI271" s="50">
        <f t="shared" ca="1" si="138"/>
        <v>3.4816594052244909E-13</v>
      </c>
      <c r="BJ271" s="140">
        <v>0</v>
      </c>
      <c r="BK271" s="140">
        <v>0</v>
      </c>
      <c r="BR271" s="75">
        <f t="shared" ca="1" si="151"/>
        <v>51532</v>
      </c>
      <c r="BS271" s="74">
        <f t="shared" ca="1" si="152"/>
        <v>1</v>
      </c>
      <c r="BT271" s="74">
        <f t="shared" ca="1" si="145"/>
        <v>0</v>
      </c>
      <c r="BU271" s="73" t="str">
        <f t="shared" ca="1" si="153"/>
        <v xml:space="preserve"> </v>
      </c>
      <c r="BW271" s="75">
        <f t="shared" ca="1" si="154"/>
        <v>51532</v>
      </c>
      <c r="BX271" s="74">
        <f t="shared" ca="1" si="155"/>
        <v>1</v>
      </c>
      <c r="BY271" s="74">
        <f t="shared" ca="1" si="146"/>
        <v>0</v>
      </c>
      <c r="BZ271" s="73" t="str">
        <f t="shared" ca="1" si="156"/>
        <v xml:space="preserve"> </v>
      </c>
      <c r="CB271" s="75">
        <f t="shared" ca="1" si="157"/>
        <v>51532</v>
      </c>
      <c r="CC271" s="74">
        <f t="shared" ca="1" si="139"/>
        <v>1</v>
      </c>
      <c r="CD271" s="74">
        <f t="shared" ca="1" si="147"/>
        <v>0</v>
      </c>
      <c r="CE271" s="73" t="str">
        <f t="shared" ca="1" si="140"/>
        <v xml:space="preserve"> </v>
      </c>
    </row>
    <row r="272" spans="1:83" x14ac:dyDescent="0.2">
      <c r="A272" s="38" t="str">
        <f t="shared" si="158"/>
        <v xml:space="preserve"> </v>
      </c>
      <c r="B272" s="108"/>
      <c r="C272" s="38"/>
      <c r="D272" s="137"/>
      <c r="E272" s="137"/>
      <c r="F272" s="137"/>
      <c r="G272" s="122"/>
      <c r="H272" s="137"/>
      <c r="I272" s="50"/>
      <c r="J272" s="50"/>
      <c r="K272" s="50"/>
      <c r="L272" s="38"/>
      <c r="M272" s="38"/>
      <c r="N272" s="38"/>
      <c r="O272" s="50"/>
      <c r="P272" s="218"/>
      <c r="Q272" s="50"/>
      <c r="R272" s="50"/>
      <c r="S272" s="38"/>
      <c r="T272" s="51"/>
      <c r="U272" s="65"/>
      <c r="V272" s="105"/>
      <c r="W272" s="66"/>
      <c r="X272" s="66"/>
      <c r="Y272" s="38"/>
      <c r="Z272" s="66">
        <f t="shared" si="141"/>
        <v>0</v>
      </c>
      <c r="AA272" s="67"/>
      <c r="AC272" s="41" t="e">
        <f>VLOOKUP(A272,'Input Sheet'!$A$2:$B$232,2,0)</f>
        <v>#N/A</v>
      </c>
      <c r="AD272" s="70"/>
      <c r="AI272" s="68"/>
      <c r="AL272" s="107">
        <f t="shared" ca="1" si="128"/>
        <v>0</v>
      </c>
      <c r="AM272" s="49">
        <f t="shared" ca="1" si="148"/>
        <v>51560</v>
      </c>
      <c r="AN272" s="137" t="str">
        <f t="shared" ca="1" si="129"/>
        <v xml:space="preserve"> </v>
      </c>
      <c r="AO272" s="107">
        <f t="shared" ca="1" si="144"/>
        <v>0</v>
      </c>
      <c r="AP272" s="143">
        <f t="shared" ca="1" si="142"/>
        <v>0</v>
      </c>
      <c r="AQ272" s="143">
        <f t="shared" ca="1" si="130"/>
        <v>0</v>
      </c>
      <c r="AR272" s="49" t="str">
        <f t="shared" ca="1" si="131"/>
        <v xml:space="preserve"> </v>
      </c>
      <c r="AS272" s="107">
        <f t="shared" ca="1" si="132"/>
        <v>0</v>
      </c>
      <c r="AT272" s="107">
        <f t="shared" ca="1" si="143"/>
        <v>0</v>
      </c>
      <c r="AU272" s="107"/>
      <c r="AV272" s="107">
        <f ca="1">MAX(SUM($AQ$6:AQ272)-SUM($AT$6:AT272),0)</f>
        <v>0</v>
      </c>
      <c r="AW272" s="107">
        <f t="shared" ca="1" si="149"/>
        <v>0</v>
      </c>
      <c r="AX272" s="107">
        <v>0</v>
      </c>
      <c r="AY272" s="138" t="str">
        <f t="shared" ca="1" si="133"/>
        <v xml:space="preserve"> </v>
      </c>
      <c r="AZ272" s="107">
        <f t="shared" ca="1" si="134"/>
        <v>0</v>
      </c>
      <c r="BA272" s="107">
        <f ca="1">IF(AZ272=1,(SUM($AW$6:AW272,$AX$6:AX272)-SUM($BA$6:BA271)),0)</f>
        <v>0</v>
      </c>
      <c r="BB272" s="107"/>
      <c r="BC272" s="107">
        <f ca="1">AV272+SUM($AW$6:AW272)+SUM($AX$6:AX272)-SUM($BA$6:BA272)</f>
        <v>0</v>
      </c>
      <c r="BD272" s="107">
        <f t="shared" ca="1" si="135"/>
        <v>0</v>
      </c>
      <c r="BE272" s="51">
        <f ca="1">'PiT PD Structure'!J312</f>
        <v>1.3189155826598409E-4</v>
      </c>
      <c r="BF272" s="139">
        <f t="shared" ca="1" si="150"/>
        <v>0.45</v>
      </c>
      <c r="BG272" s="51">
        <f t="shared" ca="1" si="136"/>
        <v>1</v>
      </c>
      <c r="BH272" s="50">
        <f t="shared" ca="1" si="137"/>
        <v>0</v>
      </c>
      <c r="BI272" s="50">
        <f t="shared" ca="1" si="138"/>
        <v>3.4816594052244909E-13</v>
      </c>
      <c r="BJ272" s="140">
        <v>0</v>
      </c>
      <c r="BK272" s="140">
        <v>0</v>
      </c>
      <c r="BR272" s="75">
        <f t="shared" ca="1" si="151"/>
        <v>51560</v>
      </c>
      <c r="BS272" s="74">
        <f t="shared" ca="1" si="152"/>
        <v>2</v>
      </c>
      <c r="BT272" s="74">
        <f t="shared" ca="1" si="145"/>
        <v>0</v>
      </c>
      <c r="BU272" s="73" t="str">
        <f t="shared" ca="1" si="153"/>
        <v xml:space="preserve"> </v>
      </c>
      <c r="BW272" s="75">
        <f t="shared" ca="1" si="154"/>
        <v>51560</v>
      </c>
      <c r="BX272" s="74">
        <f t="shared" ca="1" si="155"/>
        <v>2</v>
      </c>
      <c r="BY272" s="74">
        <f t="shared" ca="1" si="146"/>
        <v>0</v>
      </c>
      <c r="BZ272" s="73" t="str">
        <f t="shared" ca="1" si="156"/>
        <v xml:space="preserve"> </v>
      </c>
      <c r="CB272" s="75">
        <f t="shared" ca="1" si="157"/>
        <v>51560</v>
      </c>
      <c r="CC272" s="74">
        <f t="shared" ca="1" si="139"/>
        <v>2</v>
      </c>
      <c r="CD272" s="74">
        <f t="shared" ca="1" si="147"/>
        <v>0</v>
      </c>
      <c r="CE272" s="73" t="str">
        <f t="shared" ca="1" si="140"/>
        <v xml:space="preserve"> </v>
      </c>
    </row>
    <row r="273" spans="1:83" x14ac:dyDescent="0.2">
      <c r="A273" s="38" t="str">
        <f t="shared" si="158"/>
        <v xml:space="preserve"> </v>
      </c>
      <c r="B273" s="108"/>
      <c r="C273" s="38"/>
      <c r="D273" s="137"/>
      <c r="E273" s="137"/>
      <c r="F273" s="137"/>
      <c r="G273" s="122"/>
      <c r="H273" s="137"/>
      <c r="I273" s="50"/>
      <c r="J273" s="50"/>
      <c r="K273" s="50"/>
      <c r="L273" s="38"/>
      <c r="M273" s="38"/>
      <c r="N273" s="38"/>
      <c r="O273" s="50"/>
      <c r="P273" s="218"/>
      <c r="Q273" s="50"/>
      <c r="R273" s="50"/>
      <c r="S273" s="38"/>
      <c r="T273" s="51"/>
      <c r="U273" s="65"/>
      <c r="V273" s="105"/>
      <c r="W273" s="66"/>
      <c r="X273" s="66"/>
      <c r="Y273" s="38"/>
      <c r="Z273" s="66">
        <f t="shared" si="141"/>
        <v>0</v>
      </c>
      <c r="AA273" s="67"/>
      <c r="AC273" s="41" t="e">
        <f>VLOOKUP(A273,'Input Sheet'!$A$2:$B$232,2,0)</f>
        <v>#N/A</v>
      </c>
      <c r="AD273" s="70"/>
      <c r="AI273" s="68"/>
      <c r="AL273" s="107">
        <f t="shared" ca="1" si="128"/>
        <v>0</v>
      </c>
      <c r="AM273" s="49">
        <f t="shared" ca="1" si="148"/>
        <v>51591</v>
      </c>
      <c r="AN273" s="137" t="str">
        <f t="shared" ca="1" si="129"/>
        <v xml:space="preserve"> </v>
      </c>
      <c r="AO273" s="107">
        <f t="shared" ca="1" si="144"/>
        <v>0</v>
      </c>
      <c r="AP273" s="143">
        <f t="shared" ca="1" si="142"/>
        <v>0</v>
      </c>
      <c r="AQ273" s="143">
        <f t="shared" ca="1" si="130"/>
        <v>0</v>
      </c>
      <c r="AR273" s="49" t="str">
        <f t="shared" ca="1" si="131"/>
        <v xml:space="preserve"> </v>
      </c>
      <c r="AS273" s="107">
        <f t="shared" ca="1" si="132"/>
        <v>0</v>
      </c>
      <c r="AT273" s="107">
        <f t="shared" ca="1" si="143"/>
        <v>0</v>
      </c>
      <c r="AU273" s="107"/>
      <c r="AV273" s="107">
        <f ca="1">MAX(SUM($AQ$6:AQ273)-SUM($AT$6:AT273),0)</f>
        <v>0</v>
      </c>
      <c r="AW273" s="107">
        <f t="shared" ca="1" si="149"/>
        <v>0</v>
      </c>
      <c r="AX273" s="107">
        <v>0</v>
      </c>
      <c r="AY273" s="138" t="str">
        <f t="shared" ca="1" si="133"/>
        <v xml:space="preserve"> </v>
      </c>
      <c r="AZ273" s="107">
        <f t="shared" ca="1" si="134"/>
        <v>0</v>
      </c>
      <c r="BA273" s="107">
        <f ca="1">IF(AZ273=1,(SUM($AW$6:AW273,$AX$6:AX273)-SUM($BA$6:BA272)),0)</f>
        <v>0</v>
      </c>
      <c r="BB273" s="107"/>
      <c r="BC273" s="107">
        <f ca="1">AV273+SUM($AW$6:AW273)+SUM($AX$6:AX273)-SUM($BA$6:BA273)</f>
        <v>0</v>
      </c>
      <c r="BD273" s="107">
        <f t="shared" ca="1" si="135"/>
        <v>0</v>
      </c>
      <c r="BE273" s="51">
        <f ca="1">'PiT PD Structure'!J313</f>
        <v>1.318731882612445E-4</v>
      </c>
      <c r="BF273" s="139">
        <f t="shared" ca="1" si="150"/>
        <v>0.45</v>
      </c>
      <c r="BG273" s="51">
        <f t="shared" ca="1" si="136"/>
        <v>1</v>
      </c>
      <c r="BH273" s="50">
        <f t="shared" ca="1" si="137"/>
        <v>0</v>
      </c>
      <c r="BI273" s="50">
        <f t="shared" ca="1" si="138"/>
        <v>3.4816594052244909E-13</v>
      </c>
      <c r="BJ273" s="140">
        <v>0</v>
      </c>
      <c r="BK273" s="140">
        <v>0</v>
      </c>
      <c r="BR273" s="75">
        <f t="shared" ca="1" si="151"/>
        <v>51591</v>
      </c>
      <c r="BS273" s="74">
        <f t="shared" ca="1" si="152"/>
        <v>3</v>
      </c>
      <c r="BT273" s="74">
        <f t="shared" ca="1" si="145"/>
        <v>0</v>
      </c>
      <c r="BU273" s="73" t="str">
        <f t="shared" ca="1" si="153"/>
        <v xml:space="preserve"> </v>
      </c>
      <c r="BW273" s="75">
        <f t="shared" ca="1" si="154"/>
        <v>51591</v>
      </c>
      <c r="BX273" s="74">
        <f t="shared" ca="1" si="155"/>
        <v>3</v>
      </c>
      <c r="BY273" s="74">
        <f t="shared" ca="1" si="146"/>
        <v>0</v>
      </c>
      <c r="BZ273" s="73" t="str">
        <f t="shared" ca="1" si="156"/>
        <v xml:space="preserve"> </v>
      </c>
      <c r="CB273" s="75">
        <f t="shared" ca="1" si="157"/>
        <v>51591</v>
      </c>
      <c r="CC273" s="74">
        <f t="shared" ca="1" si="139"/>
        <v>3</v>
      </c>
      <c r="CD273" s="74">
        <f t="shared" ca="1" si="147"/>
        <v>0</v>
      </c>
      <c r="CE273" s="73" t="str">
        <f t="shared" ca="1" si="140"/>
        <v xml:space="preserve"> </v>
      </c>
    </row>
    <row r="274" spans="1:83" x14ac:dyDescent="0.2">
      <c r="A274" s="38" t="str">
        <f t="shared" si="158"/>
        <v xml:space="preserve"> </v>
      </c>
      <c r="B274" s="108"/>
      <c r="C274" s="38"/>
      <c r="D274" s="137"/>
      <c r="E274" s="137"/>
      <c r="F274" s="137"/>
      <c r="G274" s="122"/>
      <c r="H274" s="137"/>
      <c r="I274" s="50"/>
      <c r="J274" s="50"/>
      <c r="K274" s="50"/>
      <c r="L274" s="38"/>
      <c r="M274" s="38"/>
      <c r="N274" s="38"/>
      <c r="O274" s="50"/>
      <c r="P274" s="218"/>
      <c r="Q274" s="50"/>
      <c r="R274" s="50"/>
      <c r="S274" s="38"/>
      <c r="T274" s="51"/>
      <c r="U274" s="65"/>
      <c r="V274" s="105"/>
      <c r="W274" s="66"/>
      <c r="X274" s="66"/>
      <c r="Y274" s="38"/>
      <c r="Z274" s="66">
        <f t="shared" si="141"/>
        <v>0</v>
      </c>
      <c r="AA274" s="67"/>
      <c r="AC274" s="41" t="e">
        <f>VLOOKUP(A274,'Input Sheet'!$A$2:$B$232,2,0)</f>
        <v>#N/A</v>
      </c>
      <c r="AD274" s="70"/>
      <c r="AI274" s="68"/>
      <c r="AL274" s="107">
        <f t="shared" ca="1" si="128"/>
        <v>0</v>
      </c>
      <c r="AM274" s="49">
        <f t="shared" ca="1" si="148"/>
        <v>51621</v>
      </c>
      <c r="AN274" s="137" t="str">
        <f t="shared" ca="1" si="129"/>
        <v xml:space="preserve"> </v>
      </c>
      <c r="AO274" s="107">
        <f t="shared" ca="1" si="144"/>
        <v>0</v>
      </c>
      <c r="AP274" s="143">
        <f t="shared" ca="1" si="142"/>
        <v>0</v>
      </c>
      <c r="AQ274" s="143">
        <f t="shared" ca="1" si="130"/>
        <v>0</v>
      </c>
      <c r="AR274" s="49" t="str">
        <f t="shared" ca="1" si="131"/>
        <v xml:space="preserve"> </v>
      </c>
      <c r="AS274" s="107">
        <f t="shared" ca="1" si="132"/>
        <v>0</v>
      </c>
      <c r="AT274" s="107">
        <f t="shared" ca="1" si="143"/>
        <v>0</v>
      </c>
      <c r="AU274" s="107"/>
      <c r="AV274" s="107">
        <f ca="1">MAX(SUM($AQ$6:AQ274)-SUM($AT$6:AT274),0)</f>
        <v>0</v>
      </c>
      <c r="AW274" s="107">
        <f t="shared" ca="1" si="149"/>
        <v>0</v>
      </c>
      <c r="AX274" s="107">
        <v>0</v>
      </c>
      <c r="AY274" s="138" t="str">
        <f t="shared" ca="1" si="133"/>
        <v xml:space="preserve"> </v>
      </c>
      <c r="AZ274" s="107">
        <f t="shared" ca="1" si="134"/>
        <v>0</v>
      </c>
      <c r="BA274" s="107">
        <f ca="1">IF(AZ274=1,(SUM($AW$6:AW274,$AX$6:AX274)-SUM($BA$6:BA273)),0)</f>
        <v>0</v>
      </c>
      <c r="BB274" s="107"/>
      <c r="BC274" s="107">
        <f ca="1">AV274+SUM($AW$6:AW274)+SUM($AX$6:AX274)-SUM($BA$6:BA274)</f>
        <v>0</v>
      </c>
      <c r="BD274" s="107">
        <f t="shared" ca="1" si="135"/>
        <v>0</v>
      </c>
      <c r="BE274" s="51">
        <f ca="1">'PiT PD Structure'!J314</f>
        <v>1.3185482081523592E-4</v>
      </c>
      <c r="BF274" s="139">
        <f t="shared" ca="1" si="150"/>
        <v>0.45</v>
      </c>
      <c r="BG274" s="51">
        <f t="shared" ca="1" si="136"/>
        <v>1</v>
      </c>
      <c r="BH274" s="50">
        <f t="shared" ca="1" si="137"/>
        <v>0</v>
      </c>
      <c r="BI274" s="50">
        <f t="shared" ca="1" si="138"/>
        <v>3.4816594052244909E-13</v>
      </c>
      <c r="BJ274" s="140">
        <v>0</v>
      </c>
      <c r="BK274" s="140">
        <v>0</v>
      </c>
      <c r="BR274" s="75">
        <f t="shared" ca="1" si="151"/>
        <v>51621</v>
      </c>
      <c r="BS274" s="74">
        <f t="shared" ca="1" si="152"/>
        <v>4</v>
      </c>
      <c r="BT274" s="74">
        <f t="shared" ca="1" si="145"/>
        <v>0</v>
      </c>
      <c r="BU274" s="73" t="str">
        <f t="shared" ca="1" si="153"/>
        <v xml:space="preserve"> </v>
      </c>
      <c r="BW274" s="75">
        <f t="shared" ca="1" si="154"/>
        <v>51621</v>
      </c>
      <c r="BX274" s="74">
        <f t="shared" ca="1" si="155"/>
        <v>4</v>
      </c>
      <c r="BY274" s="74">
        <f t="shared" ca="1" si="146"/>
        <v>0</v>
      </c>
      <c r="BZ274" s="73" t="str">
        <f t="shared" ca="1" si="156"/>
        <v xml:space="preserve"> </v>
      </c>
      <c r="CB274" s="75">
        <f t="shared" ca="1" si="157"/>
        <v>51621</v>
      </c>
      <c r="CC274" s="74">
        <f t="shared" ca="1" si="139"/>
        <v>4</v>
      </c>
      <c r="CD274" s="74">
        <f t="shared" ca="1" si="147"/>
        <v>0</v>
      </c>
      <c r="CE274" s="73" t="str">
        <f t="shared" ca="1" si="140"/>
        <v xml:space="preserve"> </v>
      </c>
    </row>
    <row r="275" spans="1:83" x14ac:dyDescent="0.2">
      <c r="A275" s="38" t="str">
        <f t="shared" si="158"/>
        <v xml:space="preserve"> </v>
      </c>
      <c r="B275" s="108"/>
      <c r="C275" s="38"/>
      <c r="D275" s="137"/>
      <c r="E275" s="137"/>
      <c r="F275" s="137"/>
      <c r="G275" s="122"/>
      <c r="H275" s="137"/>
      <c r="I275" s="50"/>
      <c r="J275" s="50"/>
      <c r="K275" s="50"/>
      <c r="L275" s="38"/>
      <c r="M275" s="38"/>
      <c r="N275" s="38"/>
      <c r="O275" s="50"/>
      <c r="P275" s="218"/>
      <c r="Q275" s="50"/>
      <c r="R275" s="50"/>
      <c r="S275" s="38"/>
      <c r="T275" s="51"/>
      <c r="U275" s="65"/>
      <c r="V275" s="105"/>
      <c r="W275" s="66"/>
      <c r="X275" s="66"/>
      <c r="Y275" s="38"/>
      <c r="Z275" s="66">
        <f t="shared" si="141"/>
        <v>0</v>
      </c>
      <c r="AA275" s="67"/>
      <c r="AC275" s="41" t="e">
        <f>VLOOKUP(A275,'Input Sheet'!$A$2:$B$232,2,0)</f>
        <v>#N/A</v>
      </c>
      <c r="AD275" s="70"/>
      <c r="AI275" s="68"/>
      <c r="AL275" s="107">
        <f t="shared" ca="1" si="128"/>
        <v>0</v>
      </c>
      <c r="AM275" s="49">
        <f t="shared" ca="1" si="148"/>
        <v>51652</v>
      </c>
      <c r="AN275" s="137" t="str">
        <f t="shared" ca="1" si="129"/>
        <v xml:space="preserve"> </v>
      </c>
      <c r="AO275" s="107">
        <f t="shared" ca="1" si="144"/>
        <v>0</v>
      </c>
      <c r="AP275" s="143">
        <f t="shared" ca="1" si="142"/>
        <v>0</v>
      </c>
      <c r="AQ275" s="143">
        <f t="shared" ca="1" si="130"/>
        <v>0</v>
      </c>
      <c r="AR275" s="49" t="str">
        <f t="shared" ca="1" si="131"/>
        <v xml:space="preserve"> </v>
      </c>
      <c r="AS275" s="107">
        <f t="shared" ca="1" si="132"/>
        <v>0</v>
      </c>
      <c r="AT275" s="107">
        <f t="shared" ca="1" si="143"/>
        <v>0</v>
      </c>
      <c r="AU275" s="107"/>
      <c r="AV275" s="107">
        <f ca="1">MAX(SUM($AQ$6:AQ275)-SUM($AT$6:AT275),0)</f>
        <v>0</v>
      </c>
      <c r="AW275" s="107">
        <f t="shared" ca="1" si="149"/>
        <v>0</v>
      </c>
      <c r="AX275" s="107">
        <v>0</v>
      </c>
      <c r="AY275" s="138" t="str">
        <f t="shared" ca="1" si="133"/>
        <v xml:space="preserve"> </v>
      </c>
      <c r="AZ275" s="107">
        <f t="shared" ca="1" si="134"/>
        <v>0</v>
      </c>
      <c r="BA275" s="107">
        <f ca="1">IF(AZ275=1,(SUM($AW$6:AW275,$AX$6:AX275)-SUM($BA$6:BA274)),0)</f>
        <v>0</v>
      </c>
      <c r="BB275" s="107"/>
      <c r="BC275" s="107">
        <f ca="1">AV275+SUM($AW$6:AW275)+SUM($AX$6:AX275)-SUM($BA$6:BA275)</f>
        <v>0</v>
      </c>
      <c r="BD275" s="107">
        <f t="shared" ca="1" si="135"/>
        <v>0</v>
      </c>
      <c r="BE275" s="51">
        <f ca="1">'PiT PD Structure'!J315</f>
        <v>1.3183645592751425E-4</v>
      </c>
      <c r="BF275" s="139">
        <f t="shared" ca="1" si="150"/>
        <v>0.45</v>
      </c>
      <c r="BG275" s="51">
        <f t="shared" ca="1" si="136"/>
        <v>1</v>
      </c>
      <c r="BH275" s="50">
        <f t="shared" ca="1" si="137"/>
        <v>0</v>
      </c>
      <c r="BI275" s="50">
        <f t="shared" ca="1" si="138"/>
        <v>3.4816594052244909E-13</v>
      </c>
      <c r="BJ275" s="140">
        <v>0</v>
      </c>
      <c r="BK275" s="140">
        <v>0</v>
      </c>
      <c r="BR275" s="75">
        <f t="shared" ca="1" si="151"/>
        <v>51652</v>
      </c>
      <c r="BS275" s="74">
        <f t="shared" ca="1" si="152"/>
        <v>5</v>
      </c>
      <c r="BT275" s="74">
        <f t="shared" ca="1" si="145"/>
        <v>0</v>
      </c>
      <c r="BU275" s="73" t="str">
        <f t="shared" ca="1" si="153"/>
        <v xml:space="preserve"> </v>
      </c>
      <c r="BW275" s="75">
        <f t="shared" ca="1" si="154"/>
        <v>51652</v>
      </c>
      <c r="BX275" s="74">
        <f t="shared" ca="1" si="155"/>
        <v>5</v>
      </c>
      <c r="BY275" s="74">
        <f t="shared" ca="1" si="146"/>
        <v>0</v>
      </c>
      <c r="BZ275" s="73" t="str">
        <f t="shared" ca="1" si="156"/>
        <v xml:space="preserve"> </v>
      </c>
      <c r="CB275" s="75">
        <f t="shared" ca="1" si="157"/>
        <v>51652</v>
      </c>
      <c r="CC275" s="74">
        <f t="shared" ca="1" si="139"/>
        <v>5</v>
      </c>
      <c r="CD275" s="74">
        <f t="shared" ca="1" si="147"/>
        <v>0</v>
      </c>
      <c r="CE275" s="73" t="str">
        <f t="shared" ca="1" si="140"/>
        <v xml:space="preserve"> </v>
      </c>
    </row>
    <row r="276" spans="1:83" x14ac:dyDescent="0.2">
      <c r="A276" s="38" t="str">
        <f t="shared" si="158"/>
        <v xml:space="preserve"> </v>
      </c>
      <c r="B276" s="108"/>
      <c r="C276" s="38"/>
      <c r="D276" s="137"/>
      <c r="E276" s="137"/>
      <c r="F276" s="137"/>
      <c r="G276" s="122"/>
      <c r="H276" s="137"/>
      <c r="I276" s="50"/>
      <c r="J276" s="50"/>
      <c r="K276" s="50"/>
      <c r="L276" s="38"/>
      <c r="M276" s="38"/>
      <c r="N276" s="38"/>
      <c r="O276" s="50"/>
      <c r="P276" s="218"/>
      <c r="Q276" s="50"/>
      <c r="R276" s="50"/>
      <c r="S276" s="38"/>
      <c r="T276" s="51"/>
      <c r="U276" s="65"/>
      <c r="V276" s="105"/>
      <c r="W276" s="66"/>
      <c r="X276" s="66"/>
      <c r="Y276" s="38"/>
      <c r="Z276" s="66">
        <f t="shared" si="141"/>
        <v>0</v>
      </c>
      <c r="AA276" s="67"/>
      <c r="AC276" s="41" t="e">
        <f>VLOOKUP(A276,'Input Sheet'!$A$2:$B$232,2,0)</f>
        <v>#N/A</v>
      </c>
      <c r="AD276" s="70"/>
      <c r="AI276" s="68"/>
      <c r="AL276" s="107">
        <f t="shared" ca="1" si="128"/>
        <v>0</v>
      </c>
      <c r="AM276" s="49">
        <f t="shared" ca="1" si="148"/>
        <v>51682</v>
      </c>
      <c r="AN276" s="137" t="str">
        <f t="shared" ca="1" si="129"/>
        <v xml:space="preserve"> </v>
      </c>
      <c r="AO276" s="107">
        <f t="shared" ca="1" si="144"/>
        <v>0</v>
      </c>
      <c r="AP276" s="143">
        <f t="shared" ca="1" si="142"/>
        <v>0</v>
      </c>
      <c r="AQ276" s="143">
        <f t="shared" ca="1" si="130"/>
        <v>0</v>
      </c>
      <c r="AR276" s="49" t="str">
        <f t="shared" ca="1" si="131"/>
        <v xml:space="preserve"> </v>
      </c>
      <c r="AS276" s="107">
        <f t="shared" ca="1" si="132"/>
        <v>0</v>
      </c>
      <c r="AT276" s="107">
        <f t="shared" ca="1" si="143"/>
        <v>0</v>
      </c>
      <c r="AU276" s="107"/>
      <c r="AV276" s="107">
        <f ca="1">MAX(SUM($AQ$6:AQ276)-SUM($AT$6:AT276),0)</f>
        <v>0</v>
      </c>
      <c r="AW276" s="107">
        <f t="shared" ca="1" si="149"/>
        <v>0</v>
      </c>
      <c r="AX276" s="107">
        <v>0</v>
      </c>
      <c r="AY276" s="138" t="str">
        <f t="shared" ca="1" si="133"/>
        <v xml:space="preserve"> </v>
      </c>
      <c r="AZ276" s="107">
        <f t="shared" ca="1" si="134"/>
        <v>0</v>
      </c>
      <c r="BA276" s="107">
        <f ca="1">IF(AZ276=1,(SUM($AW$6:AW276,$AX$6:AX276)-SUM($BA$6:BA275)),0)</f>
        <v>0</v>
      </c>
      <c r="BB276" s="107"/>
      <c r="BC276" s="107">
        <f ca="1">AV276+SUM($AW$6:AW276)+SUM($AX$6:AX276)-SUM($BA$6:BA276)</f>
        <v>0</v>
      </c>
      <c r="BD276" s="107">
        <f t="shared" ca="1" si="135"/>
        <v>0</v>
      </c>
      <c r="BE276" s="51">
        <f ca="1">'PiT PD Structure'!J316</f>
        <v>1.3181809359763541E-4</v>
      </c>
      <c r="BF276" s="139">
        <f t="shared" ca="1" si="150"/>
        <v>0.45</v>
      </c>
      <c r="BG276" s="51">
        <f t="shared" ca="1" si="136"/>
        <v>1</v>
      </c>
      <c r="BH276" s="50">
        <f t="shared" ca="1" si="137"/>
        <v>0</v>
      </c>
      <c r="BI276" s="50">
        <f t="shared" ca="1" si="138"/>
        <v>3.4816594052244909E-13</v>
      </c>
      <c r="BJ276" s="140">
        <v>0</v>
      </c>
      <c r="BK276" s="140">
        <v>0</v>
      </c>
      <c r="BR276" s="75">
        <f t="shared" ca="1" si="151"/>
        <v>51682</v>
      </c>
      <c r="BS276" s="74">
        <f t="shared" ca="1" si="152"/>
        <v>6</v>
      </c>
      <c r="BT276" s="74">
        <f t="shared" ca="1" si="145"/>
        <v>0</v>
      </c>
      <c r="BU276" s="73" t="str">
        <f t="shared" ca="1" si="153"/>
        <v xml:space="preserve"> </v>
      </c>
      <c r="BW276" s="75">
        <f t="shared" ca="1" si="154"/>
        <v>51682</v>
      </c>
      <c r="BX276" s="74">
        <f t="shared" ca="1" si="155"/>
        <v>6</v>
      </c>
      <c r="BY276" s="74">
        <f t="shared" ca="1" si="146"/>
        <v>0</v>
      </c>
      <c r="BZ276" s="73" t="str">
        <f t="shared" ca="1" si="156"/>
        <v xml:space="preserve"> </v>
      </c>
      <c r="CB276" s="75">
        <f t="shared" ca="1" si="157"/>
        <v>51682</v>
      </c>
      <c r="CC276" s="74">
        <f t="shared" ca="1" si="139"/>
        <v>6</v>
      </c>
      <c r="CD276" s="74">
        <f t="shared" ca="1" si="147"/>
        <v>0</v>
      </c>
      <c r="CE276" s="73" t="str">
        <f t="shared" ca="1" si="140"/>
        <v xml:space="preserve"> </v>
      </c>
    </row>
    <row r="277" spans="1:83" x14ac:dyDescent="0.2">
      <c r="A277" s="38" t="str">
        <f t="shared" si="158"/>
        <v xml:space="preserve"> </v>
      </c>
      <c r="B277" s="108"/>
      <c r="C277" s="38"/>
      <c r="D277" s="137"/>
      <c r="E277" s="137"/>
      <c r="F277" s="137"/>
      <c r="G277" s="122"/>
      <c r="H277" s="137"/>
      <c r="I277" s="50"/>
      <c r="J277" s="50"/>
      <c r="K277" s="50"/>
      <c r="L277" s="38"/>
      <c r="M277" s="38"/>
      <c r="N277" s="38"/>
      <c r="O277" s="50"/>
      <c r="P277" s="218"/>
      <c r="Q277" s="50"/>
      <c r="R277" s="50"/>
      <c r="S277" s="38"/>
      <c r="T277" s="51"/>
      <c r="U277" s="65"/>
      <c r="V277" s="105"/>
      <c r="W277" s="66"/>
      <c r="X277" s="66"/>
      <c r="Y277" s="38"/>
      <c r="Z277" s="66">
        <f t="shared" si="141"/>
        <v>0</v>
      </c>
      <c r="AA277" s="67"/>
      <c r="AC277" s="41" t="e">
        <f>VLOOKUP(A277,'Input Sheet'!$A$2:$B$232,2,0)</f>
        <v>#N/A</v>
      </c>
      <c r="AD277" s="70"/>
      <c r="AI277" s="68"/>
      <c r="AL277" s="107">
        <f t="shared" ca="1" si="128"/>
        <v>0</v>
      </c>
      <c r="AM277" s="49">
        <f t="shared" ca="1" si="148"/>
        <v>51713</v>
      </c>
      <c r="AN277" s="137" t="str">
        <f t="shared" ca="1" si="129"/>
        <v xml:space="preserve"> </v>
      </c>
      <c r="AO277" s="107">
        <f t="shared" ca="1" si="144"/>
        <v>0</v>
      </c>
      <c r="AP277" s="143">
        <f t="shared" ca="1" si="142"/>
        <v>0</v>
      </c>
      <c r="AQ277" s="143">
        <f t="shared" ca="1" si="130"/>
        <v>0</v>
      </c>
      <c r="AR277" s="49" t="str">
        <f t="shared" ca="1" si="131"/>
        <v xml:space="preserve"> </v>
      </c>
      <c r="AS277" s="107">
        <f t="shared" ca="1" si="132"/>
        <v>0</v>
      </c>
      <c r="AT277" s="107">
        <f t="shared" ca="1" si="143"/>
        <v>0</v>
      </c>
      <c r="AU277" s="107"/>
      <c r="AV277" s="107">
        <f ca="1">MAX(SUM($AQ$6:AQ277)-SUM($AT$6:AT277),0)</f>
        <v>0</v>
      </c>
      <c r="AW277" s="107">
        <f t="shared" ca="1" si="149"/>
        <v>0</v>
      </c>
      <c r="AX277" s="107">
        <v>0</v>
      </c>
      <c r="AY277" s="138" t="str">
        <f t="shared" ca="1" si="133"/>
        <v xml:space="preserve"> </v>
      </c>
      <c r="AZ277" s="107">
        <f t="shared" ca="1" si="134"/>
        <v>0</v>
      </c>
      <c r="BA277" s="107">
        <f ca="1">IF(AZ277=1,(SUM($AW$6:AW277,$AX$6:AX277)-SUM($BA$6:BA276)),0)</f>
        <v>0</v>
      </c>
      <c r="BB277" s="107"/>
      <c r="BC277" s="107">
        <f ca="1">AV277+SUM($AW$6:AW277)+SUM($AX$6:AX277)-SUM($BA$6:BA277)</f>
        <v>0</v>
      </c>
      <c r="BD277" s="107">
        <f t="shared" ca="1" si="135"/>
        <v>0</v>
      </c>
      <c r="BE277" s="51">
        <f ca="1">'PiT PD Structure'!J317</f>
        <v>1.3179973382515531E-4</v>
      </c>
      <c r="BF277" s="139">
        <f t="shared" ca="1" si="150"/>
        <v>0.45</v>
      </c>
      <c r="BG277" s="51">
        <f t="shared" ca="1" si="136"/>
        <v>1</v>
      </c>
      <c r="BH277" s="50">
        <f t="shared" ca="1" si="137"/>
        <v>0</v>
      </c>
      <c r="BI277" s="50">
        <f t="shared" ca="1" si="138"/>
        <v>3.4816594052244909E-13</v>
      </c>
      <c r="BJ277" s="140">
        <v>0</v>
      </c>
      <c r="BK277" s="140">
        <v>0</v>
      </c>
      <c r="BR277" s="75">
        <f t="shared" ca="1" si="151"/>
        <v>51713</v>
      </c>
      <c r="BS277" s="74">
        <f t="shared" ca="1" si="152"/>
        <v>7</v>
      </c>
      <c r="BT277" s="74">
        <f t="shared" ca="1" si="145"/>
        <v>0</v>
      </c>
      <c r="BU277" s="73" t="str">
        <f t="shared" ca="1" si="153"/>
        <v xml:space="preserve"> </v>
      </c>
      <c r="BW277" s="75">
        <f t="shared" ca="1" si="154"/>
        <v>51713</v>
      </c>
      <c r="BX277" s="74">
        <f t="shared" ca="1" si="155"/>
        <v>7</v>
      </c>
      <c r="BY277" s="74">
        <f t="shared" ca="1" si="146"/>
        <v>0</v>
      </c>
      <c r="BZ277" s="73" t="str">
        <f t="shared" ca="1" si="156"/>
        <v xml:space="preserve"> </v>
      </c>
      <c r="CB277" s="75">
        <f t="shared" ca="1" si="157"/>
        <v>51713</v>
      </c>
      <c r="CC277" s="74">
        <f t="shared" ca="1" si="139"/>
        <v>7</v>
      </c>
      <c r="CD277" s="74">
        <f t="shared" ca="1" si="147"/>
        <v>0</v>
      </c>
      <c r="CE277" s="73" t="str">
        <f t="shared" ca="1" si="140"/>
        <v xml:space="preserve"> </v>
      </c>
    </row>
    <row r="278" spans="1:83" x14ac:dyDescent="0.2">
      <c r="A278" s="38" t="str">
        <f t="shared" si="158"/>
        <v xml:space="preserve"> </v>
      </c>
      <c r="B278" s="108"/>
      <c r="C278" s="38"/>
      <c r="D278" s="137"/>
      <c r="E278" s="137"/>
      <c r="F278" s="137"/>
      <c r="G278" s="122"/>
      <c r="H278" s="137"/>
      <c r="I278" s="50"/>
      <c r="J278" s="50"/>
      <c r="K278" s="50"/>
      <c r="L278" s="38"/>
      <c r="M278" s="38"/>
      <c r="N278" s="38"/>
      <c r="O278" s="50"/>
      <c r="P278" s="218"/>
      <c r="Q278" s="50"/>
      <c r="R278" s="50"/>
      <c r="S278" s="38"/>
      <c r="T278" s="51"/>
      <c r="U278" s="65"/>
      <c r="V278" s="105"/>
      <c r="W278" s="66"/>
      <c r="X278" s="66"/>
      <c r="Y278" s="38"/>
      <c r="Z278" s="66">
        <f t="shared" si="141"/>
        <v>0</v>
      </c>
      <c r="AA278" s="67"/>
      <c r="AC278" s="41" t="e">
        <f>VLOOKUP(A278,'Input Sheet'!$A$2:$B$232,2,0)</f>
        <v>#N/A</v>
      </c>
      <c r="AD278" s="70"/>
      <c r="AI278" s="68"/>
      <c r="AL278" s="107">
        <f t="shared" ca="1" si="128"/>
        <v>0</v>
      </c>
      <c r="AM278" s="49">
        <f t="shared" ca="1" si="148"/>
        <v>51744</v>
      </c>
      <c r="AN278" s="137" t="str">
        <f t="shared" ca="1" si="129"/>
        <v xml:space="preserve"> </v>
      </c>
      <c r="AO278" s="107">
        <f t="shared" ca="1" si="144"/>
        <v>0</v>
      </c>
      <c r="AP278" s="143">
        <f t="shared" ca="1" si="142"/>
        <v>0</v>
      </c>
      <c r="AQ278" s="143">
        <f t="shared" ca="1" si="130"/>
        <v>0</v>
      </c>
      <c r="AR278" s="49" t="str">
        <f t="shared" ca="1" si="131"/>
        <v xml:space="preserve"> </v>
      </c>
      <c r="AS278" s="107">
        <f t="shared" ca="1" si="132"/>
        <v>0</v>
      </c>
      <c r="AT278" s="107">
        <f t="shared" ca="1" si="143"/>
        <v>0</v>
      </c>
      <c r="AU278" s="107"/>
      <c r="AV278" s="107">
        <f ca="1">MAX(SUM($AQ$6:AQ278)-SUM($AT$6:AT278),0)</f>
        <v>0</v>
      </c>
      <c r="AW278" s="107">
        <f t="shared" ca="1" si="149"/>
        <v>0</v>
      </c>
      <c r="AX278" s="107">
        <v>0</v>
      </c>
      <c r="AY278" s="138" t="str">
        <f t="shared" ca="1" si="133"/>
        <v xml:space="preserve"> </v>
      </c>
      <c r="AZ278" s="107">
        <f t="shared" ca="1" si="134"/>
        <v>0</v>
      </c>
      <c r="BA278" s="107">
        <f ca="1">IF(AZ278=1,(SUM($AW$6:AW278,$AX$6:AX278)-SUM($BA$6:BA277)),0)</f>
        <v>0</v>
      </c>
      <c r="BB278" s="107"/>
      <c r="BC278" s="107">
        <f ca="1">AV278+SUM($AW$6:AW278)+SUM($AX$6:AX278)-SUM($BA$6:BA278)</f>
        <v>0</v>
      </c>
      <c r="BD278" s="107">
        <f t="shared" ca="1" si="135"/>
        <v>0</v>
      </c>
      <c r="BE278" s="51">
        <f ca="1">'PiT PD Structure'!J318</f>
        <v>1.3178137661007394E-4</v>
      </c>
      <c r="BF278" s="139">
        <f t="shared" ca="1" si="150"/>
        <v>0.45</v>
      </c>
      <c r="BG278" s="51">
        <f t="shared" ca="1" si="136"/>
        <v>1</v>
      </c>
      <c r="BH278" s="50">
        <f t="shared" ca="1" si="137"/>
        <v>0</v>
      </c>
      <c r="BI278" s="50">
        <f t="shared" ca="1" si="138"/>
        <v>3.4816594052244909E-13</v>
      </c>
      <c r="BJ278" s="140">
        <v>0</v>
      </c>
      <c r="BK278" s="140">
        <v>0</v>
      </c>
      <c r="BR278" s="75">
        <f t="shared" ca="1" si="151"/>
        <v>51744</v>
      </c>
      <c r="BS278" s="74">
        <f t="shared" ca="1" si="152"/>
        <v>8</v>
      </c>
      <c r="BT278" s="74">
        <f t="shared" ca="1" si="145"/>
        <v>0</v>
      </c>
      <c r="BU278" s="73" t="str">
        <f t="shared" ca="1" si="153"/>
        <v xml:space="preserve"> </v>
      </c>
      <c r="BW278" s="75">
        <f t="shared" ca="1" si="154"/>
        <v>51744</v>
      </c>
      <c r="BX278" s="74">
        <f t="shared" ca="1" si="155"/>
        <v>8</v>
      </c>
      <c r="BY278" s="74">
        <f t="shared" ca="1" si="146"/>
        <v>0</v>
      </c>
      <c r="BZ278" s="73" t="str">
        <f t="shared" ca="1" si="156"/>
        <v xml:space="preserve"> </v>
      </c>
      <c r="CB278" s="75">
        <f t="shared" ca="1" si="157"/>
        <v>51744</v>
      </c>
      <c r="CC278" s="74">
        <f t="shared" ca="1" si="139"/>
        <v>8</v>
      </c>
      <c r="CD278" s="74">
        <f t="shared" ca="1" si="147"/>
        <v>0</v>
      </c>
      <c r="CE278" s="73" t="str">
        <f t="shared" ca="1" si="140"/>
        <v xml:space="preserve"> </v>
      </c>
    </row>
    <row r="279" spans="1:83" x14ac:dyDescent="0.2">
      <c r="A279" s="38" t="str">
        <f t="shared" si="158"/>
        <v xml:space="preserve"> </v>
      </c>
      <c r="B279" s="108"/>
      <c r="C279" s="38"/>
      <c r="D279" s="137"/>
      <c r="E279" s="137"/>
      <c r="F279" s="137"/>
      <c r="G279" s="122"/>
      <c r="H279" s="137"/>
      <c r="I279" s="50"/>
      <c r="J279" s="50"/>
      <c r="K279" s="50"/>
      <c r="L279" s="38"/>
      <c r="M279" s="38"/>
      <c r="N279" s="38"/>
      <c r="O279" s="50"/>
      <c r="P279" s="218"/>
      <c r="Q279" s="50"/>
      <c r="R279" s="50"/>
      <c r="S279" s="38"/>
      <c r="T279" s="51"/>
      <c r="U279" s="65"/>
      <c r="V279" s="105"/>
      <c r="W279" s="66"/>
      <c r="X279" s="66"/>
      <c r="Y279" s="38"/>
      <c r="Z279" s="66">
        <f t="shared" si="141"/>
        <v>0</v>
      </c>
      <c r="AA279" s="67"/>
      <c r="AC279" s="41" t="e">
        <f>VLOOKUP(A279,'Input Sheet'!$A$2:$B$232,2,0)</f>
        <v>#N/A</v>
      </c>
      <c r="AD279" s="70"/>
      <c r="AI279" s="68"/>
      <c r="AL279" s="107">
        <f t="shared" ca="1" si="128"/>
        <v>0</v>
      </c>
      <c r="AM279" s="49">
        <f t="shared" ca="1" si="148"/>
        <v>51774</v>
      </c>
      <c r="AN279" s="137" t="str">
        <f t="shared" ca="1" si="129"/>
        <v xml:space="preserve"> </v>
      </c>
      <c r="AO279" s="107">
        <f t="shared" ca="1" si="144"/>
        <v>0</v>
      </c>
      <c r="AP279" s="143">
        <f t="shared" ca="1" si="142"/>
        <v>0</v>
      </c>
      <c r="AQ279" s="143">
        <f t="shared" ca="1" si="130"/>
        <v>0</v>
      </c>
      <c r="AR279" s="49" t="str">
        <f t="shared" ca="1" si="131"/>
        <v xml:space="preserve"> </v>
      </c>
      <c r="AS279" s="107">
        <f t="shared" ca="1" si="132"/>
        <v>0</v>
      </c>
      <c r="AT279" s="107">
        <f t="shared" ca="1" si="143"/>
        <v>0</v>
      </c>
      <c r="AU279" s="107"/>
      <c r="AV279" s="107">
        <f ca="1">MAX(SUM($AQ$6:AQ279)-SUM($AT$6:AT279),0)</f>
        <v>0</v>
      </c>
      <c r="AW279" s="107">
        <f t="shared" ca="1" si="149"/>
        <v>0</v>
      </c>
      <c r="AX279" s="107">
        <v>0</v>
      </c>
      <c r="AY279" s="138" t="str">
        <f t="shared" ca="1" si="133"/>
        <v xml:space="preserve"> </v>
      </c>
      <c r="AZ279" s="107">
        <f t="shared" ca="1" si="134"/>
        <v>0</v>
      </c>
      <c r="BA279" s="107">
        <f ca="1">IF(AZ279=1,(SUM($AW$6:AW279,$AX$6:AX279)-SUM($BA$6:BA278)),0)</f>
        <v>0</v>
      </c>
      <c r="BB279" s="107"/>
      <c r="BC279" s="107">
        <f ca="1">AV279+SUM($AW$6:AW279)+SUM($AX$6:AX279)-SUM($BA$6:BA279)</f>
        <v>0</v>
      </c>
      <c r="BD279" s="107">
        <f t="shared" ca="1" si="135"/>
        <v>0</v>
      </c>
      <c r="BE279" s="51">
        <f ca="1">'PiT PD Structure'!J319</f>
        <v>1.3176302195150313E-4</v>
      </c>
      <c r="BF279" s="139">
        <f t="shared" ca="1" si="150"/>
        <v>0.45</v>
      </c>
      <c r="BG279" s="51">
        <f t="shared" ca="1" si="136"/>
        <v>1</v>
      </c>
      <c r="BH279" s="50">
        <f t="shared" ca="1" si="137"/>
        <v>0</v>
      </c>
      <c r="BI279" s="50">
        <f t="shared" ca="1" si="138"/>
        <v>3.4816594052244909E-13</v>
      </c>
      <c r="BJ279" s="140">
        <v>0</v>
      </c>
      <c r="BK279" s="140">
        <v>0</v>
      </c>
      <c r="BR279" s="75">
        <f t="shared" ca="1" si="151"/>
        <v>51774</v>
      </c>
      <c r="BS279" s="74">
        <f t="shared" ca="1" si="152"/>
        <v>9</v>
      </c>
      <c r="BT279" s="74">
        <f t="shared" ca="1" si="145"/>
        <v>0</v>
      </c>
      <c r="BU279" s="73" t="str">
        <f t="shared" ca="1" si="153"/>
        <v xml:space="preserve"> </v>
      </c>
      <c r="BW279" s="75">
        <f t="shared" ca="1" si="154"/>
        <v>51774</v>
      </c>
      <c r="BX279" s="74">
        <f t="shared" ca="1" si="155"/>
        <v>9</v>
      </c>
      <c r="BY279" s="74">
        <f t="shared" ca="1" si="146"/>
        <v>0</v>
      </c>
      <c r="BZ279" s="73" t="str">
        <f t="shared" ca="1" si="156"/>
        <v xml:space="preserve"> </v>
      </c>
      <c r="CB279" s="75">
        <f t="shared" ca="1" si="157"/>
        <v>51774</v>
      </c>
      <c r="CC279" s="74">
        <f t="shared" ca="1" si="139"/>
        <v>9</v>
      </c>
      <c r="CD279" s="74">
        <f t="shared" ca="1" si="147"/>
        <v>0</v>
      </c>
      <c r="CE279" s="73" t="str">
        <f t="shared" ca="1" si="140"/>
        <v xml:space="preserve"> </v>
      </c>
    </row>
    <row r="280" spans="1:83" x14ac:dyDescent="0.2">
      <c r="A280" s="38" t="str">
        <f t="shared" si="158"/>
        <v xml:space="preserve"> </v>
      </c>
      <c r="B280" s="108"/>
      <c r="C280" s="38"/>
      <c r="D280" s="137"/>
      <c r="E280" s="137"/>
      <c r="F280" s="137"/>
      <c r="G280" s="122"/>
      <c r="H280" s="137"/>
      <c r="I280" s="50"/>
      <c r="J280" s="50"/>
      <c r="K280" s="50"/>
      <c r="L280" s="38"/>
      <c r="M280" s="38"/>
      <c r="N280" s="38"/>
      <c r="O280" s="50"/>
      <c r="P280" s="218"/>
      <c r="Q280" s="50"/>
      <c r="R280" s="50"/>
      <c r="S280" s="38"/>
      <c r="T280" s="51"/>
      <c r="U280" s="65"/>
      <c r="V280" s="105"/>
      <c r="W280" s="66"/>
      <c r="X280" s="66"/>
      <c r="Y280" s="38"/>
      <c r="Z280" s="66">
        <f t="shared" si="141"/>
        <v>0</v>
      </c>
      <c r="AA280" s="67"/>
      <c r="AC280" s="41" t="e">
        <f>VLOOKUP(A280,'Input Sheet'!$A$2:$B$232,2,0)</f>
        <v>#N/A</v>
      </c>
      <c r="AD280" s="70"/>
      <c r="AI280" s="68"/>
      <c r="AL280" s="107">
        <f t="shared" ca="1" si="128"/>
        <v>0</v>
      </c>
      <c r="AM280" s="49">
        <f t="shared" ca="1" si="148"/>
        <v>51805</v>
      </c>
      <c r="AN280" s="137" t="str">
        <f t="shared" ca="1" si="129"/>
        <v xml:space="preserve"> </v>
      </c>
      <c r="AO280" s="107">
        <f t="shared" ca="1" si="144"/>
        <v>0</v>
      </c>
      <c r="AP280" s="143">
        <f t="shared" ca="1" si="142"/>
        <v>0</v>
      </c>
      <c r="AQ280" s="143">
        <f t="shared" ca="1" si="130"/>
        <v>0</v>
      </c>
      <c r="AR280" s="49" t="str">
        <f t="shared" ca="1" si="131"/>
        <v xml:space="preserve"> </v>
      </c>
      <c r="AS280" s="107">
        <f t="shared" ca="1" si="132"/>
        <v>0</v>
      </c>
      <c r="AT280" s="107">
        <f t="shared" ca="1" si="143"/>
        <v>0</v>
      </c>
      <c r="AU280" s="107"/>
      <c r="AV280" s="107">
        <f ca="1">MAX(SUM($AQ$6:AQ280)-SUM($AT$6:AT280),0)</f>
        <v>0</v>
      </c>
      <c r="AW280" s="107">
        <f t="shared" ca="1" si="149"/>
        <v>0</v>
      </c>
      <c r="AX280" s="107">
        <v>0</v>
      </c>
      <c r="AY280" s="138" t="str">
        <f t="shared" ca="1" si="133"/>
        <v xml:space="preserve"> </v>
      </c>
      <c r="AZ280" s="107">
        <f t="shared" ca="1" si="134"/>
        <v>0</v>
      </c>
      <c r="BA280" s="107">
        <f ca="1">IF(AZ280=1,(SUM($AW$6:AW280,$AX$6:AX280)-SUM($BA$6:BA279)),0)</f>
        <v>0</v>
      </c>
      <c r="BB280" s="107"/>
      <c r="BC280" s="107">
        <f ca="1">AV280+SUM($AW$6:AW280)+SUM($AX$6:AX280)-SUM($BA$6:BA280)</f>
        <v>0</v>
      </c>
      <c r="BD280" s="107">
        <f t="shared" ca="1" si="135"/>
        <v>0</v>
      </c>
      <c r="BE280" s="51">
        <f ca="1">'PiT PD Structure'!J320</f>
        <v>1.3174466984966493E-4</v>
      </c>
      <c r="BF280" s="139">
        <f t="shared" ca="1" si="150"/>
        <v>0.45</v>
      </c>
      <c r="BG280" s="51">
        <f t="shared" ca="1" si="136"/>
        <v>1</v>
      </c>
      <c r="BH280" s="50">
        <f t="shared" ca="1" si="137"/>
        <v>0</v>
      </c>
      <c r="BI280" s="50">
        <f t="shared" ca="1" si="138"/>
        <v>3.4816594052244909E-13</v>
      </c>
      <c r="BJ280" s="140">
        <v>0</v>
      </c>
      <c r="BK280" s="140">
        <v>0</v>
      </c>
      <c r="BR280" s="75">
        <f t="shared" ca="1" si="151"/>
        <v>51805</v>
      </c>
      <c r="BS280" s="74">
        <f t="shared" ca="1" si="152"/>
        <v>10</v>
      </c>
      <c r="BT280" s="74">
        <f t="shared" ca="1" si="145"/>
        <v>0</v>
      </c>
      <c r="BU280" s="73" t="str">
        <f t="shared" ca="1" si="153"/>
        <v xml:space="preserve"> </v>
      </c>
      <c r="BW280" s="75">
        <f t="shared" ca="1" si="154"/>
        <v>51805</v>
      </c>
      <c r="BX280" s="74">
        <f t="shared" ca="1" si="155"/>
        <v>10</v>
      </c>
      <c r="BY280" s="74">
        <f t="shared" ca="1" si="146"/>
        <v>0</v>
      </c>
      <c r="BZ280" s="73" t="str">
        <f t="shared" ca="1" si="156"/>
        <v xml:space="preserve"> </v>
      </c>
      <c r="CB280" s="75">
        <f t="shared" ca="1" si="157"/>
        <v>51805</v>
      </c>
      <c r="CC280" s="74">
        <f t="shared" ca="1" si="139"/>
        <v>10</v>
      </c>
      <c r="CD280" s="74">
        <f t="shared" ca="1" si="147"/>
        <v>0</v>
      </c>
      <c r="CE280" s="73" t="str">
        <f t="shared" ca="1" si="140"/>
        <v xml:space="preserve"> </v>
      </c>
    </row>
    <row r="281" spans="1:83" x14ac:dyDescent="0.2">
      <c r="A281" s="38" t="str">
        <f t="shared" si="158"/>
        <v xml:space="preserve"> </v>
      </c>
      <c r="B281" s="108"/>
      <c r="C281" s="38"/>
      <c r="D281" s="137"/>
      <c r="E281" s="137"/>
      <c r="F281" s="137"/>
      <c r="G281" s="122"/>
      <c r="H281" s="137"/>
      <c r="I281" s="50"/>
      <c r="J281" s="50"/>
      <c r="K281" s="50"/>
      <c r="L281" s="38"/>
      <c r="M281" s="38"/>
      <c r="N281" s="38"/>
      <c r="O281" s="50"/>
      <c r="P281" s="218"/>
      <c r="Q281" s="50"/>
      <c r="R281" s="50"/>
      <c r="S281" s="38"/>
      <c r="T281" s="51"/>
      <c r="U281" s="65"/>
      <c r="V281" s="105"/>
      <c r="W281" s="66"/>
      <c r="X281" s="66"/>
      <c r="Y281" s="38"/>
      <c r="Z281" s="66">
        <f t="shared" si="141"/>
        <v>0</v>
      </c>
      <c r="AA281" s="67"/>
      <c r="AC281" s="41" t="e">
        <f>VLOOKUP(A281,'Input Sheet'!$A$2:$B$232,2,0)</f>
        <v>#N/A</v>
      </c>
      <c r="AD281" s="70"/>
      <c r="AI281" s="68"/>
      <c r="AL281" s="107">
        <f t="shared" ca="1" si="128"/>
        <v>0</v>
      </c>
      <c r="AM281" s="49">
        <f t="shared" ca="1" si="148"/>
        <v>51835</v>
      </c>
      <c r="AN281" s="137" t="str">
        <f t="shared" ca="1" si="129"/>
        <v xml:space="preserve"> </v>
      </c>
      <c r="AO281" s="107">
        <f t="shared" ca="1" si="144"/>
        <v>0</v>
      </c>
      <c r="AP281" s="143">
        <f t="shared" ca="1" si="142"/>
        <v>0</v>
      </c>
      <c r="AQ281" s="143">
        <f t="shared" ca="1" si="130"/>
        <v>0</v>
      </c>
      <c r="AR281" s="49" t="str">
        <f t="shared" ca="1" si="131"/>
        <v xml:space="preserve"> </v>
      </c>
      <c r="AS281" s="107">
        <f t="shared" ca="1" si="132"/>
        <v>0</v>
      </c>
      <c r="AT281" s="107">
        <f t="shared" ca="1" si="143"/>
        <v>0</v>
      </c>
      <c r="AU281" s="107"/>
      <c r="AV281" s="107">
        <f ca="1">MAX(SUM($AQ$6:AQ281)-SUM($AT$6:AT281),0)</f>
        <v>0</v>
      </c>
      <c r="AW281" s="107">
        <f t="shared" ca="1" si="149"/>
        <v>0</v>
      </c>
      <c r="AX281" s="107">
        <v>0</v>
      </c>
      <c r="AY281" s="138" t="str">
        <f t="shared" ca="1" si="133"/>
        <v xml:space="preserve"> </v>
      </c>
      <c r="AZ281" s="107">
        <f t="shared" ca="1" si="134"/>
        <v>0</v>
      </c>
      <c r="BA281" s="107">
        <f ca="1">IF(AZ281=1,(SUM($AW$6:AW281,$AX$6:AX281)-SUM($BA$6:BA280)),0)</f>
        <v>0</v>
      </c>
      <c r="BB281" s="107"/>
      <c r="BC281" s="107">
        <f ca="1">AV281+SUM($AW$6:AW281)+SUM($AX$6:AX281)-SUM($BA$6:BA281)</f>
        <v>0</v>
      </c>
      <c r="BD281" s="107">
        <f t="shared" ca="1" si="135"/>
        <v>0</v>
      </c>
      <c r="BE281" s="51">
        <f ca="1">'PiT PD Structure'!J321</f>
        <v>1.3172632030433729E-4</v>
      </c>
      <c r="BF281" s="139">
        <f t="shared" ca="1" si="150"/>
        <v>0.45</v>
      </c>
      <c r="BG281" s="51">
        <f t="shared" ca="1" si="136"/>
        <v>1</v>
      </c>
      <c r="BH281" s="50">
        <f t="shared" ca="1" si="137"/>
        <v>0</v>
      </c>
      <c r="BI281" s="50">
        <f t="shared" ca="1" si="138"/>
        <v>3.4816594052244909E-13</v>
      </c>
      <c r="BJ281" s="140">
        <v>0</v>
      </c>
      <c r="BK281" s="140">
        <v>0</v>
      </c>
      <c r="BR281" s="75">
        <f t="shared" ca="1" si="151"/>
        <v>51835</v>
      </c>
      <c r="BS281" s="74">
        <f t="shared" ca="1" si="152"/>
        <v>11</v>
      </c>
      <c r="BT281" s="74">
        <f t="shared" ca="1" si="145"/>
        <v>0</v>
      </c>
      <c r="BU281" s="73" t="str">
        <f t="shared" ca="1" si="153"/>
        <v xml:space="preserve"> </v>
      </c>
      <c r="BW281" s="75">
        <f t="shared" ca="1" si="154"/>
        <v>51835</v>
      </c>
      <c r="BX281" s="74">
        <f t="shared" ca="1" si="155"/>
        <v>11</v>
      </c>
      <c r="BY281" s="74">
        <f t="shared" ca="1" si="146"/>
        <v>0</v>
      </c>
      <c r="BZ281" s="73" t="str">
        <f t="shared" ca="1" si="156"/>
        <v xml:space="preserve"> </v>
      </c>
      <c r="CB281" s="75">
        <f t="shared" ca="1" si="157"/>
        <v>51835</v>
      </c>
      <c r="CC281" s="74">
        <f t="shared" ca="1" si="139"/>
        <v>11</v>
      </c>
      <c r="CD281" s="74">
        <f t="shared" ca="1" si="147"/>
        <v>0</v>
      </c>
      <c r="CE281" s="73" t="str">
        <f t="shared" ca="1" si="140"/>
        <v xml:space="preserve"> </v>
      </c>
    </row>
    <row r="282" spans="1:83" x14ac:dyDescent="0.2">
      <c r="A282" s="38" t="str">
        <f t="shared" si="158"/>
        <v xml:space="preserve"> </v>
      </c>
      <c r="B282" s="108"/>
      <c r="C282" s="38"/>
      <c r="D282" s="137"/>
      <c r="E282" s="137"/>
      <c r="F282" s="137"/>
      <c r="G282" s="122"/>
      <c r="H282" s="137"/>
      <c r="I282" s="50"/>
      <c r="J282" s="50"/>
      <c r="K282" s="50"/>
      <c r="L282" s="38"/>
      <c r="M282" s="38"/>
      <c r="N282" s="38"/>
      <c r="O282" s="50"/>
      <c r="P282" s="218"/>
      <c r="Q282" s="50"/>
      <c r="R282" s="50"/>
      <c r="S282" s="38"/>
      <c r="T282" s="51"/>
      <c r="U282" s="65"/>
      <c r="V282" s="105"/>
      <c r="W282" s="66"/>
      <c r="X282" s="66"/>
      <c r="Y282" s="38"/>
      <c r="Z282" s="66">
        <f t="shared" si="141"/>
        <v>0</v>
      </c>
      <c r="AA282" s="67"/>
      <c r="AC282" s="41" t="e">
        <f>VLOOKUP(A282,'Input Sheet'!$A$2:$B$232,2,0)</f>
        <v>#N/A</v>
      </c>
      <c r="AD282" s="70"/>
      <c r="AI282" s="68"/>
      <c r="AL282" s="107">
        <f t="shared" ca="1" si="128"/>
        <v>0</v>
      </c>
      <c r="AM282" s="49">
        <f t="shared" ca="1" si="148"/>
        <v>51866</v>
      </c>
      <c r="AN282" s="137" t="str">
        <f t="shared" ca="1" si="129"/>
        <v xml:space="preserve"> </v>
      </c>
      <c r="AO282" s="107">
        <f t="shared" ca="1" si="144"/>
        <v>0</v>
      </c>
      <c r="AP282" s="143">
        <f t="shared" ca="1" si="142"/>
        <v>0</v>
      </c>
      <c r="AQ282" s="143">
        <f t="shared" ca="1" si="130"/>
        <v>0</v>
      </c>
      <c r="AR282" s="49" t="str">
        <f t="shared" ca="1" si="131"/>
        <v xml:space="preserve"> </v>
      </c>
      <c r="AS282" s="107">
        <f t="shared" ca="1" si="132"/>
        <v>0</v>
      </c>
      <c r="AT282" s="107">
        <f t="shared" ca="1" si="143"/>
        <v>0</v>
      </c>
      <c r="AU282" s="107"/>
      <c r="AV282" s="107">
        <f ca="1">MAX(SUM($AQ$6:AQ282)-SUM($AT$6:AT282),0)</f>
        <v>0</v>
      </c>
      <c r="AW282" s="107">
        <f t="shared" ca="1" si="149"/>
        <v>0</v>
      </c>
      <c r="AX282" s="107">
        <v>0</v>
      </c>
      <c r="AY282" s="138" t="str">
        <f t="shared" ca="1" si="133"/>
        <v xml:space="preserve"> </v>
      </c>
      <c r="AZ282" s="107">
        <f t="shared" ca="1" si="134"/>
        <v>0</v>
      </c>
      <c r="BA282" s="107">
        <f ca="1">IF(AZ282=1,(SUM($AW$6:AW282,$AX$6:AX282)-SUM($BA$6:BA281)),0)</f>
        <v>0</v>
      </c>
      <c r="BB282" s="107"/>
      <c r="BC282" s="107">
        <f ca="1">AV282+SUM($AW$6:AW282)+SUM($AX$6:AX282)-SUM($BA$6:BA282)</f>
        <v>0</v>
      </c>
      <c r="BD282" s="107">
        <f t="shared" ca="1" si="135"/>
        <v>0</v>
      </c>
      <c r="BE282" s="51">
        <f ca="1">'PiT PD Structure'!J322</f>
        <v>3.3602030863728594E-3</v>
      </c>
      <c r="BF282" s="139">
        <f t="shared" ca="1" si="150"/>
        <v>0.45</v>
      </c>
      <c r="BG282" s="51">
        <f t="shared" ca="1" si="136"/>
        <v>1</v>
      </c>
      <c r="BH282" s="50">
        <f t="shared" ca="1" si="137"/>
        <v>0</v>
      </c>
      <c r="BI282" s="50">
        <f t="shared" ca="1" si="138"/>
        <v>3.4816594052244909E-13</v>
      </c>
      <c r="BJ282" s="140">
        <v>0</v>
      </c>
      <c r="BK282" s="140">
        <v>0</v>
      </c>
      <c r="BR282" s="75">
        <f t="shared" ca="1" si="151"/>
        <v>51866</v>
      </c>
      <c r="BS282" s="74">
        <f t="shared" ca="1" si="152"/>
        <v>12</v>
      </c>
      <c r="BT282" s="74">
        <f t="shared" ca="1" si="145"/>
        <v>0</v>
      </c>
      <c r="BU282" s="73" t="str">
        <f t="shared" ca="1" si="153"/>
        <v xml:space="preserve"> </v>
      </c>
      <c r="BW282" s="75">
        <f t="shared" ca="1" si="154"/>
        <v>51866</v>
      </c>
      <c r="BX282" s="74">
        <f t="shared" ca="1" si="155"/>
        <v>12</v>
      </c>
      <c r="BY282" s="74">
        <f t="shared" ca="1" si="146"/>
        <v>0</v>
      </c>
      <c r="BZ282" s="73" t="str">
        <f t="shared" ca="1" si="156"/>
        <v xml:space="preserve"> </v>
      </c>
      <c r="CB282" s="75">
        <f t="shared" ca="1" si="157"/>
        <v>51866</v>
      </c>
      <c r="CC282" s="74">
        <f t="shared" ca="1" si="139"/>
        <v>12</v>
      </c>
      <c r="CD282" s="74">
        <f t="shared" ca="1" si="147"/>
        <v>0</v>
      </c>
      <c r="CE282" s="73" t="str">
        <f t="shared" ca="1" si="140"/>
        <v xml:space="preserve"> </v>
      </c>
    </row>
    <row r="283" spans="1:83" x14ac:dyDescent="0.2">
      <c r="A283" s="38" t="str">
        <f t="shared" si="158"/>
        <v xml:space="preserve"> </v>
      </c>
      <c r="B283" s="108"/>
      <c r="C283" s="38"/>
      <c r="D283" s="137"/>
      <c r="E283" s="137"/>
      <c r="F283" s="137"/>
      <c r="G283" s="122"/>
      <c r="H283" s="137"/>
      <c r="I283" s="50"/>
      <c r="J283" s="50"/>
      <c r="K283" s="50"/>
      <c r="L283" s="38"/>
      <c r="M283" s="38"/>
      <c r="N283" s="38"/>
      <c r="O283" s="50"/>
      <c r="P283" s="218"/>
      <c r="Q283" s="50"/>
      <c r="R283" s="50"/>
      <c r="S283" s="38"/>
      <c r="T283" s="51"/>
      <c r="U283" s="65"/>
      <c r="V283" s="105"/>
      <c r="W283" s="66"/>
      <c r="X283" s="66"/>
      <c r="Y283" s="38"/>
      <c r="Z283" s="66">
        <f t="shared" si="141"/>
        <v>0</v>
      </c>
      <c r="AA283" s="67"/>
      <c r="AC283" s="41" t="e">
        <f>VLOOKUP(A283,'Input Sheet'!$A$2:$B$232,2,0)</f>
        <v>#N/A</v>
      </c>
      <c r="AD283" s="70"/>
      <c r="AI283" s="68"/>
      <c r="AL283" s="107">
        <f t="shared" ca="1" si="128"/>
        <v>0</v>
      </c>
      <c r="AM283" s="49">
        <f t="shared" ca="1" si="148"/>
        <v>51897</v>
      </c>
      <c r="AN283" s="137" t="str">
        <f t="shared" ca="1" si="129"/>
        <v xml:space="preserve"> </v>
      </c>
      <c r="AO283" s="107">
        <f t="shared" ca="1" si="144"/>
        <v>0</v>
      </c>
      <c r="AP283" s="143">
        <f t="shared" ca="1" si="142"/>
        <v>0</v>
      </c>
      <c r="AQ283" s="143">
        <f t="shared" ca="1" si="130"/>
        <v>0</v>
      </c>
      <c r="AR283" s="49" t="str">
        <f t="shared" ca="1" si="131"/>
        <v xml:space="preserve"> </v>
      </c>
      <c r="AS283" s="107">
        <f t="shared" ca="1" si="132"/>
        <v>0</v>
      </c>
      <c r="AT283" s="107">
        <f t="shared" ca="1" si="143"/>
        <v>0</v>
      </c>
      <c r="AU283" s="107"/>
      <c r="AV283" s="107">
        <f ca="1">MAX(SUM($AQ$6:AQ283)-SUM($AT$6:AT283),0)</f>
        <v>0</v>
      </c>
      <c r="AW283" s="107">
        <f t="shared" ca="1" si="149"/>
        <v>0</v>
      </c>
      <c r="AX283" s="107">
        <v>0</v>
      </c>
      <c r="AY283" s="138" t="str">
        <f t="shared" ca="1" si="133"/>
        <v xml:space="preserve"> </v>
      </c>
      <c r="AZ283" s="107">
        <f t="shared" ca="1" si="134"/>
        <v>0</v>
      </c>
      <c r="BA283" s="107">
        <f ca="1">IF(AZ283=1,(SUM($AW$6:AW283,$AX$6:AX283)-SUM($BA$6:BA282)),0)</f>
        <v>0</v>
      </c>
      <c r="BB283" s="107"/>
      <c r="BC283" s="107">
        <f ca="1">AV283+SUM($AW$6:AW283)+SUM($AX$6:AX283)-SUM($BA$6:BA283)</f>
        <v>0</v>
      </c>
      <c r="BD283" s="107">
        <f t="shared" ca="1" si="135"/>
        <v>0</v>
      </c>
      <c r="BE283" s="51">
        <f ca="1">'PiT PD Structure'!J323</f>
        <v>1.3745789487851212E-4</v>
      </c>
      <c r="BF283" s="139">
        <f t="shared" ca="1" si="150"/>
        <v>0.45</v>
      </c>
      <c r="BG283" s="51">
        <f t="shared" ca="1" si="136"/>
        <v>1</v>
      </c>
      <c r="BH283" s="50">
        <f t="shared" ca="1" si="137"/>
        <v>0</v>
      </c>
      <c r="BI283" s="50">
        <f t="shared" ca="1" si="138"/>
        <v>3.4816594052244909E-13</v>
      </c>
      <c r="BJ283" s="140">
        <v>0</v>
      </c>
      <c r="BK283" s="140">
        <v>0</v>
      </c>
      <c r="BR283" s="75">
        <f t="shared" ca="1" si="151"/>
        <v>51897</v>
      </c>
      <c r="BS283" s="74">
        <f t="shared" ca="1" si="152"/>
        <v>1</v>
      </c>
      <c r="BT283" s="74">
        <f t="shared" ca="1" si="145"/>
        <v>0</v>
      </c>
      <c r="BU283" s="73" t="str">
        <f t="shared" ca="1" si="153"/>
        <v xml:space="preserve"> </v>
      </c>
      <c r="BW283" s="75">
        <f t="shared" ca="1" si="154"/>
        <v>51897</v>
      </c>
      <c r="BX283" s="74">
        <f t="shared" ca="1" si="155"/>
        <v>1</v>
      </c>
      <c r="BY283" s="74">
        <f t="shared" ca="1" si="146"/>
        <v>0</v>
      </c>
      <c r="BZ283" s="73" t="str">
        <f t="shared" ca="1" si="156"/>
        <v xml:space="preserve"> </v>
      </c>
      <c r="CB283" s="75">
        <f t="shared" ca="1" si="157"/>
        <v>51897</v>
      </c>
      <c r="CC283" s="74">
        <f t="shared" ca="1" si="139"/>
        <v>1</v>
      </c>
      <c r="CD283" s="74">
        <f t="shared" ca="1" si="147"/>
        <v>0</v>
      </c>
      <c r="CE283" s="73" t="str">
        <f t="shared" ca="1" si="140"/>
        <v xml:space="preserve"> </v>
      </c>
    </row>
    <row r="284" spans="1:83" x14ac:dyDescent="0.2">
      <c r="A284" s="38" t="str">
        <f t="shared" si="158"/>
        <v xml:space="preserve"> </v>
      </c>
      <c r="B284" s="108"/>
      <c r="C284" s="38"/>
      <c r="D284" s="137"/>
      <c r="E284" s="137"/>
      <c r="F284" s="137"/>
      <c r="G284" s="122"/>
      <c r="H284" s="137"/>
      <c r="I284" s="50"/>
      <c r="J284" s="50"/>
      <c r="K284" s="50"/>
      <c r="L284" s="38"/>
      <c r="M284" s="38"/>
      <c r="N284" s="38"/>
      <c r="O284" s="50"/>
      <c r="P284" s="218"/>
      <c r="Q284" s="50"/>
      <c r="R284" s="50"/>
      <c r="S284" s="38"/>
      <c r="T284" s="51"/>
      <c r="U284" s="65"/>
      <c r="V284" s="105"/>
      <c r="W284" s="66"/>
      <c r="X284" s="66"/>
      <c r="Y284" s="38"/>
      <c r="Z284" s="66">
        <f t="shared" si="141"/>
        <v>0</v>
      </c>
      <c r="AA284" s="67"/>
      <c r="AC284" s="41" t="e">
        <f>VLOOKUP(A284,'Input Sheet'!$A$2:$B$232,2,0)</f>
        <v>#N/A</v>
      </c>
      <c r="AD284" s="70"/>
      <c r="AI284" s="68"/>
      <c r="AL284" s="107">
        <f t="shared" ca="1" si="128"/>
        <v>0</v>
      </c>
      <c r="AM284" s="49">
        <f t="shared" ca="1" si="148"/>
        <v>51925</v>
      </c>
      <c r="AN284" s="137" t="str">
        <f t="shared" ca="1" si="129"/>
        <v xml:space="preserve"> </v>
      </c>
      <c r="AO284" s="107">
        <f t="shared" ca="1" si="144"/>
        <v>0</v>
      </c>
      <c r="AP284" s="143">
        <f t="shared" ca="1" si="142"/>
        <v>0</v>
      </c>
      <c r="AQ284" s="143">
        <f t="shared" ca="1" si="130"/>
        <v>0</v>
      </c>
      <c r="AR284" s="49" t="str">
        <f t="shared" ca="1" si="131"/>
        <v xml:space="preserve"> </v>
      </c>
      <c r="AS284" s="107">
        <f t="shared" ca="1" si="132"/>
        <v>0</v>
      </c>
      <c r="AT284" s="107">
        <f t="shared" ca="1" si="143"/>
        <v>0</v>
      </c>
      <c r="AU284" s="107"/>
      <c r="AV284" s="107">
        <f ca="1">MAX(SUM($AQ$6:AQ284)-SUM($AT$6:AT284),0)</f>
        <v>0</v>
      </c>
      <c r="AW284" s="107">
        <f t="shared" ca="1" si="149"/>
        <v>0</v>
      </c>
      <c r="AX284" s="107">
        <v>0</v>
      </c>
      <c r="AY284" s="138" t="str">
        <f t="shared" ca="1" si="133"/>
        <v xml:space="preserve"> </v>
      </c>
      <c r="AZ284" s="107">
        <f t="shared" ca="1" si="134"/>
        <v>0</v>
      </c>
      <c r="BA284" s="107">
        <f ca="1">IF(AZ284=1,(SUM($AW$6:AW284,$AX$6:AX284)-SUM($BA$6:BA283)),0)</f>
        <v>0</v>
      </c>
      <c r="BB284" s="107"/>
      <c r="BC284" s="107">
        <f ca="1">AV284+SUM($AW$6:AW284)+SUM($AX$6:AX284)-SUM($BA$6:BA284)</f>
        <v>0</v>
      </c>
      <c r="BD284" s="107">
        <f t="shared" ca="1" si="135"/>
        <v>0</v>
      </c>
      <c r="BE284" s="51">
        <f ca="1">'PiT PD Structure'!J324</f>
        <v>1.3743784251563085E-4</v>
      </c>
      <c r="BF284" s="139">
        <f t="shared" ca="1" si="150"/>
        <v>0.45</v>
      </c>
      <c r="BG284" s="51">
        <f t="shared" ca="1" si="136"/>
        <v>1</v>
      </c>
      <c r="BH284" s="50">
        <f t="shared" ca="1" si="137"/>
        <v>0</v>
      </c>
      <c r="BI284" s="50">
        <f t="shared" ca="1" si="138"/>
        <v>3.4816594052244909E-13</v>
      </c>
      <c r="BJ284" s="140">
        <v>0</v>
      </c>
      <c r="BK284" s="140">
        <v>0</v>
      </c>
      <c r="BR284" s="75">
        <f t="shared" ca="1" si="151"/>
        <v>51925</v>
      </c>
      <c r="BS284" s="74">
        <f t="shared" ca="1" si="152"/>
        <v>2</v>
      </c>
      <c r="BT284" s="74">
        <f t="shared" ca="1" si="145"/>
        <v>0</v>
      </c>
      <c r="BU284" s="73" t="str">
        <f t="shared" ca="1" si="153"/>
        <v xml:space="preserve"> </v>
      </c>
      <c r="BW284" s="75">
        <f t="shared" ca="1" si="154"/>
        <v>51925</v>
      </c>
      <c r="BX284" s="74">
        <f t="shared" ca="1" si="155"/>
        <v>2</v>
      </c>
      <c r="BY284" s="74">
        <f t="shared" ca="1" si="146"/>
        <v>0</v>
      </c>
      <c r="BZ284" s="73" t="str">
        <f t="shared" ca="1" si="156"/>
        <v xml:space="preserve"> </v>
      </c>
      <c r="CB284" s="75">
        <f t="shared" ca="1" si="157"/>
        <v>51925</v>
      </c>
      <c r="CC284" s="74">
        <f t="shared" ca="1" si="139"/>
        <v>2</v>
      </c>
      <c r="CD284" s="74">
        <f t="shared" ca="1" si="147"/>
        <v>0</v>
      </c>
      <c r="CE284" s="73" t="str">
        <f t="shared" ca="1" si="140"/>
        <v xml:space="preserve"> </v>
      </c>
    </row>
    <row r="285" spans="1:83" x14ac:dyDescent="0.2">
      <c r="A285" s="38" t="str">
        <f t="shared" si="158"/>
        <v xml:space="preserve"> </v>
      </c>
      <c r="B285" s="108"/>
      <c r="C285" s="38"/>
      <c r="D285" s="137"/>
      <c r="E285" s="137"/>
      <c r="F285" s="137"/>
      <c r="G285" s="122"/>
      <c r="H285" s="137"/>
      <c r="I285" s="50"/>
      <c r="J285" s="50"/>
      <c r="K285" s="50"/>
      <c r="L285" s="38"/>
      <c r="M285" s="38"/>
      <c r="N285" s="38"/>
      <c r="O285" s="50"/>
      <c r="P285" s="218"/>
      <c r="Q285" s="50"/>
      <c r="R285" s="50"/>
      <c r="S285" s="38"/>
      <c r="T285" s="51"/>
      <c r="U285" s="65"/>
      <c r="V285" s="105"/>
      <c r="W285" s="66"/>
      <c r="X285" s="66"/>
      <c r="Y285" s="38"/>
      <c r="Z285" s="66">
        <f t="shared" si="141"/>
        <v>0</v>
      </c>
      <c r="AA285" s="67"/>
      <c r="AC285" s="41" t="e">
        <f>VLOOKUP(A285,'Input Sheet'!$A$2:$B$232,2,0)</f>
        <v>#N/A</v>
      </c>
      <c r="AD285" s="70"/>
      <c r="AI285" s="68"/>
      <c r="AL285" s="107">
        <f t="shared" ca="1" si="128"/>
        <v>0</v>
      </c>
      <c r="AM285" s="49">
        <f t="shared" ca="1" si="148"/>
        <v>51956</v>
      </c>
      <c r="AN285" s="137" t="str">
        <f t="shared" ca="1" si="129"/>
        <v xml:space="preserve"> </v>
      </c>
      <c r="AO285" s="107">
        <f t="shared" ca="1" si="144"/>
        <v>0</v>
      </c>
      <c r="AP285" s="143">
        <f t="shared" ca="1" si="142"/>
        <v>0</v>
      </c>
      <c r="AQ285" s="143">
        <f t="shared" ca="1" si="130"/>
        <v>0</v>
      </c>
      <c r="AR285" s="49" t="str">
        <f t="shared" ca="1" si="131"/>
        <v xml:space="preserve"> </v>
      </c>
      <c r="AS285" s="107">
        <f t="shared" ca="1" si="132"/>
        <v>0</v>
      </c>
      <c r="AT285" s="107">
        <f t="shared" ca="1" si="143"/>
        <v>0</v>
      </c>
      <c r="AU285" s="107"/>
      <c r="AV285" s="107">
        <f ca="1">MAX(SUM($AQ$6:AQ285)-SUM($AT$6:AT285),0)</f>
        <v>0</v>
      </c>
      <c r="AW285" s="107">
        <f t="shared" ca="1" si="149"/>
        <v>0</v>
      </c>
      <c r="AX285" s="107">
        <v>0</v>
      </c>
      <c r="AY285" s="138" t="str">
        <f t="shared" ca="1" si="133"/>
        <v xml:space="preserve"> </v>
      </c>
      <c r="AZ285" s="107">
        <f t="shared" ca="1" si="134"/>
        <v>0</v>
      </c>
      <c r="BA285" s="107">
        <f ca="1">IF(AZ285=1,(SUM($AW$6:AW285,$AX$6:AX285)-SUM($BA$6:BA284)),0)</f>
        <v>0</v>
      </c>
      <c r="BB285" s="107"/>
      <c r="BC285" s="107">
        <f ca="1">AV285+SUM($AW$6:AW285)+SUM($AX$6:AX285)-SUM($BA$6:BA285)</f>
        <v>0</v>
      </c>
      <c r="BD285" s="107">
        <f t="shared" ca="1" si="135"/>
        <v>0</v>
      </c>
      <c r="BE285" s="51">
        <f ca="1">'PiT PD Structure'!J325</f>
        <v>1.3741779307829827E-4</v>
      </c>
      <c r="BF285" s="139">
        <f t="shared" ca="1" si="150"/>
        <v>0.45</v>
      </c>
      <c r="BG285" s="51">
        <f t="shared" ca="1" si="136"/>
        <v>1</v>
      </c>
      <c r="BH285" s="50">
        <f t="shared" ca="1" si="137"/>
        <v>0</v>
      </c>
      <c r="BI285" s="50">
        <f t="shared" ca="1" si="138"/>
        <v>3.4816594052244909E-13</v>
      </c>
      <c r="BJ285" s="140">
        <v>0</v>
      </c>
      <c r="BK285" s="140">
        <v>0</v>
      </c>
      <c r="BR285" s="75">
        <f t="shared" ca="1" si="151"/>
        <v>51956</v>
      </c>
      <c r="BS285" s="74">
        <f t="shared" ca="1" si="152"/>
        <v>3</v>
      </c>
      <c r="BT285" s="74">
        <f t="shared" ca="1" si="145"/>
        <v>0</v>
      </c>
      <c r="BU285" s="73" t="str">
        <f t="shared" ca="1" si="153"/>
        <v xml:space="preserve"> </v>
      </c>
      <c r="BW285" s="75">
        <f t="shared" ca="1" si="154"/>
        <v>51956</v>
      </c>
      <c r="BX285" s="74">
        <f t="shared" ca="1" si="155"/>
        <v>3</v>
      </c>
      <c r="BY285" s="74">
        <f t="shared" ca="1" si="146"/>
        <v>0</v>
      </c>
      <c r="BZ285" s="73" t="str">
        <f t="shared" ca="1" si="156"/>
        <v xml:space="preserve"> </v>
      </c>
      <c r="CB285" s="75">
        <f t="shared" ca="1" si="157"/>
        <v>51956</v>
      </c>
      <c r="CC285" s="74">
        <f t="shared" ca="1" si="139"/>
        <v>3</v>
      </c>
      <c r="CD285" s="74">
        <f t="shared" ca="1" si="147"/>
        <v>0</v>
      </c>
      <c r="CE285" s="73" t="str">
        <f t="shared" ca="1" si="140"/>
        <v xml:space="preserve"> </v>
      </c>
    </row>
    <row r="286" spans="1:83" x14ac:dyDescent="0.2">
      <c r="A286" s="38" t="str">
        <f t="shared" si="158"/>
        <v xml:space="preserve"> </v>
      </c>
      <c r="B286" s="108"/>
      <c r="C286" s="38"/>
      <c r="D286" s="137"/>
      <c r="E286" s="137"/>
      <c r="F286" s="137"/>
      <c r="G286" s="122"/>
      <c r="H286" s="137"/>
      <c r="I286" s="50"/>
      <c r="J286" s="50"/>
      <c r="K286" s="50"/>
      <c r="L286" s="38"/>
      <c r="M286" s="38"/>
      <c r="N286" s="38"/>
      <c r="O286" s="50"/>
      <c r="P286" s="218"/>
      <c r="Q286" s="50"/>
      <c r="R286" s="50"/>
      <c r="S286" s="38"/>
      <c r="T286" s="51"/>
      <c r="U286" s="65"/>
      <c r="V286" s="105"/>
      <c r="W286" s="66"/>
      <c r="X286" s="66"/>
      <c r="Y286" s="38"/>
      <c r="Z286" s="66">
        <f t="shared" si="141"/>
        <v>0</v>
      </c>
      <c r="AA286" s="67"/>
      <c r="AC286" s="41" t="e">
        <f>VLOOKUP(A286,'Input Sheet'!$A$2:$B$232,2,0)</f>
        <v>#N/A</v>
      </c>
      <c r="AD286" s="70"/>
      <c r="AI286" s="68"/>
      <c r="AL286" s="107">
        <f t="shared" ca="1" si="128"/>
        <v>0</v>
      </c>
      <c r="AM286" s="49">
        <f t="shared" ca="1" si="148"/>
        <v>51986</v>
      </c>
      <c r="AN286" s="137" t="str">
        <f t="shared" ca="1" si="129"/>
        <v xml:space="preserve"> </v>
      </c>
      <c r="AO286" s="107">
        <f t="shared" ca="1" si="144"/>
        <v>0</v>
      </c>
      <c r="AP286" s="143">
        <f t="shared" ca="1" si="142"/>
        <v>0</v>
      </c>
      <c r="AQ286" s="143">
        <f t="shared" ca="1" si="130"/>
        <v>0</v>
      </c>
      <c r="AR286" s="49" t="str">
        <f t="shared" ca="1" si="131"/>
        <v xml:space="preserve"> </v>
      </c>
      <c r="AS286" s="107">
        <f t="shared" ca="1" si="132"/>
        <v>0</v>
      </c>
      <c r="AT286" s="107">
        <f t="shared" ca="1" si="143"/>
        <v>0</v>
      </c>
      <c r="AU286" s="107"/>
      <c r="AV286" s="107">
        <f ca="1">MAX(SUM($AQ$6:AQ286)-SUM($AT$6:AT286),0)</f>
        <v>0</v>
      </c>
      <c r="AW286" s="107">
        <f t="shared" ca="1" si="149"/>
        <v>0</v>
      </c>
      <c r="AX286" s="107">
        <v>0</v>
      </c>
      <c r="AY286" s="138" t="str">
        <f t="shared" ca="1" si="133"/>
        <v xml:space="preserve"> </v>
      </c>
      <c r="AZ286" s="107">
        <f t="shared" ca="1" si="134"/>
        <v>0</v>
      </c>
      <c r="BA286" s="107">
        <f ca="1">IF(AZ286=1,(SUM($AW$6:AW286,$AX$6:AX286)-SUM($BA$6:BA285)),0)</f>
        <v>0</v>
      </c>
      <c r="BB286" s="107"/>
      <c r="BC286" s="107">
        <f ca="1">AV286+SUM($AW$6:AW286)+SUM($AX$6:AX286)-SUM($BA$6:BA286)</f>
        <v>0</v>
      </c>
      <c r="BD286" s="107">
        <f t="shared" ca="1" si="135"/>
        <v>0</v>
      </c>
      <c r="BE286" s="51">
        <f ca="1">'PiT PD Structure'!J326</f>
        <v>1.3739774656540416E-4</v>
      </c>
      <c r="BF286" s="139">
        <f t="shared" ca="1" si="150"/>
        <v>0.45</v>
      </c>
      <c r="BG286" s="51">
        <f t="shared" ca="1" si="136"/>
        <v>1</v>
      </c>
      <c r="BH286" s="50">
        <f t="shared" ca="1" si="137"/>
        <v>0</v>
      </c>
      <c r="BI286" s="50">
        <f t="shared" ca="1" si="138"/>
        <v>3.4816594052244909E-13</v>
      </c>
      <c r="BJ286" s="140">
        <v>0</v>
      </c>
      <c r="BK286" s="140">
        <v>0</v>
      </c>
      <c r="BR286" s="75">
        <f t="shared" ca="1" si="151"/>
        <v>51986</v>
      </c>
      <c r="BS286" s="74">
        <f t="shared" ca="1" si="152"/>
        <v>4</v>
      </c>
      <c r="BT286" s="74">
        <f t="shared" ca="1" si="145"/>
        <v>0</v>
      </c>
      <c r="BU286" s="73" t="str">
        <f t="shared" ca="1" si="153"/>
        <v xml:space="preserve"> </v>
      </c>
      <c r="BW286" s="75">
        <f t="shared" ca="1" si="154"/>
        <v>51986</v>
      </c>
      <c r="BX286" s="74">
        <f t="shared" ca="1" si="155"/>
        <v>4</v>
      </c>
      <c r="BY286" s="74">
        <f t="shared" ca="1" si="146"/>
        <v>0</v>
      </c>
      <c r="BZ286" s="73" t="str">
        <f t="shared" ca="1" si="156"/>
        <v xml:space="preserve"> </v>
      </c>
      <c r="CB286" s="75">
        <f t="shared" ca="1" si="157"/>
        <v>51986</v>
      </c>
      <c r="CC286" s="74">
        <f t="shared" ca="1" si="139"/>
        <v>4</v>
      </c>
      <c r="CD286" s="74">
        <f t="shared" ca="1" si="147"/>
        <v>0</v>
      </c>
      <c r="CE286" s="73" t="str">
        <f t="shared" ca="1" si="140"/>
        <v xml:space="preserve"> </v>
      </c>
    </row>
    <row r="287" spans="1:83" x14ac:dyDescent="0.2">
      <c r="A287" s="38" t="str">
        <f t="shared" si="158"/>
        <v xml:space="preserve"> </v>
      </c>
      <c r="B287" s="108"/>
      <c r="C287" s="38"/>
      <c r="D287" s="137"/>
      <c r="E287" s="137"/>
      <c r="F287" s="137"/>
      <c r="G287" s="122"/>
      <c r="H287" s="137"/>
      <c r="I287" s="50"/>
      <c r="J287" s="50"/>
      <c r="K287" s="50"/>
      <c r="L287" s="38"/>
      <c r="M287" s="38"/>
      <c r="N287" s="38"/>
      <c r="O287" s="50"/>
      <c r="P287" s="218"/>
      <c r="Q287" s="50"/>
      <c r="R287" s="50"/>
      <c r="S287" s="38"/>
      <c r="T287" s="51"/>
      <c r="U287" s="65"/>
      <c r="V287" s="105"/>
      <c r="W287" s="66"/>
      <c r="X287" s="66"/>
      <c r="Y287" s="38"/>
      <c r="Z287" s="66">
        <f t="shared" si="141"/>
        <v>0</v>
      </c>
      <c r="AA287" s="67"/>
      <c r="AC287" s="41" t="e">
        <f>VLOOKUP(A287,'Input Sheet'!$A$2:$B$232,2,0)</f>
        <v>#N/A</v>
      </c>
      <c r="AD287" s="70"/>
      <c r="AI287" s="68"/>
      <c r="AL287" s="107">
        <f t="shared" ref="AL287:AL293" ca="1" si="159">IF(AM287&lt;=$AR$2,AL286+1,0)</f>
        <v>0</v>
      </c>
      <c r="AM287" s="49">
        <f t="shared" ca="1" si="148"/>
        <v>52017</v>
      </c>
      <c r="AN287" s="137" t="str">
        <f t="shared" ref="AN287:AN293" ca="1" si="160">CE287</f>
        <v xml:space="preserve"> </v>
      </c>
      <c r="AO287" s="107">
        <f t="shared" ca="1" si="144"/>
        <v>0</v>
      </c>
      <c r="AP287" s="143">
        <f t="shared" ca="1" si="142"/>
        <v>0</v>
      </c>
      <c r="AQ287" s="143">
        <f t="shared" ref="AQ287:AQ293" ca="1" si="161">IF(AND(AP287&gt;0,AM287&lt;=$AR$2),AQ286+AP287,0)</f>
        <v>0</v>
      </c>
      <c r="AR287" s="49" t="str">
        <f t="shared" ref="AR287:AR293" ca="1" si="162">BU287</f>
        <v xml:space="preserve"> </v>
      </c>
      <c r="AS287" s="107">
        <f t="shared" ref="AS287:AS293" ca="1" si="163">BT287</f>
        <v>0</v>
      </c>
      <c r="AT287" s="107">
        <f t="shared" ca="1" si="143"/>
        <v>0</v>
      </c>
      <c r="AU287" s="107"/>
      <c r="AV287" s="107">
        <f ca="1">MAX(SUM($AQ$6:AQ287)-SUM($AT$6:AT287),0)</f>
        <v>0</v>
      </c>
      <c r="AW287" s="107">
        <f t="shared" ca="1" si="149"/>
        <v>0</v>
      </c>
      <c r="AX287" s="107">
        <v>0</v>
      </c>
      <c r="AY287" s="138" t="str">
        <f t="shared" ref="AY287:AY293" ca="1" si="164">BZ287</f>
        <v xml:space="preserve"> </v>
      </c>
      <c r="AZ287" s="107">
        <f t="shared" ref="AZ287:AZ293" ca="1" si="165">BY287</f>
        <v>0</v>
      </c>
      <c r="BA287" s="107">
        <f ca="1">IF(AZ287=1,(SUM($AW$6:AW287,$AX$6:AX287)-SUM($BA$6:BA286)),0)</f>
        <v>0</v>
      </c>
      <c r="BB287" s="107"/>
      <c r="BC287" s="107">
        <f ca="1">AV287+SUM($AW$6:AW287)+SUM($AX$6:AX287)-SUM($BA$6:BA287)</f>
        <v>0</v>
      </c>
      <c r="BD287" s="107">
        <f t="shared" ref="BD287:BD293" ca="1" si="166">IF(AL287&gt;0,AM287-AM286,0)</f>
        <v>0</v>
      </c>
      <c r="BE287" s="51">
        <f ca="1">'PiT PD Structure'!J327</f>
        <v>1.3737770297717056E-4</v>
      </c>
      <c r="BF287" s="139">
        <f t="shared" ca="1" si="150"/>
        <v>0.45</v>
      </c>
      <c r="BG287" s="51">
        <f t="shared" ref="BG287:BG293" ca="1" si="167">1/(1+$BE$2)^(BD287/360)</f>
        <v>1</v>
      </c>
      <c r="BH287" s="50">
        <f t="shared" ref="BH287:BH293" ca="1" si="168">IF(AL287=0,0,BC287*BE287*BF287*BG287)</f>
        <v>0</v>
      </c>
      <c r="BI287" s="50">
        <f t="shared" ref="BI287:BI293" ca="1" si="169">BI286-BH286</f>
        <v>3.4816594052244909E-13</v>
      </c>
      <c r="BJ287" s="140">
        <v>0</v>
      </c>
      <c r="BK287" s="140">
        <v>0</v>
      </c>
      <c r="BR287" s="75">
        <f t="shared" ca="1" si="151"/>
        <v>52017</v>
      </c>
      <c r="BS287" s="74">
        <f t="shared" ca="1" si="152"/>
        <v>5</v>
      </c>
      <c r="BT287" s="74">
        <f t="shared" ca="1" si="145"/>
        <v>0</v>
      </c>
      <c r="BU287" s="73" t="str">
        <f t="shared" ca="1" si="153"/>
        <v xml:space="preserve"> </v>
      </c>
      <c r="BW287" s="75">
        <f t="shared" ca="1" si="154"/>
        <v>52017</v>
      </c>
      <c r="BX287" s="74">
        <f t="shared" ca="1" si="155"/>
        <v>5</v>
      </c>
      <c r="BY287" s="74">
        <f t="shared" ca="1" si="146"/>
        <v>0</v>
      </c>
      <c r="BZ287" s="73" t="str">
        <f t="shared" ca="1" si="156"/>
        <v xml:space="preserve"> </v>
      </c>
      <c r="CB287" s="75">
        <f t="shared" ca="1" si="157"/>
        <v>52017</v>
      </c>
      <c r="CC287" s="74">
        <f t="shared" ca="1" si="139"/>
        <v>5</v>
      </c>
      <c r="CD287" s="74">
        <f t="shared" ca="1" si="147"/>
        <v>0</v>
      </c>
      <c r="CE287" s="73" t="str">
        <f t="shared" ca="1" si="140"/>
        <v xml:space="preserve"> </v>
      </c>
    </row>
    <row r="288" spans="1:83" x14ac:dyDescent="0.2">
      <c r="A288" s="38" t="str">
        <f t="shared" si="158"/>
        <v xml:space="preserve"> </v>
      </c>
      <c r="B288" s="108"/>
      <c r="C288" s="38"/>
      <c r="D288" s="137"/>
      <c r="E288" s="137"/>
      <c r="F288" s="137"/>
      <c r="G288" s="122"/>
      <c r="H288" s="137"/>
      <c r="I288" s="50"/>
      <c r="J288" s="50"/>
      <c r="K288" s="50"/>
      <c r="L288" s="38"/>
      <c r="M288" s="38"/>
      <c r="N288" s="38"/>
      <c r="O288" s="50"/>
      <c r="P288" s="218"/>
      <c r="Q288" s="50"/>
      <c r="R288" s="50"/>
      <c r="S288" s="38"/>
      <c r="T288" s="51"/>
      <c r="U288" s="65"/>
      <c r="V288" s="105"/>
      <c r="W288" s="66"/>
      <c r="X288" s="66"/>
      <c r="Y288" s="38"/>
      <c r="Z288" s="66">
        <f t="shared" si="141"/>
        <v>0</v>
      </c>
      <c r="AA288" s="67"/>
      <c r="AC288" s="41" t="e">
        <f>VLOOKUP(A288,'Input Sheet'!$A$2:$B$232,2,0)</f>
        <v>#N/A</v>
      </c>
      <c r="AD288" s="70"/>
      <c r="AI288" s="68"/>
      <c r="AL288" s="107">
        <f t="shared" ca="1" si="159"/>
        <v>0</v>
      </c>
      <c r="AM288" s="49">
        <f t="shared" ca="1" si="148"/>
        <v>52047</v>
      </c>
      <c r="AN288" s="137" t="str">
        <f t="shared" ca="1" si="160"/>
        <v xml:space="preserve"> </v>
      </c>
      <c r="AO288" s="107">
        <f t="shared" ca="1" si="144"/>
        <v>0</v>
      </c>
      <c r="AP288" s="143">
        <f t="shared" ca="1" si="142"/>
        <v>0</v>
      </c>
      <c r="AQ288" s="143">
        <f t="shared" ca="1" si="161"/>
        <v>0</v>
      </c>
      <c r="AR288" s="49" t="str">
        <f t="shared" ca="1" si="162"/>
        <v xml:space="preserve"> </v>
      </c>
      <c r="AS288" s="107">
        <f t="shared" ca="1" si="163"/>
        <v>0</v>
      </c>
      <c r="AT288" s="107">
        <f t="shared" ca="1" si="143"/>
        <v>0</v>
      </c>
      <c r="AU288" s="107"/>
      <c r="AV288" s="107">
        <f ca="1">MAX(SUM($AQ$6:AQ288)-SUM($AT$6:AT288),0)</f>
        <v>0</v>
      </c>
      <c r="AW288" s="107">
        <f t="shared" ca="1" si="149"/>
        <v>0</v>
      </c>
      <c r="AX288" s="107">
        <v>0</v>
      </c>
      <c r="AY288" s="138" t="str">
        <f t="shared" ca="1" si="164"/>
        <v xml:space="preserve"> </v>
      </c>
      <c r="AZ288" s="107">
        <f t="shared" ca="1" si="165"/>
        <v>0</v>
      </c>
      <c r="BA288" s="107">
        <f ca="1">IF(AZ288=1,(SUM($AW$6:AW288,$AX$6:AX288)-SUM($BA$6:BA287)),0)</f>
        <v>0</v>
      </c>
      <c r="BB288" s="107"/>
      <c r="BC288" s="107">
        <f ca="1">AV288+SUM($AW$6:AW288)+SUM($AX$6:AX288)-SUM($BA$6:BA288)</f>
        <v>0</v>
      </c>
      <c r="BD288" s="107">
        <f t="shared" ca="1" si="166"/>
        <v>0</v>
      </c>
      <c r="BE288" s="51">
        <f ca="1">'PiT PD Structure'!J328</f>
        <v>1.3735766231293134E-4</v>
      </c>
      <c r="BF288" s="139">
        <f t="shared" ca="1" si="150"/>
        <v>0.45</v>
      </c>
      <c r="BG288" s="51">
        <f t="shared" ca="1" si="167"/>
        <v>1</v>
      </c>
      <c r="BH288" s="50">
        <f t="shared" ca="1" si="168"/>
        <v>0</v>
      </c>
      <c r="BI288" s="50">
        <f t="shared" ca="1" si="169"/>
        <v>3.4816594052244909E-13</v>
      </c>
      <c r="BJ288" s="140">
        <v>0</v>
      </c>
      <c r="BK288" s="140">
        <v>0</v>
      </c>
      <c r="BR288" s="75">
        <f t="shared" ca="1" si="151"/>
        <v>52047</v>
      </c>
      <c r="BS288" s="74">
        <f t="shared" ca="1" si="152"/>
        <v>6</v>
      </c>
      <c r="BT288" s="74">
        <f t="shared" ca="1" si="145"/>
        <v>0</v>
      </c>
      <c r="BU288" s="73" t="str">
        <f t="shared" ca="1" si="153"/>
        <v xml:space="preserve"> </v>
      </c>
      <c r="BW288" s="75">
        <f t="shared" ca="1" si="154"/>
        <v>52047</v>
      </c>
      <c r="BX288" s="74">
        <f t="shared" ca="1" si="155"/>
        <v>6</v>
      </c>
      <c r="BY288" s="74">
        <f t="shared" ca="1" si="146"/>
        <v>0</v>
      </c>
      <c r="BZ288" s="73" t="str">
        <f t="shared" ca="1" si="156"/>
        <v xml:space="preserve"> </v>
      </c>
      <c r="CB288" s="75">
        <f t="shared" ca="1" si="157"/>
        <v>52047</v>
      </c>
      <c r="CC288" s="74">
        <f t="shared" ca="1" si="139"/>
        <v>6</v>
      </c>
      <c r="CD288" s="74">
        <f t="shared" ca="1" si="147"/>
        <v>0</v>
      </c>
      <c r="CE288" s="73" t="str">
        <f t="shared" ca="1" si="140"/>
        <v xml:space="preserve"> </v>
      </c>
    </row>
    <row r="289" spans="1:83" x14ac:dyDescent="0.2">
      <c r="A289" s="38" t="str">
        <f t="shared" si="158"/>
        <v xml:space="preserve"> </v>
      </c>
      <c r="B289" s="108"/>
      <c r="C289" s="38"/>
      <c r="D289" s="137"/>
      <c r="E289" s="137"/>
      <c r="F289" s="137"/>
      <c r="G289" s="122"/>
      <c r="H289" s="137"/>
      <c r="I289" s="50"/>
      <c r="J289" s="50"/>
      <c r="K289" s="50"/>
      <c r="L289" s="38"/>
      <c r="M289" s="38"/>
      <c r="N289" s="38"/>
      <c r="O289" s="50"/>
      <c r="P289" s="218"/>
      <c r="Q289" s="50"/>
      <c r="R289" s="50"/>
      <c r="S289" s="38"/>
      <c r="T289" s="51"/>
      <c r="U289" s="65"/>
      <c r="V289" s="105"/>
      <c r="W289" s="66"/>
      <c r="X289" s="66"/>
      <c r="Y289" s="38"/>
      <c r="Z289" s="66">
        <f t="shared" si="141"/>
        <v>0</v>
      </c>
      <c r="AA289" s="67"/>
      <c r="AC289" s="41" t="e">
        <f>VLOOKUP(A289,'Input Sheet'!$A$2:$B$232,2,0)</f>
        <v>#N/A</v>
      </c>
      <c r="AD289" s="70"/>
      <c r="AI289" s="68"/>
      <c r="AL289" s="107">
        <f t="shared" ca="1" si="159"/>
        <v>0</v>
      </c>
      <c r="AM289" s="49">
        <f t="shared" ca="1" si="148"/>
        <v>52078</v>
      </c>
      <c r="AN289" s="137" t="str">
        <f t="shared" ca="1" si="160"/>
        <v xml:space="preserve"> </v>
      </c>
      <c r="AO289" s="107">
        <f t="shared" ca="1" si="144"/>
        <v>0</v>
      </c>
      <c r="AP289" s="143">
        <f t="shared" ca="1" si="142"/>
        <v>0</v>
      </c>
      <c r="AQ289" s="143">
        <f t="shared" ca="1" si="161"/>
        <v>0</v>
      </c>
      <c r="AR289" s="49" t="str">
        <f t="shared" ca="1" si="162"/>
        <v xml:space="preserve"> </v>
      </c>
      <c r="AS289" s="107">
        <f t="shared" ca="1" si="163"/>
        <v>0</v>
      </c>
      <c r="AT289" s="107">
        <f t="shared" ca="1" si="143"/>
        <v>0</v>
      </c>
      <c r="AU289" s="107"/>
      <c r="AV289" s="107">
        <f ca="1">MAX(SUM($AQ$6:AQ289)-SUM($AT$6:AT289),0)</f>
        <v>0</v>
      </c>
      <c r="AW289" s="107">
        <f t="shared" ca="1" si="149"/>
        <v>0</v>
      </c>
      <c r="AX289" s="107">
        <v>0</v>
      </c>
      <c r="AY289" s="138" t="str">
        <f t="shared" ca="1" si="164"/>
        <v xml:space="preserve"> </v>
      </c>
      <c r="AZ289" s="107">
        <f t="shared" ca="1" si="165"/>
        <v>0</v>
      </c>
      <c r="BA289" s="107">
        <f ca="1">IF(AZ289=1,(SUM($AW$6:AW289,$AX$6:AX289)-SUM($BA$6:BA288)),0)</f>
        <v>0</v>
      </c>
      <c r="BB289" s="107"/>
      <c r="BC289" s="107">
        <f ca="1">AV289+SUM($AW$6:AW289)+SUM($AX$6:AX289)-SUM($BA$6:BA289)</f>
        <v>0</v>
      </c>
      <c r="BD289" s="107">
        <f t="shared" ca="1" si="166"/>
        <v>0</v>
      </c>
      <c r="BE289" s="51">
        <f ca="1">'PiT PD Structure'!J329</f>
        <v>1.3733762457202037E-4</v>
      </c>
      <c r="BF289" s="139">
        <f t="shared" ca="1" si="150"/>
        <v>0.45</v>
      </c>
      <c r="BG289" s="51">
        <f t="shared" ca="1" si="167"/>
        <v>1</v>
      </c>
      <c r="BH289" s="50">
        <f t="shared" ca="1" si="168"/>
        <v>0</v>
      </c>
      <c r="BI289" s="50">
        <f t="shared" ca="1" si="169"/>
        <v>3.4816594052244909E-13</v>
      </c>
      <c r="BJ289" s="140">
        <v>0</v>
      </c>
      <c r="BK289" s="140">
        <v>0</v>
      </c>
      <c r="BR289" s="75">
        <f t="shared" ca="1" si="151"/>
        <v>52078</v>
      </c>
      <c r="BS289" s="74">
        <f t="shared" ca="1" si="152"/>
        <v>7</v>
      </c>
      <c r="BT289" s="74">
        <f t="shared" ca="1" si="145"/>
        <v>0</v>
      </c>
      <c r="BU289" s="73" t="str">
        <f t="shared" ca="1" si="153"/>
        <v xml:space="preserve"> </v>
      </c>
      <c r="BW289" s="75">
        <f t="shared" ca="1" si="154"/>
        <v>52078</v>
      </c>
      <c r="BX289" s="74">
        <f t="shared" ca="1" si="155"/>
        <v>7</v>
      </c>
      <c r="BY289" s="74">
        <f t="shared" ca="1" si="146"/>
        <v>0</v>
      </c>
      <c r="BZ289" s="73" t="str">
        <f t="shared" ca="1" si="156"/>
        <v xml:space="preserve"> </v>
      </c>
      <c r="CB289" s="75">
        <f t="shared" ca="1" si="157"/>
        <v>52078</v>
      </c>
      <c r="CC289" s="74">
        <f t="shared" ca="1" si="139"/>
        <v>7</v>
      </c>
      <c r="CD289" s="74">
        <f t="shared" ca="1" si="147"/>
        <v>0</v>
      </c>
      <c r="CE289" s="73" t="str">
        <f t="shared" ca="1" si="140"/>
        <v xml:space="preserve"> </v>
      </c>
    </row>
    <row r="290" spans="1:83" x14ac:dyDescent="0.2">
      <c r="A290" s="38" t="str">
        <f t="shared" si="158"/>
        <v xml:space="preserve"> </v>
      </c>
      <c r="B290" s="108"/>
      <c r="C290" s="38"/>
      <c r="D290" s="137"/>
      <c r="E290" s="137"/>
      <c r="F290" s="137"/>
      <c r="G290" s="122"/>
      <c r="H290" s="137"/>
      <c r="I290" s="50"/>
      <c r="J290" s="50"/>
      <c r="K290" s="50"/>
      <c r="L290" s="38"/>
      <c r="M290" s="38"/>
      <c r="N290" s="38"/>
      <c r="O290" s="50"/>
      <c r="P290" s="218"/>
      <c r="Q290" s="50"/>
      <c r="R290" s="50"/>
      <c r="S290" s="38"/>
      <c r="T290" s="51"/>
      <c r="U290" s="65"/>
      <c r="V290" s="105"/>
      <c r="W290" s="66"/>
      <c r="X290" s="66"/>
      <c r="Y290" s="38"/>
      <c r="Z290" s="66">
        <f t="shared" si="141"/>
        <v>0</v>
      </c>
      <c r="AA290" s="67"/>
      <c r="AC290" s="41" t="e">
        <f>VLOOKUP(A290,'Input Sheet'!$A$2:$B$232,2,0)</f>
        <v>#N/A</v>
      </c>
      <c r="AD290" s="70"/>
      <c r="AI290" s="68"/>
      <c r="AL290" s="107">
        <f t="shared" ca="1" si="159"/>
        <v>0</v>
      </c>
      <c r="AM290" s="49">
        <f t="shared" ca="1" si="148"/>
        <v>52109</v>
      </c>
      <c r="AN290" s="137" t="str">
        <f t="shared" ca="1" si="160"/>
        <v xml:space="preserve"> </v>
      </c>
      <c r="AO290" s="107">
        <f t="shared" ca="1" si="144"/>
        <v>0</v>
      </c>
      <c r="AP290" s="143">
        <f t="shared" ca="1" si="142"/>
        <v>0</v>
      </c>
      <c r="AQ290" s="143">
        <f t="shared" ca="1" si="161"/>
        <v>0</v>
      </c>
      <c r="AR290" s="49" t="str">
        <f t="shared" ca="1" si="162"/>
        <v xml:space="preserve"> </v>
      </c>
      <c r="AS290" s="107">
        <f t="shared" ca="1" si="163"/>
        <v>0</v>
      </c>
      <c r="AT290" s="107">
        <f t="shared" ca="1" si="143"/>
        <v>0</v>
      </c>
      <c r="AU290" s="107"/>
      <c r="AV290" s="107">
        <f ca="1">MAX(SUM($AQ$6:AQ290)-SUM($AT$6:AT290),0)</f>
        <v>0</v>
      </c>
      <c r="AW290" s="107">
        <f t="shared" ca="1" si="149"/>
        <v>0</v>
      </c>
      <c r="AX290" s="107">
        <v>0</v>
      </c>
      <c r="AY290" s="138" t="str">
        <f t="shared" ca="1" si="164"/>
        <v xml:space="preserve"> </v>
      </c>
      <c r="AZ290" s="107">
        <f t="shared" ca="1" si="165"/>
        <v>0</v>
      </c>
      <c r="BA290" s="107">
        <f ca="1">IF(AZ290=1,(SUM($AW$6:AW290,$AX$6:AX290)-SUM($BA$6:BA289)),0)</f>
        <v>0</v>
      </c>
      <c r="BB290" s="107"/>
      <c r="BC290" s="107">
        <f ca="1">AV290+SUM($AW$6:AW290)+SUM($AX$6:AX290)-SUM($BA$6:BA290)</f>
        <v>0</v>
      </c>
      <c r="BD290" s="107">
        <f t="shared" ca="1" si="166"/>
        <v>0</v>
      </c>
      <c r="BE290" s="51">
        <f ca="1">'PiT PD Structure'!J330</f>
        <v>1.3731758975432662E-4</v>
      </c>
      <c r="BF290" s="139">
        <f t="shared" ca="1" si="150"/>
        <v>0.45</v>
      </c>
      <c r="BG290" s="51">
        <f t="shared" ca="1" si="167"/>
        <v>1</v>
      </c>
      <c r="BH290" s="50">
        <f t="shared" ca="1" si="168"/>
        <v>0</v>
      </c>
      <c r="BI290" s="50">
        <f t="shared" ca="1" si="169"/>
        <v>3.4816594052244909E-13</v>
      </c>
      <c r="BJ290" s="140">
        <v>0</v>
      </c>
      <c r="BK290" s="140">
        <v>0</v>
      </c>
      <c r="BR290" s="75">
        <f t="shared" ca="1" si="151"/>
        <v>52109</v>
      </c>
      <c r="BS290" s="74">
        <f t="shared" ca="1" si="152"/>
        <v>8</v>
      </c>
      <c r="BT290" s="74">
        <f t="shared" ca="1" si="145"/>
        <v>0</v>
      </c>
      <c r="BU290" s="73" t="str">
        <f t="shared" ca="1" si="153"/>
        <v xml:space="preserve"> </v>
      </c>
      <c r="BW290" s="75">
        <f t="shared" ca="1" si="154"/>
        <v>52109</v>
      </c>
      <c r="BX290" s="74">
        <f t="shared" ca="1" si="155"/>
        <v>8</v>
      </c>
      <c r="BY290" s="74">
        <f t="shared" ca="1" si="146"/>
        <v>0</v>
      </c>
      <c r="BZ290" s="73" t="str">
        <f t="shared" ca="1" si="156"/>
        <v xml:space="preserve"> </v>
      </c>
      <c r="CB290" s="75">
        <f t="shared" ca="1" si="157"/>
        <v>52109</v>
      </c>
      <c r="CC290" s="74">
        <f t="shared" ca="1" si="139"/>
        <v>8</v>
      </c>
      <c r="CD290" s="74">
        <f t="shared" ca="1" si="147"/>
        <v>0</v>
      </c>
      <c r="CE290" s="73" t="str">
        <f t="shared" ca="1" si="140"/>
        <v xml:space="preserve"> </v>
      </c>
    </row>
    <row r="291" spans="1:83" x14ac:dyDescent="0.2">
      <c r="A291" s="38" t="str">
        <f t="shared" si="158"/>
        <v xml:space="preserve"> </v>
      </c>
      <c r="B291" s="108"/>
      <c r="C291" s="38"/>
      <c r="D291" s="137"/>
      <c r="E291" s="137"/>
      <c r="F291" s="137"/>
      <c r="G291" s="122"/>
      <c r="H291" s="137"/>
      <c r="I291" s="50"/>
      <c r="J291" s="50"/>
      <c r="K291" s="50"/>
      <c r="L291" s="38"/>
      <c r="M291" s="38"/>
      <c r="N291" s="38"/>
      <c r="O291" s="50"/>
      <c r="P291" s="218"/>
      <c r="Q291" s="50"/>
      <c r="R291" s="50"/>
      <c r="S291" s="38"/>
      <c r="T291" s="51"/>
      <c r="U291" s="65"/>
      <c r="V291" s="105"/>
      <c r="W291" s="66"/>
      <c r="X291" s="66"/>
      <c r="Y291" s="38"/>
      <c r="Z291" s="66">
        <f t="shared" si="141"/>
        <v>0</v>
      </c>
      <c r="AA291" s="67"/>
      <c r="AC291" s="41" t="e">
        <f>VLOOKUP(A291,'Input Sheet'!$A$2:$B$232,2,0)</f>
        <v>#N/A</v>
      </c>
      <c r="AD291" s="70"/>
      <c r="AI291" s="68"/>
      <c r="AL291" s="107">
        <f t="shared" ca="1" si="159"/>
        <v>0</v>
      </c>
      <c r="AM291" s="49">
        <f t="shared" ca="1" si="148"/>
        <v>52139</v>
      </c>
      <c r="AN291" s="137" t="str">
        <f t="shared" ca="1" si="160"/>
        <v xml:space="preserve"> </v>
      </c>
      <c r="AO291" s="107">
        <f t="shared" ca="1" si="144"/>
        <v>0</v>
      </c>
      <c r="AP291" s="143">
        <f t="shared" ca="1" si="142"/>
        <v>0</v>
      </c>
      <c r="AQ291" s="143">
        <f t="shared" ca="1" si="161"/>
        <v>0</v>
      </c>
      <c r="AR291" s="49" t="str">
        <f t="shared" ca="1" si="162"/>
        <v xml:space="preserve"> </v>
      </c>
      <c r="AS291" s="107">
        <f t="shared" ca="1" si="163"/>
        <v>0</v>
      </c>
      <c r="AT291" s="107">
        <f t="shared" ca="1" si="143"/>
        <v>0</v>
      </c>
      <c r="AU291" s="107"/>
      <c r="AV291" s="107">
        <f ca="1">MAX(SUM($AQ$6:AQ291)-SUM($AT$6:AT291),0)</f>
        <v>0</v>
      </c>
      <c r="AW291" s="107">
        <f t="shared" ca="1" si="149"/>
        <v>0</v>
      </c>
      <c r="AX291" s="107">
        <v>0</v>
      </c>
      <c r="AY291" s="138" t="str">
        <f t="shared" ca="1" si="164"/>
        <v xml:space="preserve"> </v>
      </c>
      <c r="AZ291" s="107">
        <f t="shared" ca="1" si="165"/>
        <v>0</v>
      </c>
      <c r="BA291" s="107">
        <f ca="1">IF(AZ291=1,(SUM($AW$6:AW291,$AX$6:AX291)-SUM($BA$6:BA290)),0)</f>
        <v>0</v>
      </c>
      <c r="BB291" s="107"/>
      <c r="BC291" s="107">
        <f ca="1">AV291+SUM($AW$6:AW291)+SUM($AX$6:AX291)-SUM($BA$6:BA291)</f>
        <v>0</v>
      </c>
      <c r="BD291" s="107">
        <f t="shared" ca="1" si="166"/>
        <v>0</v>
      </c>
      <c r="BE291" s="51">
        <f ca="1">'PiT PD Structure'!J331</f>
        <v>1.3729755785929498E-4</v>
      </c>
      <c r="BF291" s="139">
        <f t="shared" ca="1" si="150"/>
        <v>0.45</v>
      </c>
      <c r="BG291" s="51">
        <f t="shared" ca="1" si="167"/>
        <v>1</v>
      </c>
      <c r="BH291" s="50">
        <f t="shared" ca="1" si="168"/>
        <v>0</v>
      </c>
      <c r="BI291" s="50">
        <f t="shared" ca="1" si="169"/>
        <v>3.4816594052244909E-13</v>
      </c>
      <c r="BJ291" s="140">
        <v>0</v>
      </c>
      <c r="BK291" s="140">
        <v>0</v>
      </c>
      <c r="BR291" s="75">
        <f t="shared" ca="1" si="151"/>
        <v>52139</v>
      </c>
      <c r="BS291" s="74">
        <f t="shared" ca="1" si="152"/>
        <v>9</v>
      </c>
      <c r="BT291" s="74">
        <f t="shared" ca="1" si="145"/>
        <v>0</v>
      </c>
      <c r="BU291" s="73" t="str">
        <f t="shared" ca="1" si="153"/>
        <v xml:space="preserve"> </v>
      </c>
      <c r="BW291" s="75">
        <f t="shared" ca="1" si="154"/>
        <v>52139</v>
      </c>
      <c r="BX291" s="74">
        <f t="shared" ca="1" si="155"/>
        <v>9</v>
      </c>
      <c r="BY291" s="74">
        <f t="shared" ca="1" si="146"/>
        <v>0</v>
      </c>
      <c r="BZ291" s="73" t="str">
        <f t="shared" ca="1" si="156"/>
        <v xml:space="preserve"> </v>
      </c>
      <c r="CB291" s="75">
        <f t="shared" ca="1" si="157"/>
        <v>52139</v>
      </c>
      <c r="CC291" s="74">
        <f t="shared" ca="1" si="139"/>
        <v>9</v>
      </c>
      <c r="CD291" s="74">
        <f t="shared" ca="1" si="147"/>
        <v>0</v>
      </c>
      <c r="CE291" s="73" t="str">
        <f t="shared" ca="1" si="140"/>
        <v xml:space="preserve"> </v>
      </c>
    </row>
    <row r="292" spans="1:83" x14ac:dyDescent="0.2">
      <c r="A292" s="38" t="str">
        <f t="shared" si="158"/>
        <v xml:space="preserve"> </v>
      </c>
      <c r="B292" s="108"/>
      <c r="C292" s="38"/>
      <c r="D292" s="137"/>
      <c r="E292" s="137"/>
      <c r="F292" s="137"/>
      <c r="G292" s="122"/>
      <c r="H292" s="137"/>
      <c r="I292" s="50"/>
      <c r="J292" s="50"/>
      <c r="K292" s="50"/>
      <c r="L292" s="38"/>
      <c r="M292" s="38"/>
      <c r="N292" s="38"/>
      <c r="O292" s="50"/>
      <c r="P292" s="218"/>
      <c r="Q292" s="50"/>
      <c r="R292" s="50"/>
      <c r="S292" s="38"/>
      <c r="T292" s="51"/>
      <c r="U292" s="65"/>
      <c r="V292" s="105"/>
      <c r="W292" s="66"/>
      <c r="X292" s="66"/>
      <c r="Y292" s="38"/>
      <c r="Z292" s="66">
        <f t="shared" si="141"/>
        <v>0</v>
      </c>
      <c r="AA292" s="67"/>
      <c r="AC292" s="41" t="e">
        <f>VLOOKUP(A292,'Input Sheet'!$A$2:$B$232,2,0)</f>
        <v>#N/A</v>
      </c>
      <c r="AD292" s="70"/>
      <c r="AI292" s="68"/>
      <c r="AL292" s="107">
        <f t="shared" ca="1" si="159"/>
        <v>0</v>
      </c>
      <c r="AM292" s="49">
        <f t="shared" ca="1" si="148"/>
        <v>52170</v>
      </c>
      <c r="AN292" s="137" t="str">
        <f t="shared" ca="1" si="160"/>
        <v xml:space="preserve"> </v>
      </c>
      <c r="AO292" s="107">
        <f t="shared" ca="1" si="144"/>
        <v>0</v>
      </c>
      <c r="AP292" s="143">
        <f t="shared" ca="1" si="142"/>
        <v>0</v>
      </c>
      <c r="AQ292" s="143">
        <f t="shared" ca="1" si="161"/>
        <v>0</v>
      </c>
      <c r="AR292" s="49" t="str">
        <f t="shared" ca="1" si="162"/>
        <v xml:space="preserve"> </v>
      </c>
      <c r="AS292" s="107">
        <f t="shared" ca="1" si="163"/>
        <v>0</v>
      </c>
      <c r="AT292" s="107">
        <f t="shared" ca="1" si="143"/>
        <v>0</v>
      </c>
      <c r="AU292" s="107"/>
      <c r="AV292" s="107">
        <f ca="1">MAX(SUM($AQ$6:AQ292)-SUM($AT$6:AT292),0)</f>
        <v>0</v>
      </c>
      <c r="AW292" s="107">
        <f t="shared" ca="1" si="149"/>
        <v>0</v>
      </c>
      <c r="AX292" s="107">
        <v>0</v>
      </c>
      <c r="AY292" s="138" t="str">
        <f t="shared" ca="1" si="164"/>
        <v xml:space="preserve"> </v>
      </c>
      <c r="AZ292" s="107">
        <f t="shared" ca="1" si="165"/>
        <v>0</v>
      </c>
      <c r="BA292" s="107">
        <f ca="1">IF(AZ292=1,(SUM($AW$6:AW292,$AX$6:AX292)-SUM($BA$6:BA291)),0)</f>
        <v>0</v>
      </c>
      <c r="BB292" s="107"/>
      <c r="BC292" s="107">
        <f ca="1">AV292+SUM($AW$6:AW292)+SUM($AX$6:AX292)-SUM($BA$6:BA292)</f>
        <v>0</v>
      </c>
      <c r="BD292" s="107">
        <f t="shared" ca="1" si="166"/>
        <v>0</v>
      </c>
      <c r="BE292" s="51">
        <f ca="1">'PiT PD Structure'!J332</f>
        <v>1.3727752888648137E-4</v>
      </c>
      <c r="BF292" s="139">
        <f t="shared" ca="1" si="150"/>
        <v>0.45</v>
      </c>
      <c r="BG292" s="51">
        <f t="shared" ca="1" si="167"/>
        <v>1</v>
      </c>
      <c r="BH292" s="50">
        <f t="shared" ca="1" si="168"/>
        <v>0</v>
      </c>
      <c r="BI292" s="50">
        <f t="shared" ca="1" si="169"/>
        <v>3.4816594052244909E-13</v>
      </c>
      <c r="BJ292" s="140">
        <v>0</v>
      </c>
      <c r="BK292" s="140">
        <v>0</v>
      </c>
      <c r="BR292" s="75">
        <f t="shared" ca="1" si="151"/>
        <v>52170</v>
      </c>
      <c r="BS292" s="74">
        <f t="shared" ca="1" si="152"/>
        <v>10</v>
      </c>
      <c r="BT292" s="74">
        <f t="shared" ca="1" si="145"/>
        <v>0</v>
      </c>
      <c r="BU292" s="73" t="str">
        <f t="shared" ca="1" si="153"/>
        <v xml:space="preserve"> </v>
      </c>
      <c r="BW292" s="75">
        <f t="shared" ca="1" si="154"/>
        <v>52170</v>
      </c>
      <c r="BX292" s="74">
        <f t="shared" ca="1" si="155"/>
        <v>10</v>
      </c>
      <c r="BY292" s="74">
        <f t="shared" ca="1" si="146"/>
        <v>0</v>
      </c>
      <c r="BZ292" s="73" t="str">
        <f t="shared" ca="1" si="156"/>
        <v xml:space="preserve"> </v>
      </c>
      <c r="CB292" s="75">
        <f t="shared" ca="1" si="157"/>
        <v>52170</v>
      </c>
      <c r="CC292" s="74">
        <f t="shared" ca="1" si="139"/>
        <v>10</v>
      </c>
      <c r="CD292" s="74">
        <f t="shared" ca="1" si="147"/>
        <v>0</v>
      </c>
      <c r="CE292" s="73" t="str">
        <f t="shared" ca="1" si="140"/>
        <v xml:space="preserve"> </v>
      </c>
    </row>
    <row r="293" spans="1:83" x14ac:dyDescent="0.2">
      <c r="A293" s="38" t="str">
        <f t="shared" si="158"/>
        <v xml:space="preserve"> </v>
      </c>
      <c r="B293" s="108"/>
      <c r="C293" s="38"/>
      <c r="D293" s="137"/>
      <c r="E293" s="137"/>
      <c r="F293" s="137"/>
      <c r="G293" s="122"/>
      <c r="H293" s="137"/>
      <c r="I293" s="50"/>
      <c r="J293" s="50"/>
      <c r="K293" s="50"/>
      <c r="L293" s="38"/>
      <c r="M293" s="38"/>
      <c r="N293" s="38"/>
      <c r="O293" s="50"/>
      <c r="P293" s="218"/>
      <c r="Q293" s="50"/>
      <c r="R293" s="50"/>
      <c r="S293" s="38"/>
      <c r="T293" s="51"/>
      <c r="U293" s="65"/>
      <c r="V293" s="105"/>
      <c r="W293" s="66"/>
      <c r="X293" s="66"/>
      <c r="Y293" s="38"/>
      <c r="Z293" s="66">
        <f t="shared" si="141"/>
        <v>0</v>
      </c>
      <c r="AA293" s="67"/>
      <c r="AC293" s="41" t="e">
        <f>VLOOKUP(A293,'Input Sheet'!$A$2:$B$232,2,0)</f>
        <v>#N/A</v>
      </c>
      <c r="AD293" s="70"/>
      <c r="AI293" s="68"/>
      <c r="AL293" s="107">
        <f t="shared" ca="1" si="159"/>
        <v>0</v>
      </c>
      <c r="AM293" s="49">
        <f t="shared" ca="1" si="148"/>
        <v>52200</v>
      </c>
      <c r="AN293" s="137" t="str">
        <f t="shared" ca="1" si="160"/>
        <v xml:space="preserve"> </v>
      </c>
      <c r="AO293" s="107">
        <f t="shared" ca="1" si="144"/>
        <v>0</v>
      </c>
      <c r="AP293" s="143">
        <f t="shared" ca="1" si="142"/>
        <v>0</v>
      </c>
      <c r="AQ293" s="143">
        <f t="shared" ca="1" si="161"/>
        <v>0</v>
      </c>
      <c r="AR293" s="49" t="str">
        <f t="shared" ca="1" si="162"/>
        <v xml:space="preserve"> </v>
      </c>
      <c r="AS293" s="107">
        <f t="shared" ca="1" si="163"/>
        <v>0</v>
      </c>
      <c r="AT293" s="107">
        <f t="shared" ca="1" si="143"/>
        <v>0</v>
      </c>
      <c r="AU293" s="107"/>
      <c r="AV293" s="107">
        <f ca="1">MAX(SUM($AQ$6:AQ293)-SUM($AT$6:AT293),0)</f>
        <v>0</v>
      </c>
      <c r="AW293" s="107">
        <f t="shared" ca="1" si="149"/>
        <v>0</v>
      </c>
      <c r="AX293" s="107">
        <v>0</v>
      </c>
      <c r="AY293" s="138" t="str">
        <f t="shared" ca="1" si="164"/>
        <v xml:space="preserve"> </v>
      </c>
      <c r="AZ293" s="107">
        <f t="shared" ca="1" si="165"/>
        <v>0</v>
      </c>
      <c r="BA293" s="107">
        <f ca="1">IF(AZ293=1,(SUM($AW$6:AW293,$AX$6:AX293)-SUM($BA$6:BA292)),0)</f>
        <v>0</v>
      </c>
      <c r="BB293" s="107"/>
      <c r="BC293" s="107">
        <f ca="1">AV293+SUM($AW$6:AW293)+SUM($AX$6:AX293)-SUM($BA$6:BA293)</f>
        <v>0</v>
      </c>
      <c r="BD293" s="107">
        <f t="shared" ca="1" si="166"/>
        <v>0</v>
      </c>
      <c r="BE293" s="51">
        <f ca="1">'PiT PD Structure'!J333</f>
        <v>1.3725750283566374E-4</v>
      </c>
      <c r="BF293" s="139">
        <f t="shared" ca="1" si="150"/>
        <v>0.45</v>
      </c>
      <c r="BG293" s="51">
        <f t="shared" ca="1" si="167"/>
        <v>1</v>
      </c>
      <c r="BH293" s="50">
        <f t="shared" ca="1" si="168"/>
        <v>0</v>
      </c>
      <c r="BI293" s="50">
        <f t="shared" ca="1" si="169"/>
        <v>3.4816594052244909E-13</v>
      </c>
      <c r="BJ293" s="140">
        <v>0</v>
      </c>
      <c r="BK293" s="140">
        <v>0</v>
      </c>
      <c r="BR293" s="75">
        <f t="shared" ca="1" si="151"/>
        <v>52200</v>
      </c>
      <c r="BS293" s="74">
        <f t="shared" ca="1" si="152"/>
        <v>11</v>
      </c>
      <c r="BT293" s="74">
        <f t="shared" ca="1" si="145"/>
        <v>0</v>
      </c>
      <c r="BU293" s="73" t="str">
        <f t="shared" ca="1" si="153"/>
        <v xml:space="preserve"> </v>
      </c>
      <c r="BW293" s="75">
        <f t="shared" ca="1" si="154"/>
        <v>52200</v>
      </c>
      <c r="BX293" s="74">
        <f t="shared" ca="1" si="155"/>
        <v>11</v>
      </c>
      <c r="BY293" s="74">
        <f t="shared" ca="1" si="146"/>
        <v>0</v>
      </c>
      <c r="BZ293" s="73" t="str">
        <f t="shared" ca="1" si="156"/>
        <v xml:space="preserve"> </v>
      </c>
      <c r="CB293" s="75">
        <f t="shared" ca="1" si="157"/>
        <v>52200</v>
      </c>
      <c r="CC293" s="74">
        <f t="shared" ca="1" si="139"/>
        <v>11</v>
      </c>
      <c r="CD293" s="74">
        <f t="shared" ca="1" si="147"/>
        <v>0</v>
      </c>
      <c r="CE293" s="73" t="str">
        <f t="shared" ca="1" si="140"/>
        <v xml:space="preserve"> </v>
      </c>
    </row>
    <row r="294" spans="1:83" x14ac:dyDescent="0.2">
      <c r="A294" s="38" t="str">
        <f t="shared" si="158"/>
        <v xml:space="preserve"> </v>
      </c>
      <c r="B294" s="108"/>
      <c r="C294" s="38"/>
      <c r="D294" s="137"/>
      <c r="E294" s="137"/>
      <c r="F294" s="137"/>
      <c r="G294" s="122"/>
      <c r="H294" s="137"/>
      <c r="I294" s="50"/>
      <c r="J294" s="50"/>
      <c r="K294" s="50"/>
      <c r="L294" s="38"/>
      <c r="M294" s="38"/>
      <c r="N294" s="38"/>
      <c r="O294" s="50"/>
      <c r="P294" s="218"/>
      <c r="Q294" s="50"/>
      <c r="R294" s="50"/>
      <c r="S294" s="38"/>
      <c r="T294" s="51"/>
      <c r="U294" s="65"/>
      <c r="V294" s="105"/>
      <c r="W294" s="66"/>
      <c r="X294" s="66"/>
      <c r="Y294" s="38"/>
      <c r="Z294" s="66">
        <f t="shared" si="141"/>
        <v>0</v>
      </c>
      <c r="AA294" s="67"/>
      <c r="AC294" s="41" t="e">
        <f>VLOOKUP(A294,'Input Sheet'!$A$2:$B$232,2,0)</f>
        <v>#N/A</v>
      </c>
      <c r="AD294" s="70"/>
      <c r="AI294" s="68"/>
      <c r="AL294" s="107">
        <f t="shared" ref="AL294:AL357" ca="1" si="170">IF(AM294&lt;=$AR$2,AL293+1,0)</f>
        <v>0</v>
      </c>
      <c r="AM294" s="49">
        <f t="shared" ca="1" si="148"/>
        <v>52231</v>
      </c>
      <c r="AN294" s="137" t="str">
        <f t="shared" ref="AN294:AN357" ca="1" si="171">CE294</f>
        <v xml:space="preserve"> </v>
      </c>
      <c r="AO294" s="107">
        <f t="shared" ca="1" si="144"/>
        <v>0</v>
      </c>
      <c r="AP294" s="143">
        <f t="shared" ca="1" si="142"/>
        <v>0</v>
      </c>
      <c r="AQ294" s="143">
        <f t="shared" ref="AQ294:AQ357" ca="1" si="172">IF(AND(AP294&gt;0,AM294&lt;=$AR$2),AQ293+AP294,0)</f>
        <v>0</v>
      </c>
      <c r="AR294" s="49" t="str">
        <f t="shared" ref="AR294:AR357" ca="1" si="173">BU294</f>
        <v xml:space="preserve"> </v>
      </c>
      <c r="AS294" s="107">
        <f t="shared" ref="AS294:AS357" ca="1" si="174">BT294</f>
        <v>0</v>
      </c>
      <c r="AT294" s="107">
        <f t="shared" ca="1" si="143"/>
        <v>0</v>
      </c>
      <c r="AU294" s="107"/>
      <c r="AV294" s="107">
        <f ca="1">MAX(SUM($AQ$6:AQ294)-SUM($AT$6:AT294),0)</f>
        <v>0</v>
      </c>
      <c r="AW294" s="107">
        <f t="shared" ca="1" si="149"/>
        <v>0</v>
      </c>
      <c r="AX294" s="107">
        <v>0</v>
      </c>
      <c r="AY294" s="138" t="str">
        <f t="shared" ref="AY294:AY357" ca="1" si="175">BZ294</f>
        <v xml:space="preserve"> </v>
      </c>
      <c r="AZ294" s="107">
        <f t="shared" ref="AZ294:AZ357" ca="1" si="176">BY294</f>
        <v>0</v>
      </c>
      <c r="BA294" s="107">
        <f ca="1">IF(AZ294=1,(SUM($AW$6:AW294,$AX$6:AX294)-SUM($BA$6:BA293)),0)</f>
        <v>0</v>
      </c>
      <c r="BB294" s="107"/>
      <c r="BC294" s="107">
        <f ca="1">AV294+SUM($AW$6:AW294)+SUM($AX$6:AX294)-SUM($BA$6:BA294)</f>
        <v>0</v>
      </c>
      <c r="BD294" s="107">
        <f t="shared" ref="BD294:BD357" ca="1" si="177">IF(AL294&gt;0,AM294-AM293,0)</f>
        <v>0</v>
      </c>
      <c r="BE294" s="51">
        <f ca="1">'PiT PD Structure'!J334</f>
        <v>3.4816401221222648E-3</v>
      </c>
      <c r="BF294" s="139">
        <f t="shared" ca="1" si="150"/>
        <v>0.45</v>
      </c>
      <c r="BG294" s="51">
        <f t="shared" ref="BG294:BG357" ca="1" si="178">1/(1+$BE$2)^(BD294/360)</f>
        <v>1</v>
      </c>
      <c r="BH294" s="50">
        <f t="shared" ref="BH294:BH357" ca="1" si="179">IF(AL294=0,0,BC294*BE294*BF294*BG294)</f>
        <v>0</v>
      </c>
      <c r="BI294" s="50">
        <f t="shared" ref="BI294:BI357" ca="1" si="180">BI293-BH293</f>
        <v>3.4816594052244909E-13</v>
      </c>
      <c r="BJ294" s="140">
        <v>0</v>
      </c>
      <c r="BK294" s="140">
        <v>0</v>
      </c>
      <c r="BR294" s="75">
        <f t="shared" ca="1" si="151"/>
        <v>52231</v>
      </c>
      <c r="BS294" s="74">
        <f t="shared" ref="BS294:BS357" ca="1" si="181">MONTH(BR294)</f>
        <v>12</v>
      </c>
      <c r="BT294" s="74">
        <f t="shared" ca="1" si="145"/>
        <v>0</v>
      </c>
      <c r="BU294" s="73" t="str">
        <f t="shared" ref="BU294:BU357" ca="1" si="182">IF(BT294=1,BR294," ")</f>
        <v xml:space="preserve"> </v>
      </c>
      <c r="BW294" s="75">
        <f t="shared" ref="BW294:BW357" ca="1" si="183">EOMONTH(BR293,1)</f>
        <v>52231</v>
      </c>
      <c r="BX294" s="74">
        <f t="shared" ref="BX294:BX357" ca="1" si="184">MONTH(BR294)</f>
        <v>12</v>
      </c>
      <c r="BY294" s="74">
        <f t="shared" ca="1" si="146"/>
        <v>0</v>
      </c>
      <c r="BZ294" s="73" t="str">
        <f t="shared" ref="BZ294:BZ357" ca="1" si="185">IF(BY294=1,BW294," ")</f>
        <v xml:space="preserve"> </v>
      </c>
      <c r="CB294" s="75">
        <f t="shared" ca="1" si="157"/>
        <v>52231</v>
      </c>
      <c r="CC294" s="74">
        <f t="shared" ref="CC294:CC357" ca="1" si="186">MONTH(CB294)</f>
        <v>12</v>
      </c>
      <c r="CD294" s="74">
        <f t="shared" ca="1" si="147"/>
        <v>0</v>
      </c>
      <c r="CE294" s="73" t="str">
        <f t="shared" ref="CE294:CE357" ca="1" si="187">IF(CD294=1,CB294," ")</f>
        <v xml:space="preserve"> </v>
      </c>
    </row>
    <row r="295" spans="1:83" x14ac:dyDescent="0.2">
      <c r="A295" s="38" t="str">
        <f t="shared" si="158"/>
        <v xml:space="preserve"> </v>
      </c>
      <c r="B295" s="108"/>
      <c r="C295" s="38"/>
      <c r="D295" s="137"/>
      <c r="E295" s="137"/>
      <c r="F295" s="137"/>
      <c r="G295" s="122"/>
      <c r="H295" s="137"/>
      <c r="I295" s="50"/>
      <c r="J295" s="50"/>
      <c r="K295" s="50"/>
      <c r="L295" s="38"/>
      <c r="M295" s="38"/>
      <c r="N295" s="38"/>
      <c r="O295" s="50"/>
      <c r="P295" s="218"/>
      <c r="Q295" s="50"/>
      <c r="R295" s="50"/>
      <c r="S295" s="38"/>
      <c r="T295" s="51"/>
      <c r="U295" s="65"/>
      <c r="V295" s="105"/>
      <c r="W295" s="66"/>
      <c r="X295" s="66"/>
      <c r="Y295" s="38"/>
      <c r="Z295" s="66">
        <f t="shared" si="141"/>
        <v>0</v>
      </c>
      <c r="AA295" s="67"/>
      <c r="AC295" s="41" t="e">
        <f>VLOOKUP(A295,'Input Sheet'!$A$2:$B$232,2,0)</f>
        <v>#N/A</v>
      </c>
      <c r="AD295" s="70"/>
      <c r="AI295" s="68"/>
      <c r="AL295" s="107">
        <f t="shared" ca="1" si="170"/>
        <v>0</v>
      </c>
      <c r="AM295" s="49">
        <f t="shared" ca="1" si="148"/>
        <v>52262</v>
      </c>
      <c r="AN295" s="137" t="str">
        <f t="shared" ca="1" si="171"/>
        <v xml:space="preserve"> </v>
      </c>
      <c r="AO295" s="107">
        <f t="shared" ca="1" si="144"/>
        <v>0</v>
      </c>
      <c r="AP295" s="143">
        <f t="shared" ca="1" si="142"/>
        <v>0</v>
      </c>
      <c r="AQ295" s="143">
        <f t="shared" ca="1" si="172"/>
        <v>0</v>
      </c>
      <c r="AR295" s="49" t="str">
        <f t="shared" ca="1" si="173"/>
        <v xml:space="preserve"> </v>
      </c>
      <c r="AS295" s="107">
        <f t="shared" ca="1" si="174"/>
        <v>0</v>
      </c>
      <c r="AT295" s="107">
        <f t="shared" ca="1" si="143"/>
        <v>0</v>
      </c>
      <c r="AU295" s="107"/>
      <c r="AV295" s="107">
        <f ca="1">MAX(SUM($AQ$6:AQ295)-SUM($AT$6:AT295),0)</f>
        <v>0</v>
      </c>
      <c r="AW295" s="107">
        <f t="shared" ca="1" si="149"/>
        <v>0</v>
      </c>
      <c r="AX295" s="107">
        <v>0</v>
      </c>
      <c r="AY295" s="138" t="str">
        <f t="shared" ca="1" si="175"/>
        <v xml:space="preserve"> </v>
      </c>
      <c r="AZ295" s="107">
        <f t="shared" ca="1" si="176"/>
        <v>0</v>
      </c>
      <c r="BA295" s="107">
        <f ca="1">IF(AZ295=1,(SUM($AW$6:AW295,$AX$6:AX295)-SUM($BA$6:BA294)),0)</f>
        <v>0</v>
      </c>
      <c r="BB295" s="107"/>
      <c r="BC295" s="107">
        <f ca="1">AV295+SUM($AW$6:AW295)+SUM($AX$6:AX295)-SUM($BA$6:BA295)</f>
        <v>0</v>
      </c>
      <c r="BD295" s="107">
        <f t="shared" ca="1" si="177"/>
        <v>0</v>
      </c>
      <c r="BE295" s="51">
        <f ca="1">'PiT PD Structure'!J335</f>
        <v>1.428570948740493E-4</v>
      </c>
      <c r="BF295" s="139">
        <f t="shared" ca="1" si="150"/>
        <v>0.45</v>
      </c>
      <c r="BG295" s="51">
        <f t="shared" ca="1" si="178"/>
        <v>1</v>
      </c>
      <c r="BH295" s="50">
        <f t="shared" ca="1" si="179"/>
        <v>0</v>
      </c>
      <c r="BI295" s="50">
        <f t="shared" ca="1" si="180"/>
        <v>3.4816594052244909E-13</v>
      </c>
      <c r="BJ295" s="140">
        <v>0</v>
      </c>
      <c r="BK295" s="140">
        <v>0</v>
      </c>
      <c r="BR295" s="75">
        <f t="shared" ca="1" si="151"/>
        <v>52262</v>
      </c>
      <c r="BS295" s="74">
        <f t="shared" ca="1" si="181"/>
        <v>1</v>
      </c>
      <c r="BT295" s="74">
        <f t="shared" ca="1" si="145"/>
        <v>0</v>
      </c>
      <c r="BU295" s="73" t="str">
        <f t="shared" ca="1" si="182"/>
        <v xml:space="preserve"> </v>
      </c>
      <c r="BW295" s="75">
        <f t="shared" ca="1" si="183"/>
        <v>52262</v>
      </c>
      <c r="BX295" s="74">
        <f t="shared" ca="1" si="184"/>
        <v>1</v>
      </c>
      <c r="BY295" s="74">
        <f t="shared" ca="1" si="146"/>
        <v>0</v>
      </c>
      <c r="BZ295" s="73" t="str">
        <f t="shared" ca="1" si="185"/>
        <v xml:space="preserve"> </v>
      </c>
      <c r="CB295" s="75">
        <f t="shared" ca="1" si="157"/>
        <v>52262</v>
      </c>
      <c r="CC295" s="74">
        <f t="shared" ca="1" si="186"/>
        <v>1</v>
      </c>
      <c r="CD295" s="74">
        <f t="shared" ca="1" si="147"/>
        <v>0</v>
      </c>
      <c r="CE295" s="73" t="str">
        <f t="shared" ca="1" si="187"/>
        <v xml:space="preserve"> </v>
      </c>
    </row>
    <row r="296" spans="1:83" x14ac:dyDescent="0.2">
      <c r="A296" s="38" t="str">
        <f t="shared" si="158"/>
        <v xml:space="preserve"> </v>
      </c>
      <c r="B296" s="108"/>
      <c r="C296" s="38"/>
      <c r="D296" s="137"/>
      <c r="E296" s="137"/>
      <c r="F296" s="137"/>
      <c r="G296" s="122"/>
      <c r="H296" s="137"/>
      <c r="I296" s="50"/>
      <c r="J296" s="50"/>
      <c r="K296" s="50"/>
      <c r="L296" s="38"/>
      <c r="M296" s="38"/>
      <c r="N296" s="38"/>
      <c r="O296" s="50"/>
      <c r="P296" s="218"/>
      <c r="Q296" s="50"/>
      <c r="R296" s="50"/>
      <c r="S296" s="38"/>
      <c r="T296" s="51"/>
      <c r="U296" s="65"/>
      <c r="V296" s="105"/>
      <c r="W296" s="66"/>
      <c r="X296" s="66"/>
      <c r="Y296" s="38"/>
      <c r="Z296" s="66">
        <f t="shared" si="141"/>
        <v>0</v>
      </c>
      <c r="AA296" s="67"/>
      <c r="AC296" s="41" t="e">
        <f>VLOOKUP(A296,'Input Sheet'!$A$2:$B$232,2,0)</f>
        <v>#N/A</v>
      </c>
      <c r="AD296" s="70"/>
      <c r="AI296" s="68"/>
      <c r="AL296" s="107">
        <f t="shared" ca="1" si="170"/>
        <v>0</v>
      </c>
      <c r="AM296" s="49">
        <f t="shared" ca="1" si="148"/>
        <v>52290</v>
      </c>
      <c r="AN296" s="137" t="str">
        <f t="shared" ca="1" si="171"/>
        <v xml:space="preserve"> </v>
      </c>
      <c r="AO296" s="107">
        <f t="shared" ca="1" si="144"/>
        <v>0</v>
      </c>
      <c r="AP296" s="143">
        <f t="shared" ca="1" si="142"/>
        <v>0</v>
      </c>
      <c r="AQ296" s="143">
        <f t="shared" ca="1" si="172"/>
        <v>0</v>
      </c>
      <c r="AR296" s="49" t="str">
        <f t="shared" ca="1" si="173"/>
        <v xml:space="preserve"> </v>
      </c>
      <c r="AS296" s="107">
        <f t="shared" ca="1" si="174"/>
        <v>0</v>
      </c>
      <c r="AT296" s="107">
        <f t="shared" ca="1" si="143"/>
        <v>0</v>
      </c>
      <c r="AU296" s="107"/>
      <c r="AV296" s="107">
        <f ca="1">MAX(SUM($AQ$6:AQ296)-SUM($AT$6:AT296),0)</f>
        <v>0</v>
      </c>
      <c r="AW296" s="107">
        <f t="shared" ca="1" si="149"/>
        <v>0</v>
      </c>
      <c r="AX296" s="107">
        <v>0</v>
      </c>
      <c r="AY296" s="138" t="str">
        <f t="shared" ca="1" si="175"/>
        <v xml:space="preserve"> </v>
      </c>
      <c r="AZ296" s="107">
        <f t="shared" ca="1" si="176"/>
        <v>0</v>
      </c>
      <c r="BA296" s="107">
        <f ca="1">IF(AZ296=1,(SUM($AW$6:AW296,$AX$6:AX296)-SUM($BA$6:BA295)),0)</f>
        <v>0</v>
      </c>
      <c r="BB296" s="107"/>
      <c r="BC296" s="107">
        <f ca="1">AV296+SUM($AW$6:AW296)+SUM($AX$6:AX296)-SUM($BA$6:BA296)</f>
        <v>0</v>
      </c>
      <c r="BD296" s="107">
        <f t="shared" ca="1" si="177"/>
        <v>0</v>
      </c>
      <c r="BE296" s="51">
        <f ca="1">'PiT PD Structure'!J336</f>
        <v>1.4283532093428697E-4</v>
      </c>
      <c r="BF296" s="139">
        <f t="shared" ca="1" si="150"/>
        <v>0.45</v>
      </c>
      <c r="BG296" s="51">
        <f t="shared" ca="1" si="178"/>
        <v>1</v>
      </c>
      <c r="BH296" s="50">
        <f t="shared" ca="1" si="179"/>
        <v>0</v>
      </c>
      <c r="BI296" s="50">
        <f t="shared" ca="1" si="180"/>
        <v>3.4816594052244909E-13</v>
      </c>
      <c r="BJ296" s="140">
        <v>0</v>
      </c>
      <c r="BK296" s="140">
        <v>0</v>
      </c>
      <c r="BR296" s="75">
        <f t="shared" ca="1" si="151"/>
        <v>52290</v>
      </c>
      <c r="BS296" s="74">
        <f t="shared" ca="1" si="181"/>
        <v>2</v>
      </c>
      <c r="BT296" s="74">
        <f t="shared" ca="1" si="145"/>
        <v>0</v>
      </c>
      <c r="BU296" s="73" t="str">
        <f t="shared" ca="1" si="182"/>
        <v xml:space="preserve"> </v>
      </c>
      <c r="BW296" s="75">
        <f t="shared" ca="1" si="183"/>
        <v>52290</v>
      </c>
      <c r="BX296" s="74">
        <f t="shared" ca="1" si="184"/>
        <v>2</v>
      </c>
      <c r="BY296" s="74">
        <f t="shared" ca="1" si="146"/>
        <v>0</v>
      </c>
      <c r="BZ296" s="73" t="str">
        <f t="shared" ca="1" si="185"/>
        <v xml:space="preserve"> </v>
      </c>
      <c r="CB296" s="75">
        <f t="shared" ca="1" si="157"/>
        <v>52290</v>
      </c>
      <c r="CC296" s="74">
        <f t="shared" ca="1" si="186"/>
        <v>2</v>
      </c>
      <c r="CD296" s="74">
        <f t="shared" ca="1" si="147"/>
        <v>0</v>
      </c>
      <c r="CE296" s="73" t="str">
        <f t="shared" ca="1" si="187"/>
        <v xml:space="preserve"> </v>
      </c>
    </row>
    <row r="297" spans="1:83" x14ac:dyDescent="0.2">
      <c r="A297" s="38" t="str">
        <f t="shared" si="158"/>
        <v xml:space="preserve"> </v>
      </c>
      <c r="B297" s="108"/>
      <c r="C297" s="38"/>
      <c r="D297" s="137"/>
      <c r="E297" s="137"/>
      <c r="F297" s="137"/>
      <c r="G297" s="122"/>
      <c r="H297" s="137"/>
      <c r="I297" s="50"/>
      <c r="J297" s="50"/>
      <c r="K297" s="50"/>
      <c r="L297" s="38"/>
      <c r="M297" s="38"/>
      <c r="N297" s="38"/>
      <c r="O297" s="50"/>
      <c r="P297" s="218"/>
      <c r="Q297" s="50"/>
      <c r="R297" s="50"/>
      <c r="S297" s="38"/>
      <c r="T297" s="51"/>
      <c r="U297" s="65"/>
      <c r="V297" s="105"/>
      <c r="W297" s="66"/>
      <c r="X297" s="66"/>
      <c r="Y297" s="38"/>
      <c r="Z297" s="66">
        <f t="shared" si="141"/>
        <v>0</v>
      </c>
      <c r="AA297" s="67"/>
      <c r="AC297" s="41" t="e">
        <f>VLOOKUP(A297,'Input Sheet'!$A$2:$B$232,2,0)</f>
        <v>#N/A</v>
      </c>
      <c r="AD297" s="70"/>
      <c r="AI297" s="68"/>
      <c r="AL297" s="107">
        <f t="shared" ca="1" si="170"/>
        <v>0</v>
      </c>
      <c r="AM297" s="49">
        <f t="shared" ca="1" si="148"/>
        <v>52321</v>
      </c>
      <c r="AN297" s="137" t="str">
        <f t="shared" ca="1" si="171"/>
        <v xml:space="preserve"> </v>
      </c>
      <c r="AO297" s="107">
        <f t="shared" ca="1" si="144"/>
        <v>0</v>
      </c>
      <c r="AP297" s="143">
        <f t="shared" ca="1" si="142"/>
        <v>0</v>
      </c>
      <c r="AQ297" s="143">
        <f t="shared" ca="1" si="172"/>
        <v>0</v>
      </c>
      <c r="AR297" s="49" t="str">
        <f t="shared" ca="1" si="173"/>
        <v xml:space="preserve"> </v>
      </c>
      <c r="AS297" s="107">
        <f t="shared" ca="1" si="174"/>
        <v>0</v>
      </c>
      <c r="AT297" s="107">
        <f t="shared" ca="1" si="143"/>
        <v>0</v>
      </c>
      <c r="AU297" s="107"/>
      <c r="AV297" s="107">
        <f ca="1">MAX(SUM($AQ$6:AQ297)-SUM($AT$6:AT297),0)</f>
        <v>0</v>
      </c>
      <c r="AW297" s="107">
        <f t="shared" ca="1" si="149"/>
        <v>0</v>
      </c>
      <c r="AX297" s="107">
        <v>0</v>
      </c>
      <c r="AY297" s="138" t="str">
        <f t="shared" ca="1" si="175"/>
        <v xml:space="preserve"> </v>
      </c>
      <c r="AZ297" s="107">
        <f t="shared" ca="1" si="176"/>
        <v>0</v>
      </c>
      <c r="BA297" s="107">
        <f ca="1">IF(AZ297=1,(SUM($AW$6:AW297,$AX$6:AX297)-SUM($BA$6:BA296)),0)</f>
        <v>0</v>
      </c>
      <c r="BB297" s="107"/>
      <c r="BC297" s="107">
        <f ca="1">AV297+SUM($AW$6:AW297)+SUM($AX$6:AX297)-SUM($BA$6:BA297)</f>
        <v>0</v>
      </c>
      <c r="BD297" s="107">
        <f t="shared" ca="1" si="177"/>
        <v>0</v>
      </c>
      <c r="BE297" s="51">
        <f ca="1">'PiT PD Structure'!J337</f>
        <v>1.4281355031320331E-4</v>
      </c>
      <c r="BF297" s="139">
        <f t="shared" ca="1" si="150"/>
        <v>0.45</v>
      </c>
      <c r="BG297" s="51">
        <f t="shared" ca="1" si="178"/>
        <v>1</v>
      </c>
      <c r="BH297" s="50">
        <f t="shared" ca="1" si="179"/>
        <v>0</v>
      </c>
      <c r="BI297" s="50">
        <f t="shared" ca="1" si="180"/>
        <v>3.4816594052244909E-13</v>
      </c>
      <c r="BJ297" s="140">
        <v>0</v>
      </c>
      <c r="BK297" s="140">
        <v>0</v>
      </c>
      <c r="BR297" s="75">
        <f t="shared" ca="1" si="151"/>
        <v>52321</v>
      </c>
      <c r="BS297" s="74">
        <f t="shared" ca="1" si="181"/>
        <v>3</v>
      </c>
      <c r="BT297" s="74">
        <f t="shared" ca="1" si="145"/>
        <v>0</v>
      </c>
      <c r="BU297" s="73" t="str">
        <f t="shared" ca="1" si="182"/>
        <v xml:space="preserve"> </v>
      </c>
      <c r="BW297" s="75">
        <f t="shared" ca="1" si="183"/>
        <v>52321</v>
      </c>
      <c r="BX297" s="74">
        <f t="shared" ca="1" si="184"/>
        <v>3</v>
      </c>
      <c r="BY297" s="74">
        <f t="shared" ca="1" si="146"/>
        <v>0</v>
      </c>
      <c r="BZ297" s="73" t="str">
        <f t="shared" ca="1" si="185"/>
        <v xml:space="preserve"> </v>
      </c>
      <c r="CB297" s="75">
        <f t="shared" ca="1" si="157"/>
        <v>52321</v>
      </c>
      <c r="CC297" s="74">
        <f t="shared" ca="1" si="186"/>
        <v>3</v>
      </c>
      <c r="CD297" s="74">
        <f t="shared" ca="1" si="147"/>
        <v>0</v>
      </c>
      <c r="CE297" s="73" t="str">
        <f t="shared" ca="1" si="187"/>
        <v xml:space="preserve"> </v>
      </c>
    </row>
    <row r="298" spans="1:83" x14ac:dyDescent="0.2">
      <c r="A298" s="38" t="str">
        <f t="shared" si="158"/>
        <v xml:space="preserve"> </v>
      </c>
      <c r="B298" s="108"/>
      <c r="C298" s="38"/>
      <c r="D298" s="137"/>
      <c r="E298" s="137"/>
      <c r="F298" s="137"/>
      <c r="G298" s="122"/>
      <c r="H298" s="137"/>
      <c r="I298" s="50"/>
      <c r="J298" s="50"/>
      <c r="K298" s="50"/>
      <c r="L298" s="38"/>
      <c r="M298" s="38"/>
      <c r="N298" s="38"/>
      <c r="O298" s="50"/>
      <c r="P298" s="218"/>
      <c r="Q298" s="50"/>
      <c r="R298" s="50"/>
      <c r="S298" s="38"/>
      <c r="T298" s="51"/>
      <c r="U298" s="65"/>
      <c r="V298" s="105"/>
      <c r="W298" s="66"/>
      <c r="X298" s="66"/>
      <c r="Y298" s="38"/>
      <c r="Z298" s="66">
        <f t="shared" si="141"/>
        <v>0</v>
      </c>
      <c r="AA298" s="67"/>
      <c r="AC298" s="41" t="e">
        <f>VLOOKUP(A298,'Input Sheet'!$A$2:$B$232,2,0)</f>
        <v>#N/A</v>
      </c>
      <c r="AD298" s="70"/>
      <c r="AI298" s="68"/>
      <c r="AL298" s="107">
        <f t="shared" ca="1" si="170"/>
        <v>0</v>
      </c>
      <c r="AM298" s="49">
        <f t="shared" ca="1" si="148"/>
        <v>52351</v>
      </c>
      <c r="AN298" s="137" t="str">
        <f t="shared" ca="1" si="171"/>
        <v xml:space="preserve"> </v>
      </c>
      <c r="AO298" s="107">
        <f t="shared" ca="1" si="144"/>
        <v>0</v>
      </c>
      <c r="AP298" s="143">
        <f t="shared" ca="1" si="142"/>
        <v>0</v>
      </c>
      <c r="AQ298" s="143">
        <f t="shared" ca="1" si="172"/>
        <v>0</v>
      </c>
      <c r="AR298" s="49" t="str">
        <f t="shared" ca="1" si="173"/>
        <v xml:space="preserve"> </v>
      </c>
      <c r="AS298" s="107">
        <f t="shared" ca="1" si="174"/>
        <v>0</v>
      </c>
      <c r="AT298" s="107">
        <f t="shared" ca="1" si="143"/>
        <v>0</v>
      </c>
      <c r="AU298" s="107"/>
      <c r="AV298" s="107">
        <f ca="1">MAX(SUM($AQ$6:AQ298)-SUM($AT$6:AT298),0)</f>
        <v>0</v>
      </c>
      <c r="AW298" s="107">
        <f t="shared" ca="1" si="149"/>
        <v>0</v>
      </c>
      <c r="AX298" s="107">
        <v>0</v>
      </c>
      <c r="AY298" s="138" t="str">
        <f t="shared" ca="1" si="175"/>
        <v xml:space="preserve"> </v>
      </c>
      <c r="AZ298" s="107">
        <f t="shared" ca="1" si="176"/>
        <v>0</v>
      </c>
      <c r="BA298" s="107">
        <f ca="1">IF(AZ298=1,(SUM($AW$6:AW298,$AX$6:AX298)-SUM($BA$6:BA297)),0)</f>
        <v>0</v>
      </c>
      <c r="BB298" s="107"/>
      <c r="BC298" s="107">
        <f ca="1">AV298+SUM($AW$6:AW298)+SUM($AX$6:AX298)-SUM($BA$6:BA298)</f>
        <v>0</v>
      </c>
      <c r="BD298" s="107">
        <f t="shared" ca="1" si="177"/>
        <v>0</v>
      </c>
      <c r="BE298" s="51">
        <f ca="1">'PiT PD Structure'!J338</f>
        <v>1.4279178301013218E-4</v>
      </c>
      <c r="BF298" s="139">
        <f t="shared" ca="1" si="150"/>
        <v>0.45</v>
      </c>
      <c r="BG298" s="51">
        <f t="shared" ca="1" si="178"/>
        <v>1</v>
      </c>
      <c r="BH298" s="50">
        <f t="shared" ca="1" si="179"/>
        <v>0</v>
      </c>
      <c r="BI298" s="50">
        <f t="shared" ca="1" si="180"/>
        <v>3.4816594052244909E-13</v>
      </c>
      <c r="BJ298" s="140">
        <v>0</v>
      </c>
      <c r="BK298" s="140">
        <v>0</v>
      </c>
      <c r="BR298" s="75">
        <f t="shared" ca="1" si="151"/>
        <v>52351</v>
      </c>
      <c r="BS298" s="74">
        <f t="shared" ca="1" si="181"/>
        <v>4</v>
      </c>
      <c r="BT298" s="74">
        <f t="shared" ca="1" si="145"/>
        <v>0</v>
      </c>
      <c r="BU298" s="73" t="str">
        <f t="shared" ca="1" si="182"/>
        <v xml:space="preserve"> </v>
      </c>
      <c r="BW298" s="75">
        <f t="shared" ca="1" si="183"/>
        <v>52351</v>
      </c>
      <c r="BX298" s="74">
        <f t="shared" ca="1" si="184"/>
        <v>4</v>
      </c>
      <c r="BY298" s="74">
        <f t="shared" ca="1" si="146"/>
        <v>0</v>
      </c>
      <c r="BZ298" s="73" t="str">
        <f t="shared" ca="1" si="185"/>
        <v xml:space="preserve"> </v>
      </c>
      <c r="CB298" s="75">
        <f t="shared" ca="1" si="157"/>
        <v>52351</v>
      </c>
      <c r="CC298" s="74">
        <f t="shared" ca="1" si="186"/>
        <v>4</v>
      </c>
      <c r="CD298" s="74">
        <f t="shared" ca="1" si="147"/>
        <v>0</v>
      </c>
      <c r="CE298" s="73" t="str">
        <f t="shared" ca="1" si="187"/>
        <v xml:space="preserve"> </v>
      </c>
    </row>
    <row r="299" spans="1:83" x14ac:dyDescent="0.2">
      <c r="A299" s="38" t="str">
        <f t="shared" si="158"/>
        <v xml:space="preserve"> </v>
      </c>
      <c r="B299" s="108"/>
      <c r="C299" s="38"/>
      <c r="D299" s="137"/>
      <c r="E299" s="137"/>
      <c r="F299" s="137"/>
      <c r="G299" s="122"/>
      <c r="H299" s="137"/>
      <c r="I299" s="50"/>
      <c r="J299" s="50"/>
      <c r="K299" s="50"/>
      <c r="L299" s="38"/>
      <c r="M299" s="38"/>
      <c r="N299" s="38"/>
      <c r="O299" s="50"/>
      <c r="P299" s="218"/>
      <c r="Q299" s="50"/>
      <c r="R299" s="50"/>
      <c r="S299" s="38"/>
      <c r="T299" s="51"/>
      <c r="U299" s="65"/>
      <c r="V299" s="105"/>
      <c r="W299" s="66"/>
      <c r="X299" s="66"/>
      <c r="Y299" s="38"/>
      <c r="Z299" s="66">
        <f t="shared" si="141"/>
        <v>0</v>
      </c>
      <c r="AA299" s="67"/>
      <c r="AC299" s="41" t="e">
        <f>VLOOKUP(A299,'Input Sheet'!$A$2:$B$232,2,0)</f>
        <v>#N/A</v>
      </c>
      <c r="AD299" s="70"/>
      <c r="AI299" s="68"/>
      <c r="AL299" s="107">
        <f t="shared" ca="1" si="170"/>
        <v>0</v>
      </c>
      <c r="AM299" s="49">
        <f t="shared" ca="1" si="148"/>
        <v>52382</v>
      </c>
      <c r="AN299" s="137" t="str">
        <f t="shared" ca="1" si="171"/>
        <v xml:space="preserve"> </v>
      </c>
      <c r="AO299" s="107">
        <f t="shared" ca="1" si="144"/>
        <v>0</v>
      </c>
      <c r="AP299" s="143">
        <f t="shared" ca="1" si="142"/>
        <v>0</v>
      </c>
      <c r="AQ299" s="143">
        <f t="shared" ca="1" si="172"/>
        <v>0</v>
      </c>
      <c r="AR299" s="49" t="str">
        <f t="shared" ca="1" si="173"/>
        <v xml:space="preserve"> </v>
      </c>
      <c r="AS299" s="107">
        <f t="shared" ca="1" si="174"/>
        <v>0</v>
      </c>
      <c r="AT299" s="107">
        <f t="shared" ca="1" si="143"/>
        <v>0</v>
      </c>
      <c r="AU299" s="107"/>
      <c r="AV299" s="107">
        <f ca="1">MAX(SUM($AQ$6:AQ299)-SUM($AT$6:AT299),0)</f>
        <v>0</v>
      </c>
      <c r="AW299" s="107">
        <f t="shared" ca="1" si="149"/>
        <v>0</v>
      </c>
      <c r="AX299" s="107">
        <v>0</v>
      </c>
      <c r="AY299" s="138" t="str">
        <f t="shared" ca="1" si="175"/>
        <v xml:space="preserve"> </v>
      </c>
      <c r="AZ299" s="107">
        <f t="shared" ca="1" si="176"/>
        <v>0</v>
      </c>
      <c r="BA299" s="107">
        <f ca="1">IF(AZ299=1,(SUM($AW$6:AW299,$AX$6:AX299)-SUM($BA$6:BA298)),0)</f>
        <v>0</v>
      </c>
      <c r="BB299" s="107"/>
      <c r="BC299" s="107">
        <f ca="1">AV299+SUM($AW$6:AW299)+SUM($AX$6:AX299)-SUM($BA$6:BA299)</f>
        <v>0</v>
      </c>
      <c r="BD299" s="107">
        <f t="shared" ca="1" si="177"/>
        <v>0</v>
      </c>
      <c r="BE299" s="51">
        <f ca="1">'PiT PD Structure'!J339</f>
        <v>1.4277001902507358E-4</v>
      </c>
      <c r="BF299" s="139">
        <f t="shared" ca="1" si="150"/>
        <v>0.45</v>
      </c>
      <c r="BG299" s="51">
        <f t="shared" ca="1" si="178"/>
        <v>1</v>
      </c>
      <c r="BH299" s="50">
        <f t="shared" ca="1" si="179"/>
        <v>0</v>
      </c>
      <c r="BI299" s="50">
        <f t="shared" ca="1" si="180"/>
        <v>3.4816594052244909E-13</v>
      </c>
      <c r="BJ299" s="140">
        <v>0</v>
      </c>
      <c r="BK299" s="140">
        <v>0</v>
      </c>
      <c r="BR299" s="75">
        <f t="shared" ca="1" si="151"/>
        <v>52382</v>
      </c>
      <c r="BS299" s="74">
        <f t="shared" ca="1" si="181"/>
        <v>5</v>
      </c>
      <c r="BT299" s="74">
        <f t="shared" ca="1" si="145"/>
        <v>0</v>
      </c>
      <c r="BU299" s="73" t="str">
        <f t="shared" ca="1" si="182"/>
        <v xml:space="preserve"> </v>
      </c>
      <c r="BW299" s="75">
        <f t="shared" ca="1" si="183"/>
        <v>52382</v>
      </c>
      <c r="BX299" s="74">
        <f t="shared" ca="1" si="184"/>
        <v>5</v>
      </c>
      <c r="BY299" s="74">
        <f t="shared" ca="1" si="146"/>
        <v>0</v>
      </c>
      <c r="BZ299" s="73" t="str">
        <f t="shared" ca="1" si="185"/>
        <v xml:space="preserve"> </v>
      </c>
      <c r="CB299" s="75">
        <f t="shared" ca="1" si="157"/>
        <v>52382</v>
      </c>
      <c r="CC299" s="74">
        <f t="shared" ca="1" si="186"/>
        <v>5</v>
      </c>
      <c r="CD299" s="74">
        <f t="shared" ca="1" si="147"/>
        <v>0</v>
      </c>
      <c r="CE299" s="73" t="str">
        <f t="shared" ca="1" si="187"/>
        <v xml:space="preserve"> </v>
      </c>
    </row>
    <row r="300" spans="1:83" x14ac:dyDescent="0.2">
      <c r="A300" s="38" t="str">
        <f t="shared" si="158"/>
        <v xml:space="preserve"> </v>
      </c>
      <c r="B300" s="108"/>
      <c r="C300" s="38"/>
      <c r="D300" s="137"/>
      <c r="E300" s="137"/>
      <c r="F300" s="137"/>
      <c r="G300" s="122"/>
      <c r="H300" s="137"/>
      <c r="I300" s="50"/>
      <c r="J300" s="50"/>
      <c r="K300" s="50"/>
      <c r="L300" s="38"/>
      <c r="M300" s="38"/>
      <c r="N300" s="38"/>
      <c r="O300" s="50"/>
      <c r="P300" s="218"/>
      <c r="Q300" s="50"/>
      <c r="R300" s="50"/>
      <c r="S300" s="38"/>
      <c r="T300" s="51"/>
      <c r="U300" s="65"/>
      <c r="V300" s="105"/>
      <c r="W300" s="66"/>
      <c r="X300" s="66"/>
      <c r="Y300" s="38"/>
      <c r="Z300" s="66">
        <f t="shared" si="141"/>
        <v>0</v>
      </c>
      <c r="AA300" s="67"/>
      <c r="AC300" s="41" t="e">
        <f>VLOOKUP(A300,'Input Sheet'!$A$2:$B$232,2,0)</f>
        <v>#N/A</v>
      </c>
      <c r="AD300" s="70"/>
      <c r="AI300" s="68"/>
      <c r="AL300" s="107">
        <f t="shared" ca="1" si="170"/>
        <v>0</v>
      </c>
      <c r="AM300" s="49">
        <f t="shared" ca="1" si="148"/>
        <v>52412</v>
      </c>
      <c r="AN300" s="137" t="str">
        <f t="shared" ca="1" si="171"/>
        <v xml:space="preserve"> </v>
      </c>
      <c r="AO300" s="107">
        <f t="shared" ca="1" si="144"/>
        <v>0</v>
      </c>
      <c r="AP300" s="143">
        <f t="shared" ca="1" si="142"/>
        <v>0</v>
      </c>
      <c r="AQ300" s="143">
        <f t="shared" ca="1" si="172"/>
        <v>0</v>
      </c>
      <c r="AR300" s="49" t="str">
        <f t="shared" ca="1" si="173"/>
        <v xml:space="preserve"> </v>
      </c>
      <c r="AS300" s="107">
        <f t="shared" ca="1" si="174"/>
        <v>0</v>
      </c>
      <c r="AT300" s="107">
        <f t="shared" ca="1" si="143"/>
        <v>0</v>
      </c>
      <c r="AU300" s="107"/>
      <c r="AV300" s="107">
        <f ca="1">MAX(SUM($AQ$6:AQ300)-SUM($AT$6:AT300),0)</f>
        <v>0</v>
      </c>
      <c r="AW300" s="107">
        <f t="shared" ca="1" si="149"/>
        <v>0</v>
      </c>
      <c r="AX300" s="107">
        <v>0</v>
      </c>
      <c r="AY300" s="138" t="str">
        <f t="shared" ca="1" si="175"/>
        <v xml:space="preserve"> </v>
      </c>
      <c r="AZ300" s="107">
        <f t="shared" ca="1" si="176"/>
        <v>0</v>
      </c>
      <c r="BA300" s="107">
        <f ca="1">IF(AZ300=1,(SUM($AW$6:AW300,$AX$6:AX300)-SUM($BA$6:BA299)),0)</f>
        <v>0</v>
      </c>
      <c r="BB300" s="107"/>
      <c r="BC300" s="107">
        <f ca="1">AV300+SUM($AW$6:AW300)+SUM($AX$6:AX300)-SUM($BA$6:BA300)</f>
        <v>0</v>
      </c>
      <c r="BD300" s="107">
        <f t="shared" ca="1" si="177"/>
        <v>0</v>
      </c>
      <c r="BE300" s="51">
        <f ca="1">'PiT PD Structure'!J340</f>
        <v>1.4274825835713933E-4</v>
      </c>
      <c r="BF300" s="139">
        <f t="shared" ca="1" si="150"/>
        <v>0.45</v>
      </c>
      <c r="BG300" s="51">
        <f t="shared" ca="1" si="178"/>
        <v>1</v>
      </c>
      <c r="BH300" s="50">
        <f t="shared" ca="1" si="179"/>
        <v>0</v>
      </c>
      <c r="BI300" s="50">
        <f t="shared" ca="1" si="180"/>
        <v>3.4816594052244909E-13</v>
      </c>
      <c r="BJ300" s="140">
        <v>0</v>
      </c>
      <c r="BK300" s="140">
        <v>0</v>
      </c>
      <c r="BR300" s="75">
        <f t="shared" ca="1" si="151"/>
        <v>52412</v>
      </c>
      <c r="BS300" s="74">
        <f t="shared" ca="1" si="181"/>
        <v>6</v>
      </c>
      <c r="BT300" s="74">
        <f t="shared" ca="1" si="145"/>
        <v>0</v>
      </c>
      <c r="BU300" s="73" t="str">
        <f t="shared" ca="1" si="182"/>
        <v xml:space="preserve"> </v>
      </c>
      <c r="BW300" s="75">
        <f t="shared" ca="1" si="183"/>
        <v>52412</v>
      </c>
      <c r="BX300" s="74">
        <f t="shared" ca="1" si="184"/>
        <v>6</v>
      </c>
      <c r="BY300" s="74">
        <f t="shared" ca="1" si="146"/>
        <v>0</v>
      </c>
      <c r="BZ300" s="73" t="str">
        <f t="shared" ca="1" si="185"/>
        <v xml:space="preserve"> </v>
      </c>
      <c r="CB300" s="75">
        <f t="shared" ca="1" si="157"/>
        <v>52412</v>
      </c>
      <c r="CC300" s="74">
        <f t="shared" ca="1" si="186"/>
        <v>6</v>
      </c>
      <c r="CD300" s="74">
        <f t="shared" ca="1" si="147"/>
        <v>0</v>
      </c>
      <c r="CE300" s="73" t="str">
        <f t="shared" ca="1" si="187"/>
        <v xml:space="preserve"> </v>
      </c>
    </row>
    <row r="301" spans="1:83" x14ac:dyDescent="0.2">
      <c r="A301" s="38" t="str">
        <f t="shared" si="158"/>
        <v xml:space="preserve"> </v>
      </c>
      <c r="B301" s="108"/>
      <c r="C301" s="38"/>
      <c r="D301" s="137"/>
      <c r="E301" s="137"/>
      <c r="F301" s="137"/>
      <c r="G301" s="122"/>
      <c r="H301" s="137"/>
      <c r="I301" s="50"/>
      <c r="J301" s="50"/>
      <c r="K301" s="50"/>
      <c r="L301" s="38"/>
      <c r="M301" s="38"/>
      <c r="N301" s="38"/>
      <c r="O301" s="50"/>
      <c r="P301" s="218"/>
      <c r="Q301" s="50"/>
      <c r="R301" s="50"/>
      <c r="S301" s="38"/>
      <c r="T301" s="51"/>
      <c r="U301" s="65"/>
      <c r="V301" s="105"/>
      <c r="W301" s="66"/>
      <c r="X301" s="66"/>
      <c r="Y301" s="38"/>
      <c r="Z301" s="66">
        <f t="shared" si="141"/>
        <v>0</v>
      </c>
      <c r="AA301" s="67"/>
      <c r="AC301" s="41" t="e">
        <f>VLOOKUP(A301,'Input Sheet'!$A$2:$B$232,2,0)</f>
        <v>#N/A</v>
      </c>
      <c r="AD301" s="70"/>
      <c r="AI301" s="68"/>
      <c r="AL301" s="107">
        <f t="shared" ca="1" si="170"/>
        <v>0</v>
      </c>
      <c r="AM301" s="49">
        <f t="shared" ca="1" si="148"/>
        <v>52443</v>
      </c>
      <c r="AN301" s="137" t="str">
        <f t="shared" ca="1" si="171"/>
        <v xml:space="preserve"> </v>
      </c>
      <c r="AO301" s="107">
        <f t="shared" ca="1" si="144"/>
        <v>0</v>
      </c>
      <c r="AP301" s="143">
        <f t="shared" ca="1" si="142"/>
        <v>0</v>
      </c>
      <c r="AQ301" s="143">
        <f t="shared" ca="1" si="172"/>
        <v>0</v>
      </c>
      <c r="AR301" s="49" t="str">
        <f t="shared" ca="1" si="173"/>
        <v xml:space="preserve"> </v>
      </c>
      <c r="AS301" s="107">
        <f t="shared" ca="1" si="174"/>
        <v>0</v>
      </c>
      <c r="AT301" s="107">
        <f t="shared" ca="1" si="143"/>
        <v>0</v>
      </c>
      <c r="AU301" s="107"/>
      <c r="AV301" s="107">
        <f ca="1">MAX(SUM($AQ$6:AQ301)-SUM($AT$6:AT301),0)</f>
        <v>0</v>
      </c>
      <c r="AW301" s="107">
        <f t="shared" ca="1" si="149"/>
        <v>0</v>
      </c>
      <c r="AX301" s="107">
        <v>0</v>
      </c>
      <c r="AY301" s="138" t="str">
        <f t="shared" ca="1" si="175"/>
        <v xml:space="preserve"> </v>
      </c>
      <c r="AZ301" s="107">
        <f t="shared" ca="1" si="176"/>
        <v>0</v>
      </c>
      <c r="BA301" s="107">
        <f ca="1">IF(AZ301=1,(SUM($AW$6:AW301,$AX$6:AX301)-SUM($BA$6:BA300)),0)</f>
        <v>0</v>
      </c>
      <c r="BB301" s="107"/>
      <c r="BC301" s="107">
        <f ca="1">AV301+SUM($AW$6:AW301)+SUM($AX$6:AX301)-SUM($BA$6:BA301)</f>
        <v>0</v>
      </c>
      <c r="BD301" s="107">
        <f t="shared" ca="1" si="177"/>
        <v>0</v>
      </c>
      <c r="BE301" s="51">
        <f ca="1">'PiT PD Structure'!J341</f>
        <v>1.4272650100588535E-4</v>
      </c>
      <c r="BF301" s="139">
        <f t="shared" ca="1" si="150"/>
        <v>0.45</v>
      </c>
      <c r="BG301" s="51">
        <f t="shared" ca="1" si="178"/>
        <v>1</v>
      </c>
      <c r="BH301" s="50">
        <f t="shared" ca="1" si="179"/>
        <v>0</v>
      </c>
      <c r="BI301" s="50">
        <f t="shared" ca="1" si="180"/>
        <v>3.4816594052244909E-13</v>
      </c>
      <c r="BJ301" s="140">
        <v>0</v>
      </c>
      <c r="BK301" s="140">
        <v>0</v>
      </c>
      <c r="BR301" s="75">
        <f t="shared" ca="1" si="151"/>
        <v>52443</v>
      </c>
      <c r="BS301" s="74">
        <f t="shared" ca="1" si="181"/>
        <v>7</v>
      </c>
      <c r="BT301" s="74">
        <f t="shared" ca="1" si="145"/>
        <v>0</v>
      </c>
      <c r="BU301" s="73" t="str">
        <f t="shared" ca="1" si="182"/>
        <v xml:space="preserve"> </v>
      </c>
      <c r="BW301" s="75">
        <f t="shared" ca="1" si="183"/>
        <v>52443</v>
      </c>
      <c r="BX301" s="74">
        <f t="shared" ca="1" si="184"/>
        <v>7</v>
      </c>
      <c r="BY301" s="74">
        <f t="shared" ca="1" si="146"/>
        <v>0</v>
      </c>
      <c r="BZ301" s="73" t="str">
        <f t="shared" ca="1" si="185"/>
        <v xml:space="preserve"> </v>
      </c>
      <c r="CB301" s="75">
        <f t="shared" ca="1" si="157"/>
        <v>52443</v>
      </c>
      <c r="CC301" s="74">
        <f t="shared" ca="1" si="186"/>
        <v>7</v>
      </c>
      <c r="CD301" s="74">
        <f t="shared" ca="1" si="147"/>
        <v>0</v>
      </c>
      <c r="CE301" s="73" t="str">
        <f t="shared" ca="1" si="187"/>
        <v xml:space="preserve"> </v>
      </c>
    </row>
    <row r="302" spans="1:83" x14ac:dyDescent="0.2">
      <c r="A302" s="38" t="str">
        <f t="shared" si="158"/>
        <v xml:space="preserve"> </v>
      </c>
      <c r="B302" s="108"/>
      <c r="C302" s="38"/>
      <c r="D302" s="137"/>
      <c r="E302" s="137"/>
      <c r="F302" s="137"/>
      <c r="G302" s="122"/>
      <c r="H302" s="137"/>
      <c r="I302" s="50"/>
      <c r="J302" s="50"/>
      <c r="K302" s="50"/>
      <c r="L302" s="38"/>
      <c r="M302" s="38"/>
      <c r="N302" s="38"/>
      <c r="O302" s="50"/>
      <c r="P302" s="218"/>
      <c r="Q302" s="50"/>
      <c r="R302" s="50"/>
      <c r="S302" s="38"/>
      <c r="T302" s="51"/>
      <c r="U302" s="65"/>
      <c r="V302" s="105"/>
      <c r="W302" s="66"/>
      <c r="X302" s="66"/>
      <c r="Y302" s="38"/>
      <c r="Z302" s="66">
        <f t="shared" si="141"/>
        <v>0</v>
      </c>
      <c r="AA302" s="67"/>
      <c r="AC302" s="41" t="e">
        <f>VLOOKUP(A302,'Input Sheet'!$A$2:$B$232,2,0)</f>
        <v>#N/A</v>
      </c>
      <c r="AD302" s="70"/>
      <c r="AI302" s="68"/>
      <c r="AL302" s="107">
        <f t="shared" ca="1" si="170"/>
        <v>0</v>
      </c>
      <c r="AM302" s="49">
        <f t="shared" ca="1" si="148"/>
        <v>52474</v>
      </c>
      <c r="AN302" s="137" t="str">
        <f t="shared" ca="1" si="171"/>
        <v xml:space="preserve"> </v>
      </c>
      <c r="AO302" s="107">
        <f t="shared" ca="1" si="144"/>
        <v>0</v>
      </c>
      <c r="AP302" s="143">
        <f t="shared" ca="1" si="142"/>
        <v>0</v>
      </c>
      <c r="AQ302" s="143">
        <f t="shared" ca="1" si="172"/>
        <v>0</v>
      </c>
      <c r="AR302" s="49" t="str">
        <f t="shared" ca="1" si="173"/>
        <v xml:space="preserve"> </v>
      </c>
      <c r="AS302" s="107">
        <f t="shared" ca="1" si="174"/>
        <v>0</v>
      </c>
      <c r="AT302" s="107">
        <f t="shared" ca="1" si="143"/>
        <v>0</v>
      </c>
      <c r="AU302" s="107"/>
      <c r="AV302" s="107">
        <f ca="1">MAX(SUM($AQ$6:AQ302)-SUM($AT$6:AT302),0)</f>
        <v>0</v>
      </c>
      <c r="AW302" s="107">
        <f t="shared" ca="1" si="149"/>
        <v>0</v>
      </c>
      <c r="AX302" s="107">
        <v>0</v>
      </c>
      <c r="AY302" s="138" t="str">
        <f t="shared" ca="1" si="175"/>
        <v xml:space="preserve"> </v>
      </c>
      <c r="AZ302" s="107">
        <f t="shared" ca="1" si="176"/>
        <v>0</v>
      </c>
      <c r="BA302" s="107">
        <f ca="1">IF(AZ302=1,(SUM($AW$6:AW302,$AX$6:AX302)-SUM($BA$6:BA301)),0)</f>
        <v>0</v>
      </c>
      <c r="BB302" s="107"/>
      <c r="BC302" s="107">
        <f ca="1">AV302+SUM($AW$6:AW302)+SUM($AX$6:AX302)-SUM($BA$6:BA302)</f>
        <v>0</v>
      </c>
      <c r="BD302" s="107">
        <f t="shared" ca="1" si="177"/>
        <v>0</v>
      </c>
      <c r="BE302" s="51">
        <f ca="1">'PiT PD Structure'!J342</f>
        <v>1.4270474697086755E-4</v>
      </c>
      <c r="BF302" s="139">
        <f t="shared" ca="1" si="150"/>
        <v>0.45</v>
      </c>
      <c r="BG302" s="51">
        <f t="shared" ca="1" si="178"/>
        <v>1</v>
      </c>
      <c r="BH302" s="50">
        <f t="shared" ca="1" si="179"/>
        <v>0</v>
      </c>
      <c r="BI302" s="50">
        <f t="shared" ca="1" si="180"/>
        <v>3.4816594052244909E-13</v>
      </c>
      <c r="BJ302" s="140">
        <v>0</v>
      </c>
      <c r="BK302" s="140">
        <v>0</v>
      </c>
      <c r="BR302" s="75">
        <f t="shared" ca="1" si="151"/>
        <v>52474</v>
      </c>
      <c r="BS302" s="74">
        <f t="shared" ca="1" si="181"/>
        <v>8</v>
      </c>
      <c r="BT302" s="74">
        <f t="shared" ca="1" si="145"/>
        <v>0</v>
      </c>
      <c r="BU302" s="73" t="str">
        <f t="shared" ca="1" si="182"/>
        <v xml:space="preserve"> </v>
      </c>
      <c r="BW302" s="75">
        <f t="shared" ca="1" si="183"/>
        <v>52474</v>
      </c>
      <c r="BX302" s="74">
        <f t="shared" ca="1" si="184"/>
        <v>8</v>
      </c>
      <c r="BY302" s="74">
        <f t="shared" ca="1" si="146"/>
        <v>0</v>
      </c>
      <c r="BZ302" s="73" t="str">
        <f t="shared" ca="1" si="185"/>
        <v xml:space="preserve"> </v>
      </c>
      <c r="CB302" s="75">
        <f t="shared" ca="1" si="157"/>
        <v>52474</v>
      </c>
      <c r="CC302" s="74">
        <f t="shared" ca="1" si="186"/>
        <v>8</v>
      </c>
      <c r="CD302" s="74">
        <f t="shared" ca="1" si="147"/>
        <v>0</v>
      </c>
      <c r="CE302" s="73" t="str">
        <f t="shared" ca="1" si="187"/>
        <v xml:space="preserve"> </v>
      </c>
    </row>
    <row r="303" spans="1:83" x14ac:dyDescent="0.2">
      <c r="A303" s="38" t="str">
        <f t="shared" si="158"/>
        <v xml:space="preserve"> </v>
      </c>
      <c r="B303" s="108"/>
      <c r="C303" s="38"/>
      <c r="D303" s="137"/>
      <c r="E303" s="137"/>
      <c r="F303" s="137"/>
      <c r="G303" s="122"/>
      <c r="H303" s="137"/>
      <c r="I303" s="50"/>
      <c r="J303" s="50"/>
      <c r="K303" s="50"/>
      <c r="L303" s="38"/>
      <c r="M303" s="38"/>
      <c r="N303" s="38"/>
      <c r="O303" s="50"/>
      <c r="P303" s="218"/>
      <c r="Q303" s="50"/>
      <c r="R303" s="50"/>
      <c r="S303" s="38"/>
      <c r="T303" s="51"/>
      <c r="U303" s="65"/>
      <c r="V303" s="105"/>
      <c r="W303" s="66"/>
      <c r="X303" s="66"/>
      <c r="Y303" s="38"/>
      <c r="Z303" s="66">
        <f t="shared" si="141"/>
        <v>0</v>
      </c>
      <c r="AA303" s="67"/>
      <c r="AC303" s="41" t="e">
        <f>VLOOKUP(A303,'Input Sheet'!$A$2:$B$232,2,0)</f>
        <v>#N/A</v>
      </c>
      <c r="AD303" s="70"/>
      <c r="AI303" s="68"/>
      <c r="AL303" s="107">
        <f t="shared" ca="1" si="170"/>
        <v>0</v>
      </c>
      <c r="AM303" s="49">
        <f t="shared" ca="1" si="148"/>
        <v>52504</v>
      </c>
      <c r="AN303" s="137" t="str">
        <f t="shared" ca="1" si="171"/>
        <v xml:space="preserve"> </v>
      </c>
      <c r="AO303" s="107">
        <f t="shared" ca="1" si="144"/>
        <v>0</v>
      </c>
      <c r="AP303" s="143">
        <f t="shared" ca="1" si="142"/>
        <v>0</v>
      </c>
      <c r="AQ303" s="143">
        <f t="shared" ca="1" si="172"/>
        <v>0</v>
      </c>
      <c r="AR303" s="49" t="str">
        <f t="shared" ca="1" si="173"/>
        <v xml:space="preserve"> </v>
      </c>
      <c r="AS303" s="107">
        <f t="shared" ca="1" si="174"/>
        <v>0</v>
      </c>
      <c r="AT303" s="107">
        <f t="shared" ca="1" si="143"/>
        <v>0</v>
      </c>
      <c r="AU303" s="107"/>
      <c r="AV303" s="107">
        <f ca="1">MAX(SUM($AQ$6:AQ303)-SUM($AT$6:AT303),0)</f>
        <v>0</v>
      </c>
      <c r="AW303" s="107">
        <f t="shared" ca="1" si="149"/>
        <v>0</v>
      </c>
      <c r="AX303" s="107">
        <v>0</v>
      </c>
      <c r="AY303" s="138" t="str">
        <f t="shared" ca="1" si="175"/>
        <v xml:space="preserve"> </v>
      </c>
      <c r="AZ303" s="107">
        <f t="shared" ca="1" si="176"/>
        <v>0</v>
      </c>
      <c r="BA303" s="107">
        <f ca="1">IF(AZ303=1,(SUM($AW$6:AW303,$AX$6:AX303)-SUM($BA$6:BA302)),0)</f>
        <v>0</v>
      </c>
      <c r="BB303" s="107"/>
      <c r="BC303" s="107">
        <f ca="1">AV303+SUM($AW$6:AW303)+SUM($AX$6:AX303)-SUM($BA$6:BA303)</f>
        <v>0</v>
      </c>
      <c r="BD303" s="107">
        <f t="shared" ca="1" si="177"/>
        <v>0</v>
      </c>
      <c r="BE303" s="51">
        <f ca="1">'PiT PD Structure'!J343</f>
        <v>1.4268299625141978E-4</v>
      </c>
      <c r="BF303" s="139">
        <f t="shared" ca="1" si="150"/>
        <v>0.45</v>
      </c>
      <c r="BG303" s="51">
        <f t="shared" ca="1" si="178"/>
        <v>1</v>
      </c>
      <c r="BH303" s="50">
        <f t="shared" ca="1" si="179"/>
        <v>0</v>
      </c>
      <c r="BI303" s="50">
        <f t="shared" ca="1" si="180"/>
        <v>3.4816594052244909E-13</v>
      </c>
      <c r="BJ303" s="140">
        <v>0</v>
      </c>
      <c r="BK303" s="140">
        <v>0</v>
      </c>
      <c r="BR303" s="75">
        <f t="shared" ca="1" si="151"/>
        <v>52504</v>
      </c>
      <c r="BS303" s="74">
        <f t="shared" ca="1" si="181"/>
        <v>9</v>
      </c>
      <c r="BT303" s="74">
        <f t="shared" ca="1" si="145"/>
        <v>0</v>
      </c>
      <c r="BU303" s="73" t="str">
        <f t="shared" ca="1" si="182"/>
        <v xml:space="preserve"> </v>
      </c>
      <c r="BW303" s="75">
        <f t="shared" ca="1" si="183"/>
        <v>52504</v>
      </c>
      <c r="BX303" s="74">
        <f t="shared" ca="1" si="184"/>
        <v>9</v>
      </c>
      <c r="BY303" s="74">
        <f t="shared" ca="1" si="146"/>
        <v>0</v>
      </c>
      <c r="BZ303" s="73" t="str">
        <f t="shared" ca="1" si="185"/>
        <v xml:space="preserve"> </v>
      </c>
      <c r="CB303" s="75">
        <f t="shared" ca="1" si="157"/>
        <v>52504</v>
      </c>
      <c r="CC303" s="74">
        <f t="shared" ca="1" si="186"/>
        <v>9</v>
      </c>
      <c r="CD303" s="74">
        <f t="shared" ca="1" si="147"/>
        <v>0</v>
      </c>
      <c r="CE303" s="73" t="str">
        <f t="shared" ca="1" si="187"/>
        <v xml:space="preserve"> </v>
      </c>
    </row>
    <row r="304" spans="1:83" x14ac:dyDescent="0.2">
      <c r="A304" s="38" t="str">
        <f t="shared" si="158"/>
        <v xml:space="preserve"> </v>
      </c>
      <c r="B304" s="108"/>
      <c r="C304" s="38"/>
      <c r="D304" s="137"/>
      <c r="E304" s="137"/>
      <c r="F304" s="137"/>
      <c r="G304" s="122"/>
      <c r="H304" s="137"/>
      <c r="I304" s="50"/>
      <c r="J304" s="50"/>
      <c r="K304" s="50"/>
      <c r="L304" s="38"/>
      <c r="M304" s="38"/>
      <c r="N304" s="38"/>
      <c r="O304" s="50"/>
      <c r="P304" s="218"/>
      <c r="Q304" s="50"/>
      <c r="R304" s="50"/>
      <c r="S304" s="38"/>
      <c r="T304" s="51"/>
      <c r="U304" s="65"/>
      <c r="V304" s="105"/>
      <c r="W304" s="66"/>
      <c r="X304" s="66"/>
      <c r="Y304" s="38"/>
      <c r="Z304" s="66">
        <f t="shared" si="141"/>
        <v>0</v>
      </c>
      <c r="AA304" s="67"/>
      <c r="AC304" s="41" t="e">
        <f>VLOOKUP(A304,'Input Sheet'!$A$2:$B$232,2,0)</f>
        <v>#N/A</v>
      </c>
      <c r="AD304" s="70"/>
      <c r="AI304" s="68"/>
      <c r="AL304" s="107">
        <f t="shared" ca="1" si="170"/>
        <v>0</v>
      </c>
      <c r="AM304" s="49">
        <f t="shared" ca="1" si="148"/>
        <v>52535</v>
      </c>
      <c r="AN304" s="137" t="str">
        <f t="shared" ca="1" si="171"/>
        <v xml:space="preserve"> </v>
      </c>
      <c r="AO304" s="107">
        <f t="shared" ca="1" si="144"/>
        <v>0</v>
      </c>
      <c r="AP304" s="143">
        <f t="shared" ca="1" si="142"/>
        <v>0</v>
      </c>
      <c r="AQ304" s="143">
        <f t="shared" ca="1" si="172"/>
        <v>0</v>
      </c>
      <c r="AR304" s="49" t="str">
        <f t="shared" ca="1" si="173"/>
        <v xml:space="preserve"> </v>
      </c>
      <c r="AS304" s="107">
        <f t="shared" ca="1" si="174"/>
        <v>0</v>
      </c>
      <c r="AT304" s="107">
        <f t="shared" ca="1" si="143"/>
        <v>0</v>
      </c>
      <c r="AU304" s="107"/>
      <c r="AV304" s="107">
        <f ca="1">MAX(SUM($AQ$6:AQ304)-SUM($AT$6:AT304),0)</f>
        <v>0</v>
      </c>
      <c r="AW304" s="107">
        <f t="shared" ca="1" si="149"/>
        <v>0</v>
      </c>
      <c r="AX304" s="107">
        <v>0</v>
      </c>
      <c r="AY304" s="138" t="str">
        <f t="shared" ca="1" si="175"/>
        <v xml:space="preserve"> </v>
      </c>
      <c r="AZ304" s="107">
        <f t="shared" ca="1" si="176"/>
        <v>0</v>
      </c>
      <c r="BA304" s="107">
        <f ca="1">IF(AZ304=1,(SUM($AW$6:AW304,$AX$6:AX304)-SUM($BA$6:BA303)),0)</f>
        <v>0</v>
      </c>
      <c r="BB304" s="107"/>
      <c r="BC304" s="107">
        <f ca="1">AV304+SUM($AW$6:AW304)+SUM($AX$6:AX304)-SUM($BA$6:BA304)</f>
        <v>0</v>
      </c>
      <c r="BD304" s="107">
        <f t="shared" ca="1" si="177"/>
        <v>0</v>
      </c>
      <c r="BE304" s="51">
        <f ca="1">'PiT PD Structure'!J344</f>
        <v>1.4266124884743103E-4</v>
      </c>
      <c r="BF304" s="139">
        <f t="shared" ca="1" si="150"/>
        <v>0.45</v>
      </c>
      <c r="BG304" s="51">
        <f t="shared" ca="1" si="178"/>
        <v>1</v>
      </c>
      <c r="BH304" s="50">
        <f t="shared" ca="1" si="179"/>
        <v>0</v>
      </c>
      <c r="BI304" s="50">
        <f t="shared" ca="1" si="180"/>
        <v>3.4816594052244909E-13</v>
      </c>
      <c r="BJ304" s="140">
        <v>0</v>
      </c>
      <c r="BK304" s="140">
        <v>0</v>
      </c>
      <c r="BR304" s="75">
        <f t="shared" ca="1" si="151"/>
        <v>52535</v>
      </c>
      <c r="BS304" s="74">
        <f t="shared" ca="1" si="181"/>
        <v>10</v>
      </c>
      <c r="BT304" s="74">
        <f t="shared" ca="1" si="145"/>
        <v>0</v>
      </c>
      <c r="BU304" s="73" t="str">
        <f t="shared" ca="1" si="182"/>
        <v xml:space="preserve"> </v>
      </c>
      <c r="BW304" s="75">
        <f t="shared" ca="1" si="183"/>
        <v>52535</v>
      </c>
      <c r="BX304" s="74">
        <f t="shared" ca="1" si="184"/>
        <v>10</v>
      </c>
      <c r="BY304" s="74">
        <f t="shared" ca="1" si="146"/>
        <v>0</v>
      </c>
      <c r="BZ304" s="73" t="str">
        <f t="shared" ca="1" si="185"/>
        <v xml:space="preserve"> </v>
      </c>
      <c r="CB304" s="75">
        <f t="shared" ca="1" si="157"/>
        <v>52535</v>
      </c>
      <c r="CC304" s="74">
        <f t="shared" ca="1" si="186"/>
        <v>10</v>
      </c>
      <c r="CD304" s="74">
        <f t="shared" ca="1" si="147"/>
        <v>0</v>
      </c>
      <c r="CE304" s="73" t="str">
        <f t="shared" ca="1" si="187"/>
        <v xml:space="preserve"> </v>
      </c>
    </row>
    <row r="305" spans="1:83" x14ac:dyDescent="0.2">
      <c r="A305" s="38" t="str">
        <f t="shared" si="158"/>
        <v xml:space="preserve"> </v>
      </c>
      <c r="B305" s="108"/>
      <c r="C305" s="38"/>
      <c r="D305" s="137"/>
      <c r="E305" s="137"/>
      <c r="F305" s="137"/>
      <c r="G305" s="122"/>
      <c r="H305" s="137"/>
      <c r="I305" s="50"/>
      <c r="J305" s="50"/>
      <c r="K305" s="50"/>
      <c r="L305" s="38"/>
      <c r="M305" s="38"/>
      <c r="N305" s="38"/>
      <c r="O305" s="50"/>
      <c r="P305" s="218"/>
      <c r="Q305" s="50"/>
      <c r="R305" s="50"/>
      <c r="S305" s="38"/>
      <c r="T305" s="51"/>
      <c r="U305" s="65"/>
      <c r="V305" s="105"/>
      <c r="W305" s="66"/>
      <c r="X305" s="66"/>
      <c r="Y305" s="38"/>
      <c r="Z305" s="66">
        <f t="shared" si="141"/>
        <v>0</v>
      </c>
      <c r="AA305" s="67"/>
      <c r="AC305" s="41" t="e">
        <f>VLOOKUP(A305,'Input Sheet'!$A$2:$B$232,2,0)</f>
        <v>#N/A</v>
      </c>
      <c r="AD305" s="70"/>
      <c r="AI305" s="68"/>
      <c r="AL305" s="107">
        <f t="shared" ca="1" si="170"/>
        <v>0</v>
      </c>
      <c r="AM305" s="49">
        <f t="shared" ca="1" si="148"/>
        <v>52565</v>
      </c>
      <c r="AN305" s="137" t="str">
        <f t="shared" ca="1" si="171"/>
        <v xml:space="preserve"> </v>
      </c>
      <c r="AO305" s="107">
        <f t="shared" ca="1" si="144"/>
        <v>0</v>
      </c>
      <c r="AP305" s="143">
        <f t="shared" ca="1" si="142"/>
        <v>0</v>
      </c>
      <c r="AQ305" s="143">
        <f t="shared" ca="1" si="172"/>
        <v>0</v>
      </c>
      <c r="AR305" s="49" t="str">
        <f t="shared" ca="1" si="173"/>
        <v xml:space="preserve"> </v>
      </c>
      <c r="AS305" s="107">
        <f t="shared" ca="1" si="174"/>
        <v>0</v>
      </c>
      <c r="AT305" s="107">
        <f t="shared" ca="1" si="143"/>
        <v>0</v>
      </c>
      <c r="AU305" s="107"/>
      <c r="AV305" s="107">
        <f ca="1">MAX(SUM($AQ$6:AQ305)-SUM($AT$6:AT305),0)</f>
        <v>0</v>
      </c>
      <c r="AW305" s="107">
        <f t="shared" ca="1" si="149"/>
        <v>0</v>
      </c>
      <c r="AX305" s="107">
        <v>0</v>
      </c>
      <c r="AY305" s="138" t="str">
        <f t="shared" ca="1" si="175"/>
        <v xml:space="preserve"> </v>
      </c>
      <c r="AZ305" s="107">
        <f t="shared" ca="1" si="176"/>
        <v>0</v>
      </c>
      <c r="BA305" s="107">
        <f ca="1">IF(AZ305=1,(SUM($AW$6:AW305,$AX$6:AX305)-SUM($BA$6:BA304)),0)</f>
        <v>0</v>
      </c>
      <c r="BB305" s="107"/>
      <c r="BC305" s="107">
        <f ca="1">AV305+SUM($AW$6:AW305)+SUM($AX$6:AX305)-SUM($BA$6:BA305)</f>
        <v>0</v>
      </c>
      <c r="BD305" s="107">
        <f t="shared" ca="1" si="177"/>
        <v>0</v>
      </c>
      <c r="BE305" s="51">
        <f ca="1">'PiT PD Structure'!J345</f>
        <v>1.426395047579021E-4</v>
      </c>
      <c r="BF305" s="139">
        <f t="shared" ca="1" si="150"/>
        <v>0.45</v>
      </c>
      <c r="BG305" s="51">
        <f t="shared" ca="1" si="178"/>
        <v>1</v>
      </c>
      <c r="BH305" s="50">
        <f t="shared" ca="1" si="179"/>
        <v>0</v>
      </c>
      <c r="BI305" s="50">
        <f t="shared" ca="1" si="180"/>
        <v>3.4816594052244909E-13</v>
      </c>
      <c r="BJ305" s="140">
        <v>0</v>
      </c>
      <c r="BK305" s="140">
        <v>0</v>
      </c>
      <c r="BR305" s="75">
        <f t="shared" ca="1" si="151"/>
        <v>52565</v>
      </c>
      <c r="BS305" s="74">
        <f t="shared" ca="1" si="181"/>
        <v>11</v>
      </c>
      <c r="BT305" s="74">
        <f t="shared" ca="1" si="145"/>
        <v>0</v>
      </c>
      <c r="BU305" s="73" t="str">
        <f t="shared" ca="1" si="182"/>
        <v xml:space="preserve"> </v>
      </c>
      <c r="BW305" s="75">
        <f t="shared" ca="1" si="183"/>
        <v>52565</v>
      </c>
      <c r="BX305" s="74">
        <f t="shared" ca="1" si="184"/>
        <v>11</v>
      </c>
      <c r="BY305" s="74">
        <f t="shared" ca="1" si="146"/>
        <v>0</v>
      </c>
      <c r="BZ305" s="73" t="str">
        <f t="shared" ca="1" si="185"/>
        <v xml:space="preserve"> </v>
      </c>
      <c r="CB305" s="75">
        <f t="shared" ca="1" si="157"/>
        <v>52565</v>
      </c>
      <c r="CC305" s="74">
        <f t="shared" ca="1" si="186"/>
        <v>11</v>
      </c>
      <c r="CD305" s="74">
        <f t="shared" ca="1" si="147"/>
        <v>0</v>
      </c>
      <c r="CE305" s="73" t="str">
        <f t="shared" ca="1" si="187"/>
        <v xml:space="preserve"> </v>
      </c>
    </row>
    <row r="306" spans="1:83" x14ac:dyDescent="0.2">
      <c r="A306" s="38" t="str">
        <f t="shared" si="158"/>
        <v xml:space="preserve"> </v>
      </c>
      <c r="B306" s="108"/>
      <c r="C306" s="38"/>
      <c r="D306" s="137"/>
      <c r="E306" s="137"/>
      <c r="F306" s="137"/>
      <c r="G306" s="122"/>
      <c r="H306" s="137"/>
      <c r="I306" s="50"/>
      <c r="J306" s="50"/>
      <c r="K306" s="50"/>
      <c r="L306" s="38"/>
      <c r="M306" s="38"/>
      <c r="N306" s="38"/>
      <c r="O306" s="50"/>
      <c r="P306" s="218"/>
      <c r="Q306" s="50"/>
      <c r="R306" s="50"/>
      <c r="S306" s="38"/>
      <c r="T306" s="51"/>
      <c r="U306" s="65"/>
      <c r="V306" s="105"/>
      <c r="W306" s="66"/>
      <c r="X306" s="66"/>
      <c r="Y306" s="38"/>
      <c r="Z306" s="66">
        <f t="shared" si="141"/>
        <v>0</v>
      </c>
      <c r="AA306" s="67"/>
      <c r="AC306" s="41" t="e">
        <f>VLOOKUP(A306,'Input Sheet'!$A$2:$B$232,2,0)</f>
        <v>#N/A</v>
      </c>
      <c r="AD306" s="70"/>
      <c r="AI306" s="68"/>
      <c r="AL306" s="107">
        <f t="shared" ca="1" si="170"/>
        <v>0</v>
      </c>
      <c r="AM306" s="49">
        <f t="shared" ca="1" si="148"/>
        <v>52596</v>
      </c>
      <c r="AN306" s="137" t="str">
        <f t="shared" ca="1" si="171"/>
        <v xml:space="preserve"> </v>
      </c>
      <c r="AO306" s="107">
        <f t="shared" ca="1" si="144"/>
        <v>0</v>
      </c>
      <c r="AP306" s="143">
        <f t="shared" ca="1" si="142"/>
        <v>0</v>
      </c>
      <c r="AQ306" s="143">
        <f t="shared" ca="1" si="172"/>
        <v>0</v>
      </c>
      <c r="AR306" s="49" t="str">
        <f t="shared" ca="1" si="173"/>
        <v xml:space="preserve"> </v>
      </c>
      <c r="AS306" s="107">
        <f t="shared" ca="1" si="174"/>
        <v>0</v>
      </c>
      <c r="AT306" s="107">
        <f t="shared" ca="1" si="143"/>
        <v>0</v>
      </c>
      <c r="AU306" s="107"/>
      <c r="AV306" s="107">
        <f ca="1">MAX(SUM($AQ$6:AQ306)-SUM($AT$6:AT306),0)</f>
        <v>0</v>
      </c>
      <c r="AW306" s="107">
        <f t="shared" ca="1" si="149"/>
        <v>0</v>
      </c>
      <c r="AX306" s="107">
        <v>0</v>
      </c>
      <c r="AY306" s="138" t="str">
        <f t="shared" ca="1" si="175"/>
        <v xml:space="preserve"> </v>
      </c>
      <c r="AZ306" s="107">
        <f t="shared" ca="1" si="176"/>
        <v>0</v>
      </c>
      <c r="BA306" s="107">
        <f ca="1">IF(AZ306=1,(SUM($AW$6:AW306,$AX$6:AX306)-SUM($BA$6:BA305)),0)</f>
        <v>0</v>
      </c>
      <c r="BB306" s="107"/>
      <c r="BC306" s="107">
        <f ca="1">AV306+SUM($AW$6:AW306)+SUM($AX$6:AX306)-SUM($BA$6:BA306)</f>
        <v>0</v>
      </c>
      <c r="BD306" s="107">
        <f t="shared" ca="1" si="177"/>
        <v>0</v>
      </c>
      <c r="BE306" s="51">
        <f ca="1">'PiT PD Structure'!J346</f>
        <v>3.5950971048361868E-3</v>
      </c>
      <c r="BF306" s="139">
        <f t="shared" ca="1" si="150"/>
        <v>0.45</v>
      </c>
      <c r="BG306" s="51">
        <f t="shared" ca="1" si="178"/>
        <v>1</v>
      </c>
      <c r="BH306" s="50">
        <f t="shared" ca="1" si="179"/>
        <v>0</v>
      </c>
      <c r="BI306" s="50">
        <f t="shared" ca="1" si="180"/>
        <v>3.4816594052244909E-13</v>
      </c>
      <c r="BJ306" s="140">
        <v>0</v>
      </c>
      <c r="BK306" s="140">
        <v>0</v>
      </c>
      <c r="BR306" s="75">
        <f t="shared" ca="1" si="151"/>
        <v>52596</v>
      </c>
      <c r="BS306" s="74">
        <f t="shared" ca="1" si="181"/>
        <v>12</v>
      </c>
      <c r="BT306" s="74">
        <f t="shared" ca="1" si="145"/>
        <v>0</v>
      </c>
      <c r="BU306" s="73" t="str">
        <f t="shared" ca="1" si="182"/>
        <v xml:space="preserve"> </v>
      </c>
      <c r="BW306" s="75">
        <f t="shared" ca="1" si="183"/>
        <v>52596</v>
      </c>
      <c r="BX306" s="74">
        <f t="shared" ca="1" si="184"/>
        <v>12</v>
      </c>
      <c r="BY306" s="74">
        <f t="shared" ca="1" si="146"/>
        <v>0</v>
      </c>
      <c r="BZ306" s="73" t="str">
        <f t="shared" ca="1" si="185"/>
        <v xml:space="preserve"> </v>
      </c>
      <c r="CB306" s="75">
        <f t="shared" ca="1" si="157"/>
        <v>52596</v>
      </c>
      <c r="CC306" s="74">
        <f t="shared" ca="1" si="186"/>
        <v>12</v>
      </c>
      <c r="CD306" s="74">
        <f t="shared" ca="1" si="147"/>
        <v>0</v>
      </c>
      <c r="CE306" s="73" t="str">
        <f t="shared" ca="1" si="187"/>
        <v xml:space="preserve"> </v>
      </c>
    </row>
    <row r="307" spans="1:83" x14ac:dyDescent="0.2">
      <c r="A307" s="38" t="str">
        <f t="shared" si="158"/>
        <v xml:space="preserve"> </v>
      </c>
      <c r="B307" s="108"/>
      <c r="C307" s="38"/>
      <c r="D307" s="137"/>
      <c r="E307" s="137"/>
      <c r="F307" s="137"/>
      <c r="G307" s="122"/>
      <c r="H307" s="137"/>
      <c r="I307" s="50"/>
      <c r="J307" s="50"/>
      <c r="K307" s="50"/>
      <c r="L307" s="38"/>
      <c r="M307" s="38"/>
      <c r="N307" s="38"/>
      <c r="O307" s="50"/>
      <c r="P307" s="218"/>
      <c r="Q307" s="50"/>
      <c r="R307" s="50"/>
      <c r="S307" s="38"/>
      <c r="T307" s="51"/>
      <c r="U307" s="65"/>
      <c r="V307" s="105"/>
      <c r="W307" s="66"/>
      <c r="X307" s="66"/>
      <c r="Y307" s="38"/>
      <c r="Z307" s="66">
        <f t="shared" si="141"/>
        <v>0</v>
      </c>
      <c r="AA307" s="67"/>
      <c r="AC307" s="41" t="e">
        <f>VLOOKUP(A307,'Input Sheet'!$A$2:$B$232,2,0)</f>
        <v>#N/A</v>
      </c>
      <c r="AD307" s="70"/>
      <c r="AI307" s="68"/>
      <c r="AL307" s="107">
        <f t="shared" ca="1" si="170"/>
        <v>0</v>
      </c>
      <c r="AM307" s="49">
        <f t="shared" ca="1" si="148"/>
        <v>52627</v>
      </c>
      <c r="AN307" s="137" t="str">
        <f t="shared" ca="1" si="171"/>
        <v xml:space="preserve"> </v>
      </c>
      <c r="AO307" s="107">
        <f t="shared" ca="1" si="144"/>
        <v>0</v>
      </c>
      <c r="AP307" s="143">
        <f t="shared" ca="1" si="142"/>
        <v>0</v>
      </c>
      <c r="AQ307" s="143">
        <f t="shared" ca="1" si="172"/>
        <v>0</v>
      </c>
      <c r="AR307" s="49" t="str">
        <f t="shared" ca="1" si="173"/>
        <v xml:space="preserve"> </v>
      </c>
      <c r="AS307" s="107">
        <f t="shared" ca="1" si="174"/>
        <v>0</v>
      </c>
      <c r="AT307" s="107">
        <f t="shared" ca="1" si="143"/>
        <v>0</v>
      </c>
      <c r="AU307" s="107"/>
      <c r="AV307" s="107">
        <f ca="1">MAX(SUM($AQ$6:AQ307)-SUM($AT$6:AT307),0)</f>
        <v>0</v>
      </c>
      <c r="AW307" s="107">
        <f t="shared" ca="1" si="149"/>
        <v>0</v>
      </c>
      <c r="AX307" s="107">
        <v>0</v>
      </c>
      <c r="AY307" s="138" t="str">
        <f t="shared" ca="1" si="175"/>
        <v xml:space="preserve"> </v>
      </c>
      <c r="AZ307" s="107">
        <f t="shared" ca="1" si="176"/>
        <v>0</v>
      </c>
      <c r="BA307" s="107">
        <f ca="1">IF(AZ307=1,(SUM($AW$6:AW307,$AX$6:AX307)-SUM($BA$6:BA306)),0)</f>
        <v>0</v>
      </c>
      <c r="BB307" s="107"/>
      <c r="BC307" s="107">
        <f ca="1">AV307+SUM($AW$6:AW307)+SUM($AX$6:AX307)-SUM($BA$6:BA307)</f>
        <v>0</v>
      </c>
      <c r="BD307" s="107">
        <f t="shared" ca="1" si="177"/>
        <v>0</v>
      </c>
      <c r="BE307" s="51">
        <f ca="1">'PiT PD Structure'!J347</f>
        <v>1.4809355366063315E-4</v>
      </c>
      <c r="BF307" s="139">
        <f t="shared" ca="1" si="150"/>
        <v>0.45</v>
      </c>
      <c r="BG307" s="51">
        <f t="shared" ca="1" si="178"/>
        <v>1</v>
      </c>
      <c r="BH307" s="50">
        <f t="shared" ca="1" si="179"/>
        <v>0</v>
      </c>
      <c r="BI307" s="50">
        <f t="shared" ca="1" si="180"/>
        <v>3.4816594052244909E-13</v>
      </c>
      <c r="BJ307" s="140">
        <v>0</v>
      </c>
      <c r="BK307" s="140">
        <v>0</v>
      </c>
      <c r="BR307" s="75">
        <f t="shared" ca="1" si="151"/>
        <v>52627</v>
      </c>
      <c r="BS307" s="74">
        <f t="shared" ca="1" si="181"/>
        <v>1</v>
      </c>
      <c r="BT307" s="74">
        <f t="shared" ca="1" si="145"/>
        <v>0</v>
      </c>
      <c r="BU307" s="73" t="str">
        <f t="shared" ca="1" si="182"/>
        <v xml:space="preserve"> </v>
      </c>
      <c r="BW307" s="75">
        <f t="shared" ca="1" si="183"/>
        <v>52627</v>
      </c>
      <c r="BX307" s="74">
        <f t="shared" ca="1" si="184"/>
        <v>1</v>
      </c>
      <c r="BY307" s="74">
        <f t="shared" ca="1" si="146"/>
        <v>0</v>
      </c>
      <c r="BZ307" s="73" t="str">
        <f t="shared" ca="1" si="185"/>
        <v xml:space="preserve"> </v>
      </c>
      <c r="CB307" s="75">
        <f t="shared" ca="1" si="157"/>
        <v>52627</v>
      </c>
      <c r="CC307" s="74">
        <f t="shared" ca="1" si="186"/>
        <v>1</v>
      </c>
      <c r="CD307" s="74">
        <f t="shared" ca="1" si="147"/>
        <v>0</v>
      </c>
      <c r="CE307" s="73" t="str">
        <f t="shared" ca="1" si="187"/>
        <v xml:space="preserve"> </v>
      </c>
    </row>
    <row r="308" spans="1:83" x14ac:dyDescent="0.2">
      <c r="A308" s="38" t="str">
        <f t="shared" si="158"/>
        <v xml:space="preserve"> </v>
      </c>
      <c r="B308" s="108"/>
      <c r="C308" s="38"/>
      <c r="D308" s="137"/>
      <c r="E308" s="137"/>
      <c r="F308" s="137"/>
      <c r="G308" s="122"/>
      <c r="H308" s="137"/>
      <c r="I308" s="50"/>
      <c r="J308" s="50"/>
      <c r="K308" s="50"/>
      <c r="L308" s="38"/>
      <c r="M308" s="38"/>
      <c r="N308" s="38"/>
      <c r="O308" s="50"/>
      <c r="P308" s="218"/>
      <c r="Q308" s="50"/>
      <c r="R308" s="50"/>
      <c r="S308" s="38"/>
      <c r="T308" s="51"/>
      <c r="U308" s="65"/>
      <c r="V308" s="105"/>
      <c r="W308" s="66"/>
      <c r="X308" s="66"/>
      <c r="Y308" s="38"/>
      <c r="Z308" s="66">
        <f t="shared" si="141"/>
        <v>0</v>
      </c>
      <c r="AA308" s="67"/>
      <c r="AC308" s="41" t="e">
        <f>VLOOKUP(A308,'Input Sheet'!$A$2:$B$232,2,0)</f>
        <v>#N/A</v>
      </c>
      <c r="AD308" s="70"/>
      <c r="AI308" s="68"/>
      <c r="AL308" s="107">
        <f t="shared" ca="1" si="170"/>
        <v>0</v>
      </c>
      <c r="AM308" s="49">
        <f t="shared" ca="1" si="148"/>
        <v>52656</v>
      </c>
      <c r="AN308" s="137" t="str">
        <f t="shared" ca="1" si="171"/>
        <v xml:space="preserve"> </v>
      </c>
      <c r="AO308" s="107">
        <f t="shared" ca="1" si="144"/>
        <v>0</v>
      </c>
      <c r="AP308" s="143">
        <f t="shared" ca="1" si="142"/>
        <v>0</v>
      </c>
      <c r="AQ308" s="143">
        <f t="shared" ca="1" si="172"/>
        <v>0</v>
      </c>
      <c r="AR308" s="49" t="str">
        <f t="shared" ca="1" si="173"/>
        <v xml:space="preserve"> </v>
      </c>
      <c r="AS308" s="107">
        <f t="shared" ca="1" si="174"/>
        <v>0</v>
      </c>
      <c r="AT308" s="107">
        <f t="shared" ca="1" si="143"/>
        <v>0</v>
      </c>
      <c r="AU308" s="107"/>
      <c r="AV308" s="107">
        <f ca="1">MAX(SUM($AQ$6:AQ308)-SUM($AT$6:AT308),0)</f>
        <v>0</v>
      </c>
      <c r="AW308" s="107">
        <f t="shared" ca="1" si="149"/>
        <v>0</v>
      </c>
      <c r="AX308" s="107">
        <v>0</v>
      </c>
      <c r="AY308" s="138" t="str">
        <f t="shared" ca="1" si="175"/>
        <v xml:space="preserve"> </v>
      </c>
      <c r="AZ308" s="107">
        <f t="shared" ca="1" si="176"/>
        <v>0</v>
      </c>
      <c r="BA308" s="107">
        <f ca="1">IF(AZ308=1,(SUM($AW$6:AW308,$AX$6:AX308)-SUM($BA$6:BA307)),0)</f>
        <v>0</v>
      </c>
      <c r="BB308" s="107"/>
      <c r="BC308" s="107">
        <f ca="1">AV308+SUM($AW$6:AW308)+SUM($AX$6:AX308)-SUM($BA$6:BA308)</f>
        <v>0</v>
      </c>
      <c r="BD308" s="107">
        <f t="shared" ca="1" si="177"/>
        <v>0</v>
      </c>
      <c r="BE308" s="51">
        <f ca="1">'PiT PD Structure'!J348</f>
        <v>1.4807002453853801E-4</v>
      </c>
      <c r="BF308" s="139">
        <f t="shared" ca="1" si="150"/>
        <v>0.45</v>
      </c>
      <c r="BG308" s="51">
        <f t="shared" ca="1" si="178"/>
        <v>1</v>
      </c>
      <c r="BH308" s="50">
        <f t="shared" ca="1" si="179"/>
        <v>0</v>
      </c>
      <c r="BI308" s="50">
        <f t="shared" ca="1" si="180"/>
        <v>3.4816594052244909E-13</v>
      </c>
      <c r="BJ308" s="140">
        <v>0</v>
      </c>
      <c r="BK308" s="140">
        <v>0</v>
      </c>
      <c r="BR308" s="75">
        <f t="shared" ca="1" si="151"/>
        <v>52656</v>
      </c>
      <c r="BS308" s="74">
        <f t="shared" ca="1" si="181"/>
        <v>2</v>
      </c>
      <c r="BT308" s="74">
        <f t="shared" ca="1" si="145"/>
        <v>0</v>
      </c>
      <c r="BU308" s="73" t="str">
        <f t="shared" ca="1" si="182"/>
        <v xml:space="preserve"> </v>
      </c>
      <c r="BW308" s="75">
        <f t="shared" ca="1" si="183"/>
        <v>52656</v>
      </c>
      <c r="BX308" s="74">
        <f t="shared" ca="1" si="184"/>
        <v>2</v>
      </c>
      <c r="BY308" s="74">
        <f t="shared" ca="1" si="146"/>
        <v>0</v>
      </c>
      <c r="BZ308" s="73" t="str">
        <f t="shared" ca="1" si="185"/>
        <v xml:space="preserve"> </v>
      </c>
      <c r="CB308" s="75">
        <f t="shared" ca="1" si="157"/>
        <v>52656</v>
      </c>
      <c r="CC308" s="74">
        <f t="shared" ca="1" si="186"/>
        <v>2</v>
      </c>
      <c r="CD308" s="74">
        <f t="shared" ca="1" si="147"/>
        <v>0</v>
      </c>
      <c r="CE308" s="73" t="str">
        <f t="shared" ca="1" si="187"/>
        <v xml:space="preserve"> </v>
      </c>
    </row>
    <row r="309" spans="1:83" x14ac:dyDescent="0.2">
      <c r="A309" s="38" t="str">
        <f t="shared" si="158"/>
        <v xml:space="preserve"> </v>
      </c>
      <c r="B309" s="108"/>
      <c r="C309" s="38"/>
      <c r="D309" s="137"/>
      <c r="E309" s="137"/>
      <c r="F309" s="137"/>
      <c r="G309" s="122"/>
      <c r="H309" s="137"/>
      <c r="I309" s="50"/>
      <c r="J309" s="50"/>
      <c r="K309" s="50"/>
      <c r="L309" s="38"/>
      <c r="M309" s="38"/>
      <c r="N309" s="38"/>
      <c r="O309" s="50"/>
      <c r="P309" s="218"/>
      <c r="Q309" s="50"/>
      <c r="R309" s="50"/>
      <c r="S309" s="38"/>
      <c r="T309" s="51"/>
      <c r="U309" s="65"/>
      <c r="V309" s="105"/>
      <c r="W309" s="66"/>
      <c r="X309" s="66"/>
      <c r="Y309" s="38"/>
      <c r="Z309" s="66">
        <f t="shared" si="141"/>
        <v>0</v>
      </c>
      <c r="AA309" s="67"/>
      <c r="AC309" s="41" t="e">
        <f>VLOOKUP(A309,'Input Sheet'!$A$2:$B$232,2,0)</f>
        <v>#N/A</v>
      </c>
      <c r="AD309" s="70"/>
      <c r="AI309" s="68"/>
      <c r="AL309" s="107">
        <f t="shared" ca="1" si="170"/>
        <v>0</v>
      </c>
      <c r="AM309" s="49">
        <f t="shared" ca="1" si="148"/>
        <v>52687</v>
      </c>
      <c r="AN309" s="137" t="str">
        <f t="shared" ca="1" si="171"/>
        <v xml:space="preserve"> </v>
      </c>
      <c r="AO309" s="107">
        <f t="shared" ca="1" si="144"/>
        <v>0</v>
      </c>
      <c r="AP309" s="143">
        <f t="shared" ca="1" si="142"/>
        <v>0</v>
      </c>
      <c r="AQ309" s="143">
        <f t="shared" ca="1" si="172"/>
        <v>0</v>
      </c>
      <c r="AR309" s="49" t="str">
        <f t="shared" ca="1" si="173"/>
        <v xml:space="preserve"> </v>
      </c>
      <c r="AS309" s="107">
        <f t="shared" ca="1" si="174"/>
        <v>0</v>
      </c>
      <c r="AT309" s="107">
        <f t="shared" ca="1" si="143"/>
        <v>0</v>
      </c>
      <c r="AU309" s="107"/>
      <c r="AV309" s="107">
        <f ca="1">MAX(SUM($AQ$6:AQ309)-SUM($AT$6:AT309),0)</f>
        <v>0</v>
      </c>
      <c r="AW309" s="107">
        <f t="shared" ca="1" si="149"/>
        <v>0</v>
      </c>
      <c r="AX309" s="107">
        <v>0</v>
      </c>
      <c r="AY309" s="138" t="str">
        <f t="shared" ca="1" si="175"/>
        <v xml:space="preserve"> </v>
      </c>
      <c r="AZ309" s="107">
        <f t="shared" ca="1" si="176"/>
        <v>0</v>
      </c>
      <c r="BA309" s="107">
        <f ca="1">IF(AZ309=1,(SUM($AW$6:AW309,$AX$6:AX309)-SUM($BA$6:BA308)),0)</f>
        <v>0</v>
      </c>
      <c r="BB309" s="107"/>
      <c r="BC309" s="107">
        <f ca="1">AV309+SUM($AW$6:AW309)+SUM($AX$6:AX309)-SUM($BA$6:BA309)</f>
        <v>0</v>
      </c>
      <c r="BD309" s="107">
        <f t="shared" ca="1" si="177"/>
        <v>0</v>
      </c>
      <c r="BE309" s="51">
        <f ca="1">'PiT PD Structure'!J349</f>
        <v>1.4804649915500789E-4</v>
      </c>
      <c r="BF309" s="139">
        <f t="shared" ca="1" si="150"/>
        <v>0.45</v>
      </c>
      <c r="BG309" s="51">
        <f t="shared" ca="1" si="178"/>
        <v>1</v>
      </c>
      <c r="BH309" s="50">
        <f t="shared" ca="1" si="179"/>
        <v>0</v>
      </c>
      <c r="BI309" s="50">
        <f t="shared" ca="1" si="180"/>
        <v>3.4816594052244909E-13</v>
      </c>
      <c r="BJ309" s="140">
        <v>0</v>
      </c>
      <c r="BK309" s="140">
        <v>0</v>
      </c>
      <c r="BR309" s="75">
        <f t="shared" ca="1" si="151"/>
        <v>52687</v>
      </c>
      <c r="BS309" s="74">
        <f t="shared" ca="1" si="181"/>
        <v>3</v>
      </c>
      <c r="BT309" s="74">
        <f t="shared" ca="1" si="145"/>
        <v>0</v>
      </c>
      <c r="BU309" s="73" t="str">
        <f t="shared" ca="1" si="182"/>
        <v xml:space="preserve"> </v>
      </c>
      <c r="BW309" s="75">
        <f t="shared" ca="1" si="183"/>
        <v>52687</v>
      </c>
      <c r="BX309" s="74">
        <f t="shared" ca="1" si="184"/>
        <v>3</v>
      </c>
      <c r="BY309" s="74">
        <f t="shared" ca="1" si="146"/>
        <v>0</v>
      </c>
      <c r="BZ309" s="73" t="str">
        <f t="shared" ca="1" si="185"/>
        <v xml:space="preserve"> </v>
      </c>
      <c r="CB309" s="75">
        <f t="shared" ca="1" si="157"/>
        <v>52687</v>
      </c>
      <c r="CC309" s="74">
        <f t="shared" ca="1" si="186"/>
        <v>3</v>
      </c>
      <c r="CD309" s="74">
        <f t="shared" ca="1" si="147"/>
        <v>0</v>
      </c>
      <c r="CE309" s="73" t="str">
        <f t="shared" ca="1" si="187"/>
        <v xml:space="preserve"> </v>
      </c>
    </row>
    <row r="310" spans="1:83" x14ac:dyDescent="0.2">
      <c r="A310" s="38" t="str">
        <f t="shared" si="158"/>
        <v xml:space="preserve"> </v>
      </c>
      <c r="B310" s="108"/>
      <c r="C310" s="38"/>
      <c r="D310" s="137"/>
      <c r="E310" s="137"/>
      <c r="F310" s="137"/>
      <c r="G310" s="122"/>
      <c r="H310" s="137"/>
      <c r="I310" s="50"/>
      <c r="J310" s="50"/>
      <c r="K310" s="50"/>
      <c r="L310" s="38"/>
      <c r="M310" s="38"/>
      <c r="N310" s="38"/>
      <c r="O310" s="50"/>
      <c r="P310" s="218"/>
      <c r="Q310" s="50"/>
      <c r="R310" s="50"/>
      <c r="S310" s="38"/>
      <c r="T310" s="51"/>
      <c r="U310" s="65"/>
      <c r="V310" s="105"/>
      <c r="W310" s="66"/>
      <c r="X310" s="66"/>
      <c r="Y310" s="38"/>
      <c r="Z310" s="66">
        <f t="shared" si="141"/>
        <v>0</v>
      </c>
      <c r="AA310" s="67"/>
      <c r="AC310" s="41" t="e">
        <f>VLOOKUP(A310,'Input Sheet'!$A$2:$B$232,2,0)</f>
        <v>#N/A</v>
      </c>
      <c r="AD310" s="70"/>
      <c r="AI310" s="68"/>
      <c r="AL310" s="107">
        <f t="shared" ca="1" si="170"/>
        <v>0</v>
      </c>
      <c r="AM310" s="49">
        <f t="shared" ca="1" si="148"/>
        <v>52717</v>
      </c>
      <c r="AN310" s="137" t="str">
        <f t="shared" ca="1" si="171"/>
        <v xml:space="preserve"> </v>
      </c>
      <c r="AO310" s="107">
        <f t="shared" ca="1" si="144"/>
        <v>0</v>
      </c>
      <c r="AP310" s="143">
        <f t="shared" ca="1" si="142"/>
        <v>0</v>
      </c>
      <c r="AQ310" s="143">
        <f t="shared" ca="1" si="172"/>
        <v>0</v>
      </c>
      <c r="AR310" s="49" t="str">
        <f t="shared" ca="1" si="173"/>
        <v xml:space="preserve"> </v>
      </c>
      <c r="AS310" s="107">
        <f t="shared" ca="1" si="174"/>
        <v>0</v>
      </c>
      <c r="AT310" s="107">
        <f t="shared" ca="1" si="143"/>
        <v>0</v>
      </c>
      <c r="AU310" s="107"/>
      <c r="AV310" s="107">
        <f ca="1">MAX(SUM($AQ$6:AQ310)-SUM($AT$6:AT310),0)</f>
        <v>0</v>
      </c>
      <c r="AW310" s="107">
        <f t="shared" ca="1" si="149"/>
        <v>0</v>
      </c>
      <c r="AX310" s="107">
        <v>0</v>
      </c>
      <c r="AY310" s="138" t="str">
        <f t="shared" ca="1" si="175"/>
        <v xml:space="preserve"> </v>
      </c>
      <c r="AZ310" s="107">
        <f t="shared" ca="1" si="176"/>
        <v>0</v>
      </c>
      <c r="BA310" s="107">
        <f ca="1">IF(AZ310=1,(SUM($AW$6:AW310,$AX$6:AX310)-SUM($BA$6:BA309)),0)</f>
        <v>0</v>
      </c>
      <c r="BB310" s="107"/>
      <c r="BC310" s="107">
        <f ca="1">AV310+SUM($AW$6:AW310)+SUM($AX$6:AX310)-SUM($BA$6:BA310)</f>
        <v>0</v>
      </c>
      <c r="BD310" s="107">
        <f t="shared" ca="1" si="177"/>
        <v>0</v>
      </c>
      <c r="BE310" s="51">
        <f ca="1">'PiT PD Structure'!J350</f>
        <v>1.4802297750882154E-4</v>
      </c>
      <c r="BF310" s="139">
        <f t="shared" ca="1" si="150"/>
        <v>0.45</v>
      </c>
      <c r="BG310" s="51">
        <f t="shared" ca="1" si="178"/>
        <v>1</v>
      </c>
      <c r="BH310" s="50">
        <f t="shared" ca="1" si="179"/>
        <v>0</v>
      </c>
      <c r="BI310" s="50">
        <f t="shared" ca="1" si="180"/>
        <v>3.4816594052244909E-13</v>
      </c>
      <c r="BJ310" s="140">
        <v>0</v>
      </c>
      <c r="BK310" s="140">
        <v>0</v>
      </c>
      <c r="BR310" s="75">
        <f t="shared" ca="1" si="151"/>
        <v>52717</v>
      </c>
      <c r="BS310" s="74">
        <f t="shared" ca="1" si="181"/>
        <v>4</v>
      </c>
      <c r="BT310" s="74">
        <f t="shared" ca="1" si="145"/>
        <v>0</v>
      </c>
      <c r="BU310" s="73" t="str">
        <f t="shared" ca="1" si="182"/>
        <v xml:space="preserve"> </v>
      </c>
      <c r="BW310" s="75">
        <f t="shared" ca="1" si="183"/>
        <v>52717</v>
      </c>
      <c r="BX310" s="74">
        <f t="shared" ca="1" si="184"/>
        <v>4</v>
      </c>
      <c r="BY310" s="74">
        <f t="shared" ca="1" si="146"/>
        <v>0</v>
      </c>
      <c r="BZ310" s="73" t="str">
        <f t="shared" ca="1" si="185"/>
        <v xml:space="preserve"> </v>
      </c>
      <c r="CB310" s="75">
        <f t="shared" ca="1" si="157"/>
        <v>52717</v>
      </c>
      <c r="CC310" s="74">
        <f t="shared" ca="1" si="186"/>
        <v>4</v>
      </c>
      <c r="CD310" s="74">
        <f t="shared" ca="1" si="147"/>
        <v>0</v>
      </c>
      <c r="CE310" s="73" t="str">
        <f t="shared" ca="1" si="187"/>
        <v xml:space="preserve"> </v>
      </c>
    </row>
    <row r="311" spans="1:83" x14ac:dyDescent="0.2">
      <c r="A311" s="38" t="str">
        <f t="shared" si="158"/>
        <v xml:space="preserve"> </v>
      </c>
      <c r="B311" s="108"/>
      <c r="C311" s="38"/>
      <c r="D311" s="137"/>
      <c r="E311" s="137"/>
      <c r="F311" s="137"/>
      <c r="G311" s="122"/>
      <c r="H311" s="137"/>
      <c r="I311" s="50"/>
      <c r="J311" s="50"/>
      <c r="K311" s="50"/>
      <c r="L311" s="38"/>
      <c r="M311" s="38"/>
      <c r="N311" s="38"/>
      <c r="O311" s="50"/>
      <c r="P311" s="218"/>
      <c r="Q311" s="50"/>
      <c r="R311" s="50"/>
      <c r="S311" s="38"/>
      <c r="T311" s="51"/>
      <c r="U311" s="65"/>
      <c r="V311" s="105"/>
      <c r="W311" s="66"/>
      <c r="X311" s="66"/>
      <c r="Y311" s="38"/>
      <c r="Z311" s="66">
        <f t="shared" si="141"/>
        <v>0</v>
      </c>
      <c r="AA311" s="67"/>
      <c r="AC311" s="41" t="e">
        <f>VLOOKUP(A311,'Input Sheet'!$A$2:$B$232,2,0)</f>
        <v>#N/A</v>
      </c>
      <c r="AD311" s="70"/>
      <c r="AI311" s="68"/>
      <c r="AL311" s="107">
        <f t="shared" ca="1" si="170"/>
        <v>0</v>
      </c>
      <c r="AM311" s="49">
        <f t="shared" ca="1" si="148"/>
        <v>52748</v>
      </c>
      <c r="AN311" s="137" t="str">
        <f t="shared" ca="1" si="171"/>
        <v xml:space="preserve"> </v>
      </c>
      <c r="AO311" s="107">
        <f t="shared" ca="1" si="144"/>
        <v>0</v>
      </c>
      <c r="AP311" s="143">
        <f t="shared" ca="1" si="142"/>
        <v>0</v>
      </c>
      <c r="AQ311" s="143">
        <f t="shared" ca="1" si="172"/>
        <v>0</v>
      </c>
      <c r="AR311" s="49" t="str">
        <f t="shared" ca="1" si="173"/>
        <v xml:space="preserve"> </v>
      </c>
      <c r="AS311" s="107">
        <f t="shared" ca="1" si="174"/>
        <v>0</v>
      </c>
      <c r="AT311" s="107">
        <f t="shared" ca="1" si="143"/>
        <v>0</v>
      </c>
      <c r="AU311" s="107"/>
      <c r="AV311" s="107">
        <f ca="1">MAX(SUM($AQ$6:AQ311)-SUM($AT$6:AT311),0)</f>
        <v>0</v>
      </c>
      <c r="AW311" s="107">
        <f t="shared" ca="1" si="149"/>
        <v>0</v>
      </c>
      <c r="AX311" s="107">
        <v>0</v>
      </c>
      <c r="AY311" s="138" t="str">
        <f t="shared" ca="1" si="175"/>
        <v xml:space="preserve"> </v>
      </c>
      <c r="AZ311" s="107">
        <f t="shared" ca="1" si="176"/>
        <v>0</v>
      </c>
      <c r="BA311" s="107">
        <f ca="1">IF(AZ311=1,(SUM($AW$6:AW311,$AX$6:AX311)-SUM($BA$6:BA310)),0)</f>
        <v>0</v>
      </c>
      <c r="BB311" s="107"/>
      <c r="BC311" s="107">
        <f ca="1">AV311+SUM($AW$6:AW311)+SUM($AX$6:AX311)-SUM($BA$6:BA311)</f>
        <v>0</v>
      </c>
      <c r="BD311" s="107">
        <f t="shared" ca="1" si="177"/>
        <v>0</v>
      </c>
      <c r="BE311" s="51">
        <f ca="1">'PiT PD Structure'!J351</f>
        <v>1.47999459600201E-4</v>
      </c>
      <c r="BF311" s="139">
        <f t="shared" ca="1" si="150"/>
        <v>0.45</v>
      </c>
      <c r="BG311" s="51">
        <f t="shared" ca="1" si="178"/>
        <v>1</v>
      </c>
      <c r="BH311" s="50">
        <f t="shared" ca="1" si="179"/>
        <v>0</v>
      </c>
      <c r="BI311" s="50">
        <f t="shared" ca="1" si="180"/>
        <v>3.4816594052244909E-13</v>
      </c>
      <c r="BJ311" s="140">
        <v>0</v>
      </c>
      <c r="BK311" s="140">
        <v>0</v>
      </c>
      <c r="BR311" s="75">
        <f t="shared" ca="1" si="151"/>
        <v>52748</v>
      </c>
      <c r="BS311" s="74">
        <f t="shared" ca="1" si="181"/>
        <v>5</v>
      </c>
      <c r="BT311" s="74">
        <f t="shared" ca="1" si="145"/>
        <v>0</v>
      </c>
      <c r="BU311" s="73" t="str">
        <f t="shared" ca="1" si="182"/>
        <v xml:space="preserve"> </v>
      </c>
      <c r="BW311" s="75">
        <f t="shared" ca="1" si="183"/>
        <v>52748</v>
      </c>
      <c r="BX311" s="74">
        <f t="shared" ca="1" si="184"/>
        <v>5</v>
      </c>
      <c r="BY311" s="74">
        <f t="shared" ca="1" si="146"/>
        <v>0</v>
      </c>
      <c r="BZ311" s="73" t="str">
        <f t="shared" ca="1" si="185"/>
        <v xml:space="preserve"> </v>
      </c>
      <c r="CB311" s="75">
        <f t="shared" ca="1" si="157"/>
        <v>52748</v>
      </c>
      <c r="CC311" s="74">
        <f t="shared" ca="1" si="186"/>
        <v>5</v>
      </c>
      <c r="CD311" s="74">
        <f t="shared" ca="1" si="147"/>
        <v>0</v>
      </c>
      <c r="CE311" s="73" t="str">
        <f t="shared" ca="1" si="187"/>
        <v xml:space="preserve"> </v>
      </c>
    </row>
    <row r="312" spans="1:83" x14ac:dyDescent="0.2">
      <c r="A312" s="38" t="str">
        <f t="shared" si="158"/>
        <v xml:space="preserve"> </v>
      </c>
      <c r="B312" s="108"/>
      <c r="C312" s="38"/>
      <c r="D312" s="137"/>
      <c r="E312" s="137"/>
      <c r="F312" s="137"/>
      <c r="G312" s="122"/>
      <c r="H312" s="137"/>
      <c r="I312" s="50"/>
      <c r="J312" s="50"/>
      <c r="K312" s="50"/>
      <c r="L312" s="38"/>
      <c r="M312" s="38"/>
      <c r="N312" s="38"/>
      <c r="O312" s="50"/>
      <c r="P312" s="218"/>
      <c r="Q312" s="50"/>
      <c r="R312" s="50"/>
      <c r="S312" s="38"/>
      <c r="T312" s="51"/>
      <c r="U312" s="65"/>
      <c r="V312" s="105"/>
      <c r="W312" s="66"/>
      <c r="X312" s="66"/>
      <c r="Y312" s="38"/>
      <c r="Z312" s="66">
        <f t="shared" si="141"/>
        <v>0</v>
      </c>
      <c r="AA312" s="67"/>
      <c r="AC312" s="41" t="e">
        <f>VLOOKUP(A312,'Input Sheet'!$A$2:$B$232,2,0)</f>
        <v>#N/A</v>
      </c>
      <c r="AD312" s="70"/>
      <c r="AI312" s="68"/>
      <c r="AL312" s="107">
        <f t="shared" ca="1" si="170"/>
        <v>0</v>
      </c>
      <c r="AM312" s="49">
        <f t="shared" ca="1" si="148"/>
        <v>52778</v>
      </c>
      <c r="AN312" s="137" t="str">
        <f t="shared" ca="1" si="171"/>
        <v xml:space="preserve"> </v>
      </c>
      <c r="AO312" s="107">
        <f t="shared" ca="1" si="144"/>
        <v>0</v>
      </c>
      <c r="AP312" s="143">
        <f t="shared" ca="1" si="142"/>
        <v>0</v>
      </c>
      <c r="AQ312" s="143">
        <f t="shared" ca="1" si="172"/>
        <v>0</v>
      </c>
      <c r="AR312" s="49" t="str">
        <f t="shared" ca="1" si="173"/>
        <v xml:space="preserve"> </v>
      </c>
      <c r="AS312" s="107">
        <f t="shared" ca="1" si="174"/>
        <v>0</v>
      </c>
      <c r="AT312" s="107">
        <f t="shared" ca="1" si="143"/>
        <v>0</v>
      </c>
      <c r="AU312" s="107"/>
      <c r="AV312" s="107">
        <f ca="1">MAX(SUM($AQ$6:AQ312)-SUM($AT$6:AT312),0)</f>
        <v>0</v>
      </c>
      <c r="AW312" s="107">
        <f t="shared" ca="1" si="149"/>
        <v>0</v>
      </c>
      <c r="AX312" s="107">
        <v>0</v>
      </c>
      <c r="AY312" s="138" t="str">
        <f t="shared" ca="1" si="175"/>
        <v xml:space="preserve"> </v>
      </c>
      <c r="AZ312" s="107">
        <f t="shared" ca="1" si="176"/>
        <v>0</v>
      </c>
      <c r="BA312" s="107">
        <f ca="1">IF(AZ312=1,(SUM($AW$6:AW312,$AX$6:AX312)-SUM($BA$6:BA311)),0)</f>
        <v>0</v>
      </c>
      <c r="BB312" s="107"/>
      <c r="BC312" s="107">
        <f ca="1">AV312+SUM($AW$6:AW312)+SUM($AX$6:AX312)-SUM($BA$6:BA312)</f>
        <v>0</v>
      </c>
      <c r="BD312" s="107">
        <f t="shared" ca="1" si="177"/>
        <v>0</v>
      </c>
      <c r="BE312" s="51">
        <f ca="1">'PiT PD Structure'!J352</f>
        <v>1.47975945427814E-4</v>
      </c>
      <c r="BF312" s="139">
        <f t="shared" ca="1" si="150"/>
        <v>0.45</v>
      </c>
      <c r="BG312" s="51">
        <f t="shared" ca="1" si="178"/>
        <v>1</v>
      </c>
      <c r="BH312" s="50">
        <f t="shared" ca="1" si="179"/>
        <v>0</v>
      </c>
      <c r="BI312" s="50">
        <f t="shared" ca="1" si="180"/>
        <v>3.4816594052244909E-13</v>
      </c>
      <c r="BJ312" s="140">
        <v>0</v>
      </c>
      <c r="BK312" s="140">
        <v>0</v>
      </c>
      <c r="BR312" s="75">
        <f t="shared" ca="1" si="151"/>
        <v>52778</v>
      </c>
      <c r="BS312" s="74">
        <f t="shared" ca="1" si="181"/>
        <v>6</v>
      </c>
      <c r="BT312" s="74">
        <f t="shared" ca="1" si="145"/>
        <v>0</v>
      </c>
      <c r="BU312" s="73" t="str">
        <f t="shared" ca="1" si="182"/>
        <v xml:space="preserve"> </v>
      </c>
      <c r="BW312" s="75">
        <f t="shared" ca="1" si="183"/>
        <v>52778</v>
      </c>
      <c r="BX312" s="74">
        <f t="shared" ca="1" si="184"/>
        <v>6</v>
      </c>
      <c r="BY312" s="74">
        <f t="shared" ca="1" si="146"/>
        <v>0</v>
      </c>
      <c r="BZ312" s="73" t="str">
        <f t="shared" ca="1" si="185"/>
        <v xml:space="preserve"> </v>
      </c>
      <c r="CB312" s="75">
        <f t="shared" ca="1" si="157"/>
        <v>52778</v>
      </c>
      <c r="CC312" s="74">
        <f t="shared" ca="1" si="186"/>
        <v>6</v>
      </c>
      <c r="CD312" s="74">
        <f t="shared" ca="1" si="147"/>
        <v>0</v>
      </c>
      <c r="CE312" s="73" t="str">
        <f t="shared" ca="1" si="187"/>
        <v xml:space="preserve"> </v>
      </c>
    </row>
    <row r="313" spans="1:83" x14ac:dyDescent="0.2">
      <c r="A313" s="38" t="str">
        <f t="shared" si="158"/>
        <v xml:space="preserve"> </v>
      </c>
      <c r="B313" s="108"/>
      <c r="C313" s="38"/>
      <c r="D313" s="137"/>
      <c r="E313" s="137"/>
      <c r="F313" s="137"/>
      <c r="G313" s="122"/>
      <c r="H313" s="137"/>
      <c r="I313" s="50"/>
      <c r="J313" s="50"/>
      <c r="K313" s="50"/>
      <c r="L313" s="38"/>
      <c r="M313" s="38"/>
      <c r="N313" s="38"/>
      <c r="O313" s="50"/>
      <c r="P313" s="218"/>
      <c r="Q313" s="50"/>
      <c r="R313" s="50"/>
      <c r="S313" s="38"/>
      <c r="T313" s="51"/>
      <c r="U313" s="65"/>
      <c r="V313" s="105"/>
      <c r="W313" s="66"/>
      <c r="X313" s="66"/>
      <c r="Y313" s="38"/>
      <c r="Z313" s="66">
        <f t="shared" si="141"/>
        <v>0</v>
      </c>
      <c r="AA313" s="67"/>
      <c r="AC313" s="41" t="e">
        <f>VLOOKUP(A313,'Input Sheet'!$A$2:$B$232,2,0)</f>
        <v>#N/A</v>
      </c>
      <c r="AD313" s="70"/>
      <c r="AI313" s="68"/>
      <c r="AL313" s="107">
        <f t="shared" ca="1" si="170"/>
        <v>0</v>
      </c>
      <c r="AM313" s="49">
        <f t="shared" ca="1" si="148"/>
        <v>52809</v>
      </c>
      <c r="AN313" s="137" t="str">
        <f t="shared" ca="1" si="171"/>
        <v xml:space="preserve"> </v>
      </c>
      <c r="AO313" s="107">
        <f t="shared" ca="1" si="144"/>
        <v>0</v>
      </c>
      <c r="AP313" s="143">
        <f t="shared" ca="1" si="142"/>
        <v>0</v>
      </c>
      <c r="AQ313" s="143">
        <f t="shared" ca="1" si="172"/>
        <v>0</v>
      </c>
      <c r="AR313" s="49" t="str">
        <f t="shared" ca="1" si="173"/>
        <v xml:space="preserve"> </v>
      </c>
      <c r="AS313" s="107">
        <f t="shared" ca="1" si="174"/>
        <v>0</v>
      </c>
      <c r="AT313" s="107">
        <f t="shared" ca="1" si="143"/>
        <v>0</v>
      </c>
      <c r="AU313" s="107"/>
      <c r="AV313" s="107">
        <f ca="1">MAX(SUM($AQ$6:AQ313)-SUM($AT$6:AT313),0)</f>
        <v>0</v>
      </c>
      <c r="AW313" s="107">
        <f t="shared" ca="1" si="149"/>
        <v>0</v>
      </c>
      <c r="AX313" s="107">
        <v>0</v>
      </c>
      <c r="AY313" s="138" t="str">
        <f t="shared" ca="1" si="175"/>
        <v xml:space="preserve"> </v>
      </c>
      <c r="AZ313" s="107">
        <f t="shared" ca="1" si="176"/>
        <v>0</v>
      </c>
      <c r="BA313" s="107">
        <f ca="1">IF(AZ313=1,(SUM($AW$6:AW313,$AX$6:AX313)-SUM($BA$6:BA312)),0)</f>
        <v>0</v>
      </c>
      <c r="BB313" s="107"/>
      <c r="BC313" s="107">
        <f ca="1">AV313+SUM($AW$6:AW313)+SUM($AX$6:AX313)-SUM($BA$6:BA313)</f>
        <v>0</v>
      </c>
      <c r="BD313" s="107">
        <f t="shared" ca="1" si="177"/>
        <v>0</v>
      </c>
      <c r="BE313" s="51">
        <f ca="1">'PiT PD Structure'!J353</f>
        <v>1.4795243499154953E-4</v>
      </c>
      <c r="BF313" s="139">
        <f t="shared" ca="1" si="150"/>
        <v>0.45</v>
      </c>
      <c r="BG313" s="51">
        <f t="shared" ca="1" si="178"/>
        <v>1</v>
      </c>
      <c r="BH313" s="50">
        <f t="shared" ca="1" si="179"/>
        <v>0</v>
      </c>
      <c r="BI313" s="50">
        <f t="shared" ca="1" si="180"/>
        <v>3.4816594052244909E-13</v>
      </c>
      <c r="BJ313" s="140">
        <v>0</v>
      </c>
      <c r="BK313" s="140">
        <v>0</v>
      </c>
      <c r="BR313" s="75">
        <f t="shared" ca="1" si="151"/>
        <v>52809</v>
      </c>
      <c r="BS313" s="74">
        <f t="shared" ca="1" si="181"/>
        <v>7</v>
      </c>
      <c r="BT313" s="74">
        <f t="shared" ca="1" si="145"/>
        <v>0</v>
      </c>
      <c r="BU313" s="73" t="str">
        <f t="shared" ca="1" si="182"/>
        <v xml:space="preserve"> </v>
      </c>
      <c r="BW313" s="75">
        <f t="shared" ca="1" si="183"/>
        <v>52809</v>
      </c>
      <c r="BX313" s="74">
        <f t="shared" ca="1" si="184"/>
        <v>7</v>
      </c>
      <c r="BY313" s="74">
        <f t="shared" ca="1" si="146"/>
        <v>0</v>
      </c>
      <c r="BZ313" s="73" t="str">
        <f t="shared" ca="1" si="185"/>
        <v xml:space="preserve"> </v>
      </c>
      <c r="CB313" s="75">
        <f t="shared" ca="1" si="157"/>
        <v>52809</v>
      </c>
      <c r="CC313" s="74">
        <f t="shared" ca="1" si="186"/>
        <v>7</v>
      </c>
      <c r="CD313" s="74">
        <f t="shared" ca="1" si="147"/>
        <v>0</v>
      </c>
      <c r="CE313" s="73" t="str">
        <f t="shared" ca="1" si="187"/>
        <v xml:space="preserve"> </v>
      </c>
    </row>
    <row r="314" spans="1:83" x14ac:dyDescent="0.2">
      <c r="A314" s="38" t="str">
        <f t="shared" si="158"/>
        <v xml:space="preserve"> </v>
      </c>
      <c r="B314" s="108"/>
      <c r="C314" s="38"/>
      <c r="D314" s="137"/>
      <c r="E314" s="137"/>
      <c r="F314" s="137"/>
      <c r="G314" s="122"/>
      <c r="H314" s="137"/>
      <c r="I314" s="50"/>
      <c r="J314" s="50"/>
      <c r="K314" s="50"/>
      <c r="L314" s="38"/>
      <c r="M314" s="38"/>
      <c r="N314" s="38"/>
      <c r="O314" s="50"/>
      <c r="P314" s="218"/>
      <c r="Q314" s="50"/>
      <c r="R314" s="50"/>
      <c r="S314" s="38"/>
      <c r="T314" s="51"/>
      <c r="U314" s="65"/>
      <c r="V314" s="105"/>
      <c r="W314" s="66"/>
      <c r="X314" s="66"/>
      <c r="Y314" s="38"/>
      <c r="Z314" s="66">
        <f t="shared" si="141"/>
        <v>0</v>
      </c>
      <c r="AA314" s="67"/>
      <c r="AC314" s="41" t="e">
        <f>VLOOKUP(A314,'Input Sheet'!$A$2:$B$232,2,0)</f>
        <v>#N/A</v>
      </c>
      <c r="AD314" s="70"/>
      <c r="AI314" s="68"/>
      <c r="AL314" s="107">
        <f t="shared" ca="1" si="170"/>
        <v>0</v>
      </c>
      <c r="AM314" s="49">
        <f t="shared" ca="1" si="148"/>
        <v>52840</v>
      </c>
      <c r="AN314" s="137" t="str">
        <f t="shared" ca="1" si="171"/>
        <v xml:space="preserve"> </v>
      </c>
      <c r="AO314" s="107">
        <f t="shared" ca="1" si="144"/>
        <v>0</v>
      </c>
      <c r="AP314" s="143">
        <f t="shared" ca="1" si="142"/>
        <v>0</v>
      </c>
      <c r="AQ314" s="143">
        <f t="shared" ca="1" si="172"/>
        <v>0</v>
      </c>
      <c r="AR314" s="49" t="str">
        <f t="shared" ca="1" si="173"/>
        <v xml:space="preserve"> </v>
      </c>
      <c r="AS314" s="107">
        <f t="shared" ca="1" si="174"/>
        <v>0</v>
      </c>
      <c r="AT314" s="107">
        <f t="shared" ca="1" si="143"/>
        <v>0</v>
      </c>
      <c r="AU314" s="107"/>
      <c r="AV314" s="107">
        <f ca="1">MAX(SUM($AQ$6:AQ314)-SUM($AT$6:AT314),0)</f>
        <v>0</v>
      </c>
      <c r="AW314" s="107">
        <f t="shared" ca="1" si="149"/>
        <v>0</v>
      </c>
      <c r="AX314" s="107">
        <v>0</v>
      </c>
      <c r="AY314" s="138" t="str">
        <f t="shared" ca="1" si="175"/>
        <v xml:space="preserve"> </v>
      </c>
      <c r="AZ314" s="107">
        <f t="shared" ca="1" si="176"/>
        <v>0</v>
      </c>
      <c r="BA314" s="107">
        <f ca="1">IF(AZ314=1,(SUM($AW$6:AW314,$AX$6:AX314)-SUM($BA$6:BA313)),0)</f>
        <v>0</v>
      </c>
      <c r="BB314" s="107"/>
      <c r="BC314" s="107">
        <f ca="1">AV314+SUM($AW$6:AW314)+SUM($AX$6:AX314)-SUM($BA$6:BA314)</f>
        <v>0</v>
      </c>
      <c r="BD314" s="107">
        <f t="shared" ca="1" si="177"/>
        <v>0</v>
      </c>
      <c r="BE314" s="51">
        <f ca="1">'PiT PD Structure'!J354</f>
        <v>1.4792892829040838E-4</v>
      </c>
      <c r="BF314" s="139">
        <f t="shared" ca="1" si="150"/>
        <v>0.45</v>
      </c>
      <c r="BG314" s="51">
        <f t="shared" ca="1" si="178"/>
        <v>1</v>
      </c>
      <c r="BH314" s="50">
        <f t="shared" ca="1" si="179"/>
        <v>0</v>
      </c>
      <c r="BI314" s="50">
        <f t="shared" ca="1" si="180"/>
        <v>3.4816594052244909E-13</v>
      </c>
      <c r="BJ314" s="140">
        <v>0</v>
      </c>
      <c r="BK314" s="140">
        <v>0</v>
      </c>
      <c r="BR314" s="75">
        <f t="shared" ca="1" si="151"/>
        <v>52840</v>
      </c>
      <c r="BS314" s="74">
        <f t="shared" ca="1" si="181"/>
        <v>8</v>
      </c>
      <c r="BT314" s="74">
        <f t="shared" ca="1" si="145"/>
        <v>0</v>
      </c>
      <c r="BU314" s="73" t="str">
        <f t="shared" ca="1" si="182"/>
        <v xml:space="preserve"> </v>
      </c>
      <c r="BW314" s="75">
        <f t="shared" ca="1" si="183"/>
        <v>52840</v>
      </c>
      <c r="BX314" s="74">
        <f t="shared" ca="1" si="184"/>
        <v>8</v>
      </c>
      <c r="BY314" s="74">
        <f t="shared" ca="1" si="146"/>
        <v>0</v>
      </c>
      <c r="BZ314" s="73" t="str">
        <f t="shared" ca="1" si="185"/>
        <v xml:space="preserve"> </v>
      </c>
      <c r="CB314" s="75">
        <f t="shared" ca="1" si="157"/>
        <v>52840</v>
      </c>
      <c r="CC314" s="74">
        <f t="shared" ca="1" si="186"/>
        <v>8</v>
      </c>
      <c r="CD314" s="74">
        <f t="shared" ca="1" si="147"/>
        <v>0</v>
      </c>
      <c r="CE314" s="73" t="str">
        <f t="shared" ca="1" si="187"/>
        <v xml:space="preserve"> </v>
      </c>
    </row>
    <row r="315" spans="1:83" x14ac:dyDescent="0.2">
      <c r="A315" s="38" t="str">
        <f t="shared" si="158"/>
        <v xml:space="preserve"> </v>
      </c>
      <c r="B315" s="108"/>
      <c r="C315" s="38"/>
      <c r="D315" s="137"/>
      <c r="E315" s="137"/>
      <c r="F315" s="137"/>
      <c r="G315" s="122"/>
      <c r="H315" s="137"/>
      <c r="I315" s="50"/>
      <c r="J315" s="50"/>
      <c r="K315" s="50"/>
      <c r="L315" s="38"/>
      <c r="M315" s="38"/>
      <c r="N315" s="38"/>
      <c r="O315" s="50"/>
      <c r="P315" s="218"/>
      <c r="Q315" s="50"/>
      <c r="R315" s="50"/>
      <c r="S315" s="38"/>
      <c r="T315" s="51"/>
      <c r="U315" s="65"/>
      <c r="V315" s="105"/>
      <c r="W315" s="66"/>
      <c r="X315" s="66"/>
      <c r="Y315" s="38"/>
      <c r="Z315" s="66">
        <f t="shared" si="141"/>
        <v>0</v>
      </c>
      <c r="AA315" s="67"/>
      <c r="AC315" s="41" t="e">
        <f>VLOOKUP(A315,'Input Sheet'!$A$2:$B$232,2,0)</f>
        <v>#N/A</v>
      </c>
      <c r="AD315" s="70"/>
      <c r="AI315" s="68"/>
      <c r="AL315" s="107">
        <f t="shared" ca="1" si="170"/>
        <v>0</v>
      </c>
      <c r="AM315" s="49">
        <f t="shared" ca="1" si="148"/>
        <v>52870</v>
      </c>
      <c r="AN315" s="137" t="str">
        <f t="shared" ca="1" si="171"/>
        <v xml:space="preserve"> </v>
      </c>
      <c r="AO315" s="107">
        <f t="shared" ca="1" si="144"/>
        <v>0</v>
      </c>
      <c r="AP315" s="143">
        <f t="shared" ca="1" si="142"/>
        <v>0</v>
      </c>
      <c r="AQ315" s="143">
        <f t="shared" ca="1" si="172"/>
        <v>0</v>
      </c>
      <c r="AR315" s="49" t="str">
        <f t="shared" ca="1" si="173"/>
        <v xml:space="preserve"> </v>
      </c>
      <c r="AS315" s="107">
        <f t="shared" ca="1" si="174"/>
        <v>0</v>
      </c>
      <c r="AT315" s="107">
        <f t="shared" ca="1" si="143"/>
        <v>0</v>
      </c>
      <c r="AU315" s="107"/>
      <c r="AV315" s="107">
        <f ca="1">MAX(SUM($AQ$6:AQ315)-SUM($AT$6:AT315),0)</f>
        <v>0</v>
      </c>
      <c r="AW315" s="107">
        <f t="shared" ca="1" si="149"/>
        <v>0</v>
      </c>
      <c r="AX315" s="107">
        <v>0</v>
      </c>
      <c r="AY315" s="138" t="str">
        <f t="shared" ca="1" si="175"/>
        <v xml:space="preserve"> </v>
      </c>
      <c r="AZ315" s="107">
        <f t="shared" ca="1" si="176"/>
        <v>0</v>
      </c>
      <c r="BA315" s="107">
        <f ca="1">IF(AZ315=1,(SUM($AW$6:AW315,$AX$6:AX315)-SUM($BA$6:BA314)),0)</f>
        <v>0</v>
      </c>
      <c r="BB315" s="107"/>
      <c r="BC315" s="107">
        <f ca="1">AV315+SUM($AW$6:AW315)+SUM($AX$6:AX315)-SUM($BA$6:BA315)</f>
        <v>0</v>
      </c>
      <c r="BD315" s="107">
        <f t="shared" ca="1" si="177"/>
        <v>0</v>
      </c>
      <c r="BE315" s="51">
        <f ca="1">'PiT PD Structure'!J355</f>
        <v>1.479054253241685E-4</v>
      </c>
      <c r="BF315" s="139">
        <f t="shared" ca="1" si="150"/>
        <v>0.45</v>
      </c>
      <c r="BG315" s="51">
        <f t="shared" ca="1" si="178"/>
        <v>1</v>
      </c>
      <c r="BH315" s="50">
        <f t="shared" ca="1" si="179"/>
        <v>0</v>
      </c>
      <c r="BI315" s="50">
        <f t="shared" ca="1" si="180"/>
        <v>3.4816594052244909E-13</v>
      </c>
      <c r="BJ315" s="140">
        <v>0</v>
      </c>
      <c r="BK315" s="140">
        <v>0</v>
      </c>
      <c r="BR315" s="75">
        <f t="shared" ca="1" si="151"/>
        <v>52870</v>
      </c>
      <c r="BS315" s="74">
        <f t="shared" ca="1" si="181"/>
        <v>9</v>
      </c>
      <c r="BT315" s="74">
        <f t="shared" ca="1" si="145"/>
        <v>0</v>
      </c>
      <c r="BU315" s="73" t="str">
        <f t="shared" ca="1" si="182"/>
        <v xml:space="preserve"> </v>
      </c>
      <c r="BW315" s="75">
        <f t="shared" ca="1" si="183"/>
        <v>52870</v>
      </c>
      <c r="BX315" s="74">
        <f t="shared" ca="1" si="184"/>
        <v>9</v>
      </c>
      <c r="BY315" s="74">
        <f t="shared" ca="1" si="146"/>
        <v>0</v>
      </c>
      <c r="BZ315" s="73" t="str">
        <f t="shared" ca="1" si="185"/>
        <v xml:space="preserve"> </v>
      </c>
      <c r="CB315" s="75">
        <f t="shared" ca="1" si="157"/>
        <v>52870</v>
      </c>
      <c r="CC315" s="74">
        <f t="shared" ca="1" si="186"/>
        <v>9</v>
      </c>
      <c r="CD315" s="74">
        <f t="shared" ca="1" si="147"/>
        <v>0</v>
      </c>
      <c r="CE315" s="73" t="str">
        <f t="shared" ca="1" si="187"/>
        <v xml:space="preserve"> </v>
      </c>
    </row>
    <row r="316" spans="1:83" x14ac:dyDescent="0.2">
      <c r="A316" s="38" t="str">
        <f t="shared" si="158"/>
        <v xml:space="preserve"> </v>
      </c>
      <c r="B316" s="108"/>
      <c r="C316" s="38"/>
      <c r="D316" s="137"/>
      <c r="E316" s="137"/>
      <c r="F316" s="137"/>
      <c r="G316" s="122"/>
      <c r="H316" s="137"/>
      <c r="I316" s="50"/>
      <c r="J316" s="50"/>
      <c r="K316" s="50"/>
      <c r="L316" s="38"/>
      <c r="M316" s="38"/>
      <c r="N316" s="38"/>
      <c r="O316" s="50"/>
      <c r="P316" s="218"/>
      <c r="Q316" s="50"/>
      <c r="R316" s="50"/>
      <c r="S316" s="38"/>
      <c r="T316" s="51"/>
      <c r="U316" s="65"/>
      <c r="V316" s="105"/>
      <c r="W316" s="66"/>
      <c r="X316" s="66"/>
      <c r="Y316" s="38"/>
      <c r="Z316" s="66">
        <f t="shared" si="141"/>
        <v>0</v>
      </c>
      <c r="AA316" s="67"/>
      <c r="AC316" s="41" t="e">
        <f>VLOOKUP(A316,'Input Sheet'!$A$2:$B$232,2,0)</f>
        <v>#N/A</v>
      </c>
      <c r="AD316" s="70"/>
      <c r="AI316" s="68"/>
      <c r="AL316" s="107">
        <f t="shared" ca="1" si="170"/>
        <v>0</v>
      </c>
      <c r="AM316" s="49">
        <f t="shared" ca="1" si="148"/>
        <v>52901</v>
      </c>
      <c r="AN316" s="137" t="str">
        <f t="shared" ca="1" si="171"/>
        <v xml:space="preserve"> </v>
      </c>
      <c r="AO316" s="107">
        <f t="shared" ca="1" si="144"/>
        <v>0</v>
      </c>
      <c r="AP316" s="143">
        <f t="shared" ca="1" si="142"/>
        <v>0</v>
      </c>
      <c r="AQ316" s="143">
        <f t="shared" ca="1" si="172"/>
        <v>0</v>
      </c>
      <c r="AR316" s="49" t="str">
        <f t="shared" ca="1" si="173"/>
        <v xml:space="preserve"> </v>
      </c>
      <c r="AS316" s="107">
        <f t="shared" ca="1" si="174"/>
        <v>0</v>
      </c>
      <c r="AT316" s="107">
        <f t="shared" ca="1" si="143"/>
        <v>0</v>
      </c>
      <c r="AU316" s="107"/>
      <c r="AV316" s="107">
        <f ca="1">MAX(SUM($AQ$6:AQ316)-SUM($AT$6:AT316),0)</f>
        <v>0</v>
      </c>
      <c r="AW316" s="107">
        <f t="shared" ca="1" si="149"/>
        <v>0</v>
      </c>
      <c r="AX316" s="107">
        <v>0</v>
      </c>
      <c r="AY316" s="138" t="str">
        <f t="shared" ca="1" si="175"/>
        <v xml:space="preserve"> </v>
      </c>
      <c r="AZ316" s="107">
        <f t="shared" ca="1" si="176"/>
        <v>0</v>
      </c>
      <c r="BA316" s="107">
        <f ca="1">IF(AZ316=1,(SUM($AW$6:AW316,$AX$6:AX316)-SUM($BA$6:BA315)),0)</f>
        <v>0</v>
      </c>
      <c r="BB316" s="107"/>
      <c r="BC316" s="107">
        <f ca="1">AV316+SUM($AW$6:AW316)+SUM($AX$6:AX316)-SUM($BA$6:BA316)</f>
        <v>0</v>
      </c>
      <c r="BD316" s="107">
        <f t="shared" ca="1" si="177"/>
        <v>0</v>
      </c>
      <c r="BE316" s="51">
        <f ca="1">'PiT PD Structure'!J356</f>
        <v>1.4788192609216377E-4</v>
      </c>
      <c r="BF316" s="139">
        <f t="shared" ca="1" si="150"/>
        <v>0.45</v>
      </c>
      <c r="BG316" s="51">
        <f t="shared" ca="1" si="178"/>
        <v>1</v>
      </c>
      <c r="BH316" s="50">
        <f t="shared" ca="1" si="179"/>
        <v>0</v>
      </c>
      <c r="BI316" s="50">
        <f t="shared" ca="1" si="180"/>
        <v>3.4816594052244909E-13</v>
      </c>
      <c r="BJ316" s="140">
        <v>0</v>
      </c>
      <c r="BK316" s="140">
        <v>0</v>
      </c>
      <c r="BR316" s="75">
        <f t="shared" ca="1" si="151"/>
        <v>52901</v>
      </c>
      <c r="BS316" s="74">
        <f t="shared" ca="1" si="181"/>
        <v>10</v>
      </c>
      <c r="BT316" s="74">
        <f t="shared" ca="1" si="145"/>
        <v>0</v>
      </c>
      <c r="BU316" s="73" t="str">
        <f t="shared" ca="1" si="182"/>
        <v xml:space="preserve"> </v>
      </c>
      <c r="BW316" s="75">
        <f t="shared" ca="1" si="183"/>
        <v>52901</v>
      </c>
      <c r="BX316" s="74">
        <f t="shared" ca="1" si="184"/>
        <v>10</v>
      </c>
      <c r="BY316" s="74">
        <f t="shared" ca="1" si="146"/>
        <v>0</v>
      </c>
      <c r="BZ316" s="73" t="str">
        <f t="shared" ca="1" si="185"/>
        <v xml:space="preserve"> </v>
      </c>
      <c r="CB316" s="75">
        <f t="shared" ca="1" si="157"/>
        <v>52901</v>
      </c>
      <c r="CC316" s="74">
        <f t="shared" ca="1" si="186"/>
        <v>10</v>
      </c>
      <c r="CD316" s="74">
        <f t="shared" ca="1" si="147"/>
        <v>0</v>
      </c>
      <c r="CE316" s="73" t="str">
        <f t="shared" ca="1" si="187"/>
        <v xml:space="preserve"> </v>
      </c>
    </row>
    <row r="317" spans="1:83" x14ac:dyDescent="0.2">
      <c r="A317" s="38" t="str">
        <f t="shared" si="158"/>
        <v xml:space="preserve"> </v>
      </c>
      <c r="B317" s="108"/>
      <c r="C317" s="38"/>
      <c r="D317" s="137"/>
      <c r="E317" s="137"/>
      <c r="F317" s="137"/>
      <c r="G317" s="122"/>
      <c r="H317" s="137"/>
      <c r="I317" s="50"/>
      <c r="J317" s="50"/>
      <c r="K317" s="50"/>
      <c r="L317" s="38"/>
      <c r="M317" s="38"/>
      <c r="N317" s="38"/>
      <c r="O317" s="50"/>
      <c r="P317" s="218"/>
      <c r="Q317" s="50"/>
      <c r="R317" s="50"/>
      <c r="S317" s="38"/>
      <c r="T317" s="51"/>
      <c r="U317" s="65"/>
      <c r="V317" s="105"/>
      <c r="W317" s="66"/>
      <c r="X317" s="66"/>
      <c r="Y317" s="38"/>
      <c r="Z317" s="66">
        <f t="shared" si="141"/>
        <v>0</v>
      </c>
      <c r="AA317" s="67"/>
      <c r="AC317" s="41" t="e">
        <f>VLOOKUP(A317,'Input Sheet'!$A$2:$B$232,2,0)</f>
        <v>#N/A</v>
      </c>
      <c r="AD317" s="70"/>
      <c r="AI317" s="68"/>
      <c r="AL317" s="107">
        <f t="shared" ca="1" si="170"/>
        <v>0</v>
      </c>
      <c r="AM317" s="49">
        <f t="shared" ca="1" si="148"/>
        <v>52931</v>
      </c>
      <c r="AN317" s="137" t="str">
        <f t="shared" ca="1" si="171"/>
        <v xml:space="preserve"> </v>
      </c>
      <c r="AO317" s="107">
        <f t="shared" ca="1" si="144"/>
        <v>0</v>
      </c>
      <c r="AP317" s="143">
        <f t="shared" ca="1" si="142"/>
        <v>0</v>
      </c>
      <c r="AQ317" s="143">
        <f t="shared" ca="1" si="172"/>
        <v>0</v>
      </c>
      <c r="AR317" s="49" t="str">
        <f t="shared" ca="1" si="173"/>
        <v xml:space="preserve"> </v>
      </c>
      <c r="AS317" s="107">
        <f t="shared" ca="1" si="174"/>
        <v>0</v>
      </c>
      <c r="AT317" s="107">
        <f t="shared" ca="1" si="143"/>
        <v>0</v>
      </c>
      <c r="AU317" s="107"/>
      <c r="AV317" s="107">
        <f ca="1">MAX(SUM($AQ$6:AQ317)-SUM($AT$6:AT317),0)</f>
        <v>0</v>
      </c>
      <c r="AW317" s="107">
        <f t="shared" ca="1" si="149"/>
        <v>0</v>
      </c>
      <c r="AX317" s="107">
        <v>0</v>
      </c>
      <c r="AY317" s="138" t="str">
        <f t="shared" ca="1" si="175"/>
        <v xml:space="preserve"> </v>
      </c>
      <c r="AZ317" s="107">
        <f t="shared" ca="1" si="176"/>
        <v>0</v>
      </c>
      <c r="BA317" s="107">
        <f ca="1">IF(AZ317=1,(SUM($AW$6:AW317,$AX$6:AX317)-SUM($BA$6:BA316)),0)</f>
        <v>0</v>
      </c>
      <c r="BB317" s="107"/>
      <c r="BC317" s="107">
        <f ca="1">AV317+SUM($AW$6:AW317)+SUM($AX$6:AX317)-SUM($BA$6:BA317)</f>
        <v>0</v>
      </c>
      <c r="BD317" s="107">
        <f t="shared" ca="1" si="177"/>
        <v>0</v>
      </c>
      <c r="BE317" s="51">
        <f ca="1">'PiT PD Structure'!J357</f>
        <v>1.478584305939501E-4</v>
      </c>
      <c r="BF317" s="139">
        <f t="shared" ca="1" si="150"/>
        <v>0.45</v>
      </c>
      <c r="BG317" s="51">
        <f t="shared" ca="1" si="178"/>
        <v>1</v>
      </c>
      <c r="BH317" s="50">
        <f t="shared" ca="1" si="179"/>
        <v>0</v>
      </c>
      <c r="BI317" s="50">
        <f t="shared" ca="1" si="180"/>
        <v>3.4816594052244909E-13</v>
      </c>
      <c r="BJ317" s="140">
        <v>0</v>
      </c>
      <c r="BK317" s="140">
        <v>0</v>
      </c>
      <c r="BR317" s="75">
        <f t="shared" ca="1" si="151"/>
        <v>52931</v>
      </c>
      <c r="BS317" s="74">
        <f t="shared" ca="1" si="181"/>
        <v>11</v>
      </c>
      <c r="BT317" s="74">
        <f t="shared" ca="1" si="145"/>
        <v>0</v>
      </c>
      <c r="BU317" s="73" t="str">
        <f t="shared" ca="1" si="182"/>
        <v xml:space="preserve"> </v>
      </c>
      <c r="BW317" s="75">
        <f t="shared" ca="1" si="183"/>
        <v>52931</v>
      </c>
      <c r="BX317" s="74">
        <f t="shared" ca="1" si="184"/>
        <v>11</v>
      </c>
      <c r="BY317" s="74">
        <f t="shared" ca="1" si="146"/>
        <v>0</v>
      </c>
      <c r="BZ317" s="73" t="str">
        <f t="shared" ca="1" si="185"/>
        <v xml:space="preserve"> </v>
      </c>
      <c r="CB317" s="75">
        <f t="shared" ca="1" si="157"/>
        <v>52931</v>
      </c>
      <c r="CC317" s="74">
        <f t="shared" ca="1" si="186"/>
        <v>11</v>
      </c>
      <c r="CD317" s="74">
        <f t="shared" ca="1" si="147"/>
        <v>0</v>
      </c>
      <c r="CE317" s="73" t="str">
        <f t="shared" ca="1" si="187"/>
        <v xml:space="preserve"> </v>
      </c>
    </row>
    <row r="318" spans="1:83" x14ac:dyDescent="0.2">
      <c r="A318" s="38" t="str">
        <f t="shared" si="158"/>
        <v xml:space="preserve"> </v>
      </c>
      <c r="B318" s="108"/>
      <c r="C318" s="38"/>
      <c r="D318" s="137"/>
      <c r="E318" s="137"/>
      <c r="F318" s="137"/>
      <c r="G318" s="122"/>
      <c r="H318" s="137"/>
      <c r="I318" s="50"/>
      <c r="J318" s="50"/>
      <c r="K318" s="50"/>
      <c r="L318" s="38"/>
      <c r="M318" s="38"/>
      <c r="N318" s="38"/>
      <c r="O318" s="50"/>
      <c r="P318" s="218"/>
      <c r="Q318" s="50"/>
      <c r="R318" s="50"/>
      <c r="S318" s="38"/>
      <c r="T318" s="51"/>
      <c r="U318" s="65"/>
      <c r="V318" s="105"/>
      <c r="W318" s="66"/>
      <c r="X318" s="66"/>
      <c r="Y318" s="38"/>
      <c r="Z318" s="66">
        <f t="shared" si="141"/>
        <v>0</v>
      </c>
      <c r="AA318" s="67"/>
      <c r="AC318" s="41" t="e">
        <f>VLOOKUP(A318,'Input Sheet'!$A$2:$B$232,2,0)</f>
        <v>#N/A</v>
      </c>
      <c r="AD318" s="70"/>
      <c r="AI318" s="68"/>
      <c r="AL318" s="107">
        <f t="shared" ca="1" si="170"/>
        <v>0</v>
      </c>
      <c r="AM318" s="49">
        <f t="shared" ca="1" si="148"/>
        <v>52962</v>
      </c>
      <c r="AN318" s="137" t="str">
        <f t="shared" ca="1" si="171"/>
        <v xml:space="preserve"> </v>
      </c>
      <c r="AO318" s="107">
        <f t="shared" ca="1" si="144"/>
        <v>0</v>
      </c>
      <c r="AP318" s="143">
        <f t="shared" ca="1" si="142"/>
        <v>0</v>
      </c>
      <c r="AQ318" s="143">
        <f t="shared" ca="1" si="172"/>
        <v>0</v>
      </c>
      <c r="AR318" s="49" t="str">
        <f t="shared" ca="1" si="173"/>
        <v xml:space="preserve"> </v>
      </c>
      <c r="AS318" s="107">
        <f t="shared" ca="1" si="174"/>
        <v>0</v>
      </c>
      <c r="AT318" s="107">
        <f t="shared" ca="1" si="143"/>
        <v>0</v>
      </c>
      <c r="AU318" s="107"/>
      <c r="AV318" s="107">
        <f ca="1">MAX(SUM($AQ$6:AQ318)-SUM($AT$6:AT318),0)</f>
        <v>0</v>
      </c>
      <c r="AW318" s="107">
        <f t="shared" ca="1" si="149"/>
        <v>0</v>
      </c>
      <c r="AX318" s="107">
        <v>0</v>
      </c>
      <c r="AY318" s="138" t="str">
        <f t="shared" ca="1" si="175"/>
        <v xml:space="preserve"> </v>
      </c>
      <c r="AZ318" s="107">
        <f t="shared" ca="1" si="176"/>
        <v>0</v>
      </c>
      <c r="BA318" s="107">
        <f ca="1">IF(AZ318=1,(SUM($AW$6:AW318,$AX$6:AX318)-SUM($BA$6:BA317)),0)</f>
        <v>0</v>
      </c>
      <c r="BB318" s="107"/>
      <c r="BC318" s="107">
        <f ca="1">AV318+SUM($AW$6:AW318)+SUM($AX$6:AX318)-SUM($BA$6:BA318)</f>
        <v>0</v>
      </c>
      <c r="BD318" s="107">
        <f t="shared" ca="1" si="177"/>
        <v>0</v>
      </c>
      <c r="BE318" s="51">
        <f ca="1">'PiT PD Structure'!J358</f>
        <v>3.7005315202462974E-3</v>
      </c>
      <c r="BF318" s="139">
        <f t="shared" ca="1" si="150"/>
        <v>0.45</v>
      </c>
      <c r="BG318" s="51">
        <f t="shared" ca="1" si="178"/>
        <v>1</v>
      </c>
      <c r="BH318" s="50">
        <f t="shared" ca="1" si="179"/>
        <v>0</v>
      </c>
      <c r="BI318" s="50">
        <f t="shared" ca="1" si="180"/>
        <v>3.4816594052244909E-13</v>
      </c>
      <c r="BJ318" s="140">
        <v>0</v>
      </c>
      <c r="BK318" s="140">
        <v>0</v>
      </c>
      <c r="BR318" s="75">
        <f t="shared" ca="1" si="151"/>
        <v>52962</v>
      </c>
      <c r="BS318" s="74">
        <f t="shared" ca="1" si="181"/>
        <v>12</v>
      </c>
      <c r="BT318" s="74">
        <f t="shared" ca="1" si="145"/>
        <v>0</v>
      </c>
      <c r="BU318" s="73" t="str">
        <f t="shared" ca="1" si="182"/>
        <v xml:space="preserve"> </v>
      </c>
      <c r="BW318" s="75">
        <f t="shared" ca="1" si="183"/>
        <v>52962</v>
      </c>
      <c r="BX318" s="74">
        <f t="shared" ca="1" si="184"/>
        <v>12</v>
      </c>
      <c r="BY318" s="74">
        <f t="shared" ca="1" si="146"/>
        <v>0</v>
      </c>
      <c r="BZ318" s="73" t="str">
        <f t="shared" ca="1" si="185"/>
        <v xml:space="preserve"> </v>
      </c>
      <c r="CB318" s="75">
        <f t="shared" ca="1" si="157"/>
        <v>52962</v>
      </c>
      <c r="CC318" s="74">
        <f t="shared" ca="1" si="186"/>
        <v>12</v>
      </c>
      <c r="CD318" s="74">
        <f t="shared" ca="1" si="147"/>
        <v>0</v>
      </c>
      <c r="CE318" s="73" t="str">
        <f t="shared" ca="1" si="187"/>
        <v xml:space="preserve"> </v>
      </c>
    </row>
    <row r="319" spans="1:83" x14ac:dyDescent="0.2">
      <c r="A319" s="38" t="str">
        <f t="shared" si="158"/>
        <v xml:space="preserve"> </v>
      </c>
      <c r="B319" s="108"/>
      <c r="C319" s="38"/>
      <c r="D319" s="137"/>
      <c r="E319" s="137"/>
      <c r="F319" s="137"/>
      <c r="G319" s="122"/>
      <c r="H319" s="137"/>
      <c r="I319" s="50"/>
      <c r="J319" s="50"/>
      <c r="K319" s="50"/>
      <c r="L319" s="38"/>
      <c r="M319" s="38"/>
      <c r="N319" s="38"/>
      <c r="O319" s="50"/>
      <c r="P319" s="218"/>
      <c r="Q319" s="50"/>
      <c r="R319" s="50"/>
      <c r="S319" s="38"/>
      <c r="T319" s="51"/>
      <c r="U319" s="65"/>
      <c r="V319" s="105"/>
      <c r="W319" s="66"/>
      <c r="X319" s="66"/>
      <c r="Y319" s="38"/>
      <c r="Z319" s="66">
        <f t="shared" si="141"/>
        <v>0</v>
      </c>
      <c r="AA319" s="67"/>
      <c r="AC319" s="41" t="e">
        <f>VLOOKUP(A319,'Input Sheet'!$A$2:$B$232,2,0)</f>
        <v>#N/A</v>
      </c>
      <c r="AD319" s="70"/>
      <c r="AI319" s="68"/>
      <c r="AL319" s="107">
        <f t="shared" ca="1" si="170"/>
        <v>0</v>
      </c>
      <c r="AM319" s="49">
        <f t="shared" ca="1" si="148"/>
        <v>52993</v>
      </c>
      <c r="AN319" s="137" t="str">
        <f t="shared" ca="1" si="171"/>
        <v xml:space="preserve"> </v>
      </c>
      <c r="AO319" s="107">
        <f t="shared" ca="1" si="144"/>
        <v>0</v>
      </c>
      <c r="AP319" s="143">
        <f t="shared" ca="1" si="142"/>
        <v>0</v>
      </c>
      <c r="AQ319" s="143">
        <f t="shared" ca="1" si="172"/>
        <v>0</v>
      </c>
      <c r="AR319" s="49" t="str">
        <f t="shared" ca="1" si="173"/>
        <v xml:space="preserve"> </v>
      </c>
      <c r="AS319" s="107">
        <f t="shared" ca="1" si="174"/>
        <v>0</v>
      </c>
      <c r="AT319" s="107">
        <f t="shared" ca="1" si="143"/>
        <v>0</v>
      </c>
      <c r="AU319" s="107"/>
      <c r="AV319" s="107">
        <f ca="1">MAX(SUM($AQ$6:AQ319)-SUM($AT$6:AT319),0)</f>
        <v>0</v>
      </c>
      <c r="AW319" s="107">
        <f t="shared" ca="1" si="149"/>
        <v>0</v>
      </c>
      <c r="AX319" s="107">
        <v>0</v>
      </c>
      <c r="AY319" s="138" t="str">
        <f t="shared" ca="1" si="175"/>
        <v xml:space="preserve"> </v>
      </c>
      <c r="AZ319" s="107">
        <f t="shared" ca="1" si="176"/>
        <v>0</v>
      </c>
      <c r="BA319" s="107">
        <f ca="1">IF(AZ319=1,(SUM($AW$6:AW319,$AX$6:AX319)-SUM($BA$6:BA318)),0)</f>
        <v>0</v>
      </c>
      <c r="BB319" s="107"/>
      <c r="BC319" s="107">
        <f ca="1">AV319+SUM($AW$6:AW319)+SUM($AX$6:AX319)-SUM($BA$6:BA319)</f>
        <v>0</v>
      </c>
      <c r="BD319" s="107">
        <f t="shared" ca="1" si="177"/>
        <v>0</v>
      </c>
      <c r="BE319" s="51">
        <f ca="1">'PiT PD Structure'!J359</f>
        <v>1.5315567527318663E-4</v>
      </c>
      <c r="BF319" s="139">
        <f t="shared" ca="1" si="150"/>
        <v>0.45</v>
      </c>
      <c r="BG319" s="51">
        <f t="shared" ca="1" si="178"/>
        <v>1</v>
      </c>
      <c r="BH319" s="50">
        <f t="shared" ca="1" si="179"/>
        <v>0</v>
      </c>
      <c r="BI319" s="50">
        <f t="shared" ca="1" si="180"/>
        <v>3.4816594052244909E-13</v>
      </c>
      <c r="BJ319" s="140">
        <v>0</v>
      </c>
      <c r="BK319" s="140">
        <v>0</v>
      </c>
      <c r="BR319" s="75">
        <f t="shared" ca="1" si="151"/>
        <v>52993</v>
      </c>
      <c r="BS319" s="74">
        <f t="shared" ca="1" si="181"/>
        <v>1</v>
      </c>
      <c r="BT319" s="74">
        <f t="shared" ca="1" si="145"/>
        <v>0</v>
      </c>
      <c r="BU319" s="73" t="str">
        <f t="shared" ca="1" si="182"/>
        <v xml:space="preserve"> </v>
      </c>
      <c r="BW319" s="75">
        <f t="shared" ca="1" si="183"/>
        <v>52993</v>
      </c>
      <c r="BX319" s="74">
        <f t="shared" ca="1" si="184"/>
        <v>1</v>
      </c>
      <c r="BY319" s="74">
        <f t="shared" ca="1" si="146"/>
        <v>0</v>
      </c>
      <c r="BZ319" s="73" t="str">
        <f t="shared" ca="1" si="185"/>
        <v xml:space="preserve"> </v>
      </c>
      <c r="CB319" s="75">
        <f t="shared" ca="1" si="157"/>
        <v>52993</v>
      </c>
      <c r="CC319" s="74">
        <f t="shared" ca="1" si="186"/>
        <v>1</v>
      </c>
      <c r="CD319" s="74">
        <f t="shared" ca="1" si="147"/>
        <v>0</v>
      </c>
      <c r="CE319" s="73" t="str">
        <f t="shared" ca="1" si="187"/>
        <v xml:space="preserve"> </v>
      </c>
    </row>
    <row r="320" spans="1:83" x14ac:dyDescent="0.2">
      <c r="A320" s="38" t="str">
        <f t="shared" si="158"/>
        <v xml:space="preserve"> </v>
      </c>
      <c r="B320" s="108"/>
      <c r="C320" s="38"/>
      <c r="D320" s="137"/>
      <c r="E320" s="137"/>
      <c r="F320" s="137"/>
      <c r="G320" s="122"/>
      <c r="H320" s="137"/>
      <c r="I320" s="50"/>
      <c r="J320" s="50"/>
      <c r="K320" s="50"/>
      <c r="L320" s="38"/>
      <c r="M320" s="38"/>
      <c r="N320" s="38"/>
      <c r="O320" s="50"/>
      <c r="P320" s="218"/>
      <c r="Q320" s="50"/>
      <c r="R320" s="50"/>
      <c r="S320" s="38"/>
      <c r="T320" s="51"/>
      <c r="U320" s="65"/>
      <c r="V320" s="105"/>
      <c r="W320" s="66"/>
      <c r="X320" s="66"/>
      <c r="Y320" s="38"/>
      <c r="Z320" s="66">
        <f t="shared" si="141"/>
        <v>0</v>
      </c>
      <c r="AA320" s="67"/>
      <c r="AC320" s="41" t="e">
        <f>VLOOKUP(A320,'Input Sheet'!$A$2:$B$232,2,0)</f>
        <v>#N/A</v>
      </c>
      <c r="AD320" s="70"/>
      <c r="AI320" s="68"/>
      <c r="AL320" s="107">
        <f t="shared" ca="1" si="170"/>
        <v>0</v>
      </c>
      <c r="AM320" s="49">
        <f t="shared" ca="1" si="148"/>
        <v>53021</v>
      </c>
      <c r="AN320" s="137" t="str">
        <f t="shared" ca="1" si="171"/>
        <v xml:space="preserve"> </v>
      </c>
      <c r="AO320" s="107">
        <f t="shared" ca="1" si="144"/>
        <v>0</v>
      </c>
      <c r="AP320" s="143">
        <f t="shared" ca="1" si="142"/>
        <v>0</v>
      </c>
      <c r="AQ320" s="143">
        <f t="shared" ca="1" si="172"/>
        <v>0</v>
      </c>
      <c r="AR320" s="49" t="str">
        <f t="shared" ca="1" si="173"/>
        <v xml:space="preserve"> </v>
      </c>
      <c r="AS320" s="107">
        <f t="shared" ca="1" si="174"/>
        <v>0</v>
      </c>
      <c r="AT320" s="107">
        <f t="shared" ca="1" si="143"/>
        <v>0</v>
      </c>
      <c r="AU320" s="107"/>
      <c r="AV320" s="107">
        <f ca="1">MAX(SUM($AQ$6:AQ320)-SUM($AT$6:AT320),0)</f>
        <v>0</v>
      </c>
      <c r="AW320" s="107">
        <f t="shared" ca="1" si="149"/>
        <v>0</v>
      </c>
      <c r="AX320" s="107">
        <v>0</v>
      </c>
      <c r="AY320" s="138" t="str">
        <f t="shared" ca="1" si="175"/>
        <v xml:space="preserve"> </v>
      </c>
      <c r="AZ320" s="107">
        <f t="shared" ca="1" si="176"/>
        <v>0</v>
      </c>
      <c r="BA320" s="107">
        <f ca="1">IF(AZ320=1,(SUM($AW$6:AW320,$AX$6:AX320)-SUM($BA$6:BA319)),0)</f>
        <v>0</v>
      </c>
      <c r="BB320" s="107"/>
      <c r="BC320" s="107">
        <f ca="1">AV320+SUM($AW$6:AW320)+SUM($AX$6:AX320)-SUM($BA$6:BA320)</f>
        <v>0</v>
      </c>
      <c r="BD320" s="107">
        <f t="shared" ca="1" si="177"/>
        <v>0</v>
      </c>
      <c r="BE320" s="51">
        <f ca="1">'PiT PD Structure'!J360</f>
        <v>1.531303654385141E-4</v>
      </c>
      <c r="BF320" s="139">
        <f t="shared" ca="1" si="150"/>
        <v>0.45</v>
      </c>
      <c r="BG320" s="51">
        <f t="shared" ca="1" si="178"/>
        <v>1</v>
      </c>
      <c r="BH320" s="50">
        <f t="shared" ca="1" si="179"/>
        <v>0</v>
      </c>
      <c r="BI320" s="50">
        <f t="shared" ca="1" si="180"/>
        <v>3.4816594052244909E-13</v>
      </c>
      <c r="BJ320" s="140">
        <v>0</v>
      </c>
      <c r="BK320" s="140">
        <v>0</v>
      </c>
      <c r="BR320" s="75">
        <f t="shared" ca="1" si="151"/>
        <v>53021</v>
      </c>
      <c r="BS320" s="74">
        <f t="shared" ca="1" si="181"/>
        <v>2</v>
      </c>
      <c r="BT320" s="74">
        <f t="shared" ca="1" si="145"/>
        <v>0</v>
      </c>
      <c r="BU320" s="73" t="str">
        <f t="shared" ca="1" si="182"/>
        <v xml:space="preserve"> </v>
      </c>
      <c r="BW320" s="75">
        <f t="shared" ca="1" si="183"/>
        <v>53021</v>
      </c>
      <c r="BX320" s="74">
        <f t="shared" ca="1" si="184"/>
        <v>2</v>
      </c>
      <c r="BY320" s="74">
        <f t="shared" ca="1" si="146"/>
        <v>0</v>
      </c>
      <c r="BZ320" s="73" t="str">
        <f t="shared" ca="1" si="185"/>
        <v xml:space="preserve"> </v>
      </c>
      <c r="CB320" s="75">
        <f t="shared" ca="1" si="157"/>
        <v>53021</v>
      </c>
      <c r="CC320" s="74">
        <f t="shared" ca="1" si="186"/>
        <v>2</v>
      </c>
      <c r="CD320" s="74">
        <f t="shared" ca="1" si="147"/>
        <v>0</v>
      </c>
      <c r="CE320" s="73" t="str">
        <f t="shared" ca="1" si="187"/>
        <v xml:space="preserve"> </v>
      </c>
    </row>
    <row r="321" spans="1:83" x14ac:dyDescent="0.2">
      <c r="A321" s="38" t="str">
        <f t="shared" si="158"/>
        <v xml:space="preserve"> </v>
      </c>
      <c r="B321" s="108"/>
      <c r="C321" s="38"/>
      <c r="D321" s="137"/>
      <c r="E321" s="137"/>
      <c r="F321" s="137"/>
      <c r="G321" s="122"/>
      <c r="H321" s="137"/>
      <c r="I321" s="50"/>
      <c r="J321" s="50"/>
      <c r="K321" s="50"/>
      <c r="L321" s="38"/>
      <c r="M321" s="38"/>
      <c r="N321" s="38"/>
      <c r="O321" s="50"/>
      <c r="P321" s="218"/>
      <c r="Q321" s="50"/>
      <c r="R321" s="50"/>
      <c r="S321" s="38"/>
      <c r="T321" s="51"/>
      <c r="U321" s="65"/>
      <c r="V321" s="105"/>
      <c r="W321" s="66"/>
      <c r="X321" s="66"/>
      <c r="Y321" s="38"/>
      <c r="Z321" s="66">
        <f t="shared" si="141"/>
        <v>0</v>
      </c>
      <c r="AA321" s="67"/>
      <c r="AC321" s="41" t="e">
        <f>VLOOKUP(A321,'Input Sheet'!$A$2:$B$232,2,0)</f>
        <v>#N/A</v>
      </c>
      <c r="AD321" s="70"/>
      <c r="AI321" s="68"/>
      <c r="AL321" s="107">
        <f t="shared" ca="1" si="170"/>
        <v>0</v>
      </c>
      <c r="AM321" s="49">
        <f t="shared" ca="1" si="148"/>
        <v>53052</v>
      </c>
      <c r="AN321" s="137" t="str">
        <f t="shared" ca="1" si="171"/>
        <v xml:space="preserve"> </v>
      </c>
      <c r="AO321" s="107">
        <f t="shared" ca="1" si="144"/>
        <v>0</v>
      </c>
      <c r="AP321" s="143">
        <f t="shared" ca="1" si="142"/>
        <v>0</v>
      </c>
      <c r="AQ321" s="143">
        <f t="shared" ca="1" si="172"/>
        <v>0</v>
      </c>
      <c r="AR321" s="49" t="str">
        <f t="shared" ca="1" si="173"/>
        <v xml:space="preserve"> </v>
      </c>
      <c r="AS321" s="107">
        <f t="shared" ca="1" si="174"/>
        <v>0</v>
      </c>
      <c r="AT321" s="107">
        <f t="shared" ca="1" si="143"/>
        <v>0</v>
      </c>
      <c r="AU321" s="107"/>
      <c r="AV321" s="107">
        <f ca="1">MAX(SUM($AQ$6:AQ321)-SUM($AT$6:AT321),0)</f>
        <v>0</v>
      </c>
      <c r="AW321" s="107">
        <f t="shared" ca="1" si="149"/>
        <v>0</v>
      </c>
      <c r="AX321" s="107">
        <v>0</v>
      </c>
      <c r="AY321" s="138" t="str">
        <f t="shared" ca="1" si="175"/>
        <v xml:space="preserve"> </v>
      </c>
      <c r="AZ321" s="107">
        <f t="shared" ca="1" si="176"/>
        <v>0</v>
      </c>
      <c r="BA321" s="107">
        <f ca="1">IF(AZ321=1,(SUM($AW$6:AW321,$AX$6:AX321)-SUM($BA$6:BA320)),0)</f>
        <v>0</v>
      </c>
      <c r="BB321" s="107"/>
      <c r="BC321" s="107">
        <f ca="1">AV321+SUM($AW$6:AW321)+SUM($AX$6:AX321)-SUM($BA$6:BA321)</f>
        <v>0</v>
      </c>
      <c r="BD321" s="107">
        <f t="shared" ca="1" si="177"/>
        <v>0</v>
      </c>
      <c r="BE321" s="51">
        <f ca="1">'PiT PD Structure'!J361</f>
        <v>1.5310505978682887E-4</v>
      </c>
      <c r="BF321" s="139">
        <f t="shared" ca="1" si="150"/>
        <v>0.45</v>
      </c>
      <c r="BG321" s="51">
        <f t="shared" ca="1" si="178"/>
        <v>1</v>
      </c>
      <c r="BH321" s="50">
        <f t="shared" ca="1" si="179"/>
        <v>0</v>
      </c>
      <c r="BI321" s="50">
        <f t="shared" ca="1" si="180"/>
        <v>3.4816594052244909E-13</v>
      </c>
      <c r="BJ321" s="140">
        <v>0</v>
      </c>
      <c r="BK321" s="140">
        <v>0</v>
      </c>
      <c r="BR321" s="75">
        <f t="shared" ca="1" si="151"/>
        <v>53052</v>
      </c>
      <c r="BS321" s="74">
        <f t="shared" ca="1" si="181"/>
        <v>3</v>
      </c>
      <c r="BT321" s="74">
        <f t="shared" ca="1" si="145"/>
        <v>0</v>
      </c>
      <c r="BU321" s="73" t="str">
        <f t="shared" ca="1" si="182"/>
        <v xml:space="preserve"> </v>
      </c>
      <c r="BW321" s="75">
        <f t="shared" ca="1" si="183"/>
        <v>53052</v>
      </c>
      <c r="BX321" s="74">
        <f t="shared" ca="1" si="184"/>
        <v>3</v>
      </c>
      <c r="BY321" s="74">
        <f t="shared" ca="1" si="146"/>
        <v>0</v>
      </c>
      <c r="BZ321" s="73" t="str">
        <f t="shared" ca="1" si="185"/>
        <v xml:space="preserve"> </v>
      </c>
      <c r="CB321" s="75">
        <f t="shared" ca="1" si="157"/>
        <v>53052</v>
      </c>
      <c r="CC321" s="74">
        <f t="shared" ca="1" si="186"/>
        <v>3</v>
      </c>
      <c r="CD321" s="74">
        <f t="shared" ca="1" si="147"/>
        <v>0</v>
      </c>
      <c r="CE321" s="73" t="str">
        <f t="shared" ca="1" si="187"/>
        <v xml:space="preserve"> </v>
      </c>
    </row>
    <row r="322" spans="1:83" x14ac:dyDescent="0.2">
      <c r="A322" s="38" t="str">
        <f t="shared" si="158"/>
        <v xml:space="preserve"> </v>
      </c>
      <c r="B322" s="108"/>
      <c r="C322" s="38"/>
      <c r="D322" s="137"/>
      <c r="E322" s="137"/>
      <c r="F322" s="137"/>
      <c r="G322" s="122"/>
      <c r="H322" s="137"/>
      <c r="I322" s="50"/>
      <c r="J322" s="50"/>
      <c r="K322" s="50"/>
      <c r="L322" s="38"/>
      <c r="M322" s="38"/>
      <c r="N322" s="38"/>
      <c r="O322" s="50"/>
      <c r="P322" s="218"/>
      <c r="Q322" s="50"/>
      <c r="R322" s="50"/>
      <c r="S322" s="38"/>
      <c r="T322" s="51"/>
      <c r="U322" s="65"/>
      <c r="V322" s="105"/>
      <c r="W322" s="66"/>
      <c r="X322" s="66"/>
      <c r="Y322" s="38"/>
      <c r="Z322" s="66">
        <f t="shared" si="141"/>
        <v>0</v>
      </c>
      <c r="AA322" s="67"/>
      <c r="AC322" s="41" t="e">
        <f>VLOOKUP(A322,'Input Sheet'!$A$2:$B$232,2,0)</f>
        <v>#N/A</v>
      </c>
      <c r="AD322" s="70"/>
      <c r="AI322" s="68"/>
      <c r="AL322" s="107">
        <f t="shared" ca="1" si="170"/>
        <v>0</v>
      </c>
      <c r="AM322" s="49">
        <f t="shared" ca="1" si="148"/>
        <v>53082</v>
      </c>
      <c r="AN322" s="137" t="str">
        <f t="shared" ca="1" si="171"/>
        <v xml:space="preserve"> </v>
      </c>
      <c r="AO322" s="107">
        <f t="shared" ca="1" si="144"/>
        <v>0</v>
      </c>
      <c r="AP322" s="143">
        <f t="shared" ca="1" si="142"/>
        <v>0</v>
      </c>
      <c r="AQ322" s="143">
        <f t="shared" ca="1" si="172"/>
        <v>0</v>
      </c>
      <c r="AR322" s="49" t="str">
        <f t="shared" ca="1" si="173"/>
        <v xml:space="preserve"> </v>
      </c>
      <c r="AS322" s="107">
        <f t="shared" ca="1" si="174"/>
        <v>0</v>
      </c>
      <c r="AT322" s="107">
        <f t="shared" ca="1" si="143"/>
        <v>0</v>
      </c>
      <c r="AU322" s="107"/>
      <c r="AV322" s="107">
        <f ca="1">MAX(SUM($AQ$6:AQ322)-SUM($AT$6:AT322),0)</f>
        <v>0</v>
      </c>
      <c r="AW322" s="107">
        <f t="shared" ca="1" si="149"/>
        <v>0</v>
      </c>
      <c r="AX322" s="107">
        <v>0</v>
      </c>
      <c r="AY322" s="138" t="str">
        <f t="shared" ca="1" si="175"/>
        <v xml:space="preserve"> </v>
      </c>
      <c r="AZ322" s="107">
        <f t="shared" ca="1" si="176"/>
        <v>0</v>
      </c>
      <c r="BA322" s="107">
        <f ca="1">IF(AZ322=1,(SUM($AW$6:AW322,$AX$6:AX322)-SUM($BA$6:BA321)),0)</f>
        <v>0</v>
      </c>
      <c r="BB322" s="107"/>
      <c r="BC322" s="107">
        <f ca="1">AV322+SUM($AW$6:AW322)+SUM($AX$6:AX322)-SUM($BA$6:BA322)</f>
        <v>0</v>
      </c>
      <c r="BD322" s="107">
        <f t="shared" ca="1" si="177"/>
        <v>0</v>
      </c>
      <c r="BE322" s="51">
        <f ca="1">'PiT PD Structure'!J362</f>
        <v>1.5307975831657661E-4</v>
      </c>
      <c r="BF322" s="139">
        <f t="shared" ca="1" si="150"/>
        <v>0.45</v>
      </c>
      <c r="BG322" s="51">
        <f t="shared" ca="1" si="178"/>
        <v>1</v>
      </c>
      <c r="BH322" s="50">
        <f t="shared" ca="1" si="179"/>
        <v>0</v>
      </c>
      <c r="BI322" s="50">
        <f t="shared" ca="1" si="180"/>
        <v>3.4816594052244909E-13</v>
      </c>
      <c r="BJ322" s="140">
        <v>0</v>
      </c>
      <c r="BK322" s="140">
        <v>0</v>
      </c>
      <c r="BR322" s="75">
        <f t="shared" ca="1" si="151"/>
        <v>53082</v>
      </c>
      <c r="BS322" s="74">
        <f t="shared" ca="1" si="181"/>
        <v>4</v>
      </c>
      <c r="BT322" s="74">
        <f t="shared" ca="1" si="145"/>
        <v>0</v>
      </c>
      <c r="BU322" s="73" t="str">
        <f t="shared" ca="1" si="182"/>
        <v xml:space="preserve"> </v>
      </c>
      <c r="BW322" s="75">
        <f t="shared" ca="1" si="183"/>
        <v>53082</v>
      </c>
      <c r="BX322" s="74">
        <f t="shared" ca="1" si="184"/>
        <v>4</v>
      </c>
      <c r="BY322" s="74">
        <f t="shared" ca="1" si="146"/>
        <v>0</v>
      </c>
      <c r="BZ322" s="73" t="str">
        <f t="shared" ca="1" si="185"/>
        <v xml:space="preserve"> </v>
      </c>
      <c r="CB322" s="75">
        <f t="shared" ca="1" si="157"/>
        <v>53082</v>
      </c>
      <c r="CC322" s="74">
        <f t="shared" ca="1" si="186"/>
        <v>4</v>
      </c>
      <c r="CD322" s="74">
        <f t="shared" ca="1" si="147"/>
        <v>0</v>
      </c>
      <c r="CE322" s="73" t="str">
        <f t="shared" ca="1" si="187"/>
        <v xml:space="preserve"> </v>
      </c>
    </row>
    <row r="323" spans="1:83" x14ac:dyDescent="0.2">
      <c r="A323" s="38" t="str">
        <f t="shared" si="158"/>
        <v xml:space="preserve"> </v>
      </c>
      <c r="B323" s="108"/>
      <c r="C323" s="38"/>
      <c r="D323" s="137"/>
      <c r="E323" s="137"/>
      <c r="F323" s="137"/>
      <c r="G323" s="122"/>
      <c r="H323" s="137"/>
      <c r="I323" s="50"/>
      <c r="J323" s="50"/>
      <c r="K323" s="50"/>
      <c r="L323" s="38"/>
      <c r="M323" s="38"/>
      <c r="N323" s="38"/>
      <c r="O323" s="50"/>
      <c r="P323" s="218"/>
      <c r="Q323" s="50"/>
      <c r="R323" s="50"/>
      <c r="S323" s="38"/>
      <c r="T323" s="51"/>
      <c r="U323" s="65"/>
      <c r="V323" s="105"/>
      <c r="W323" s="66"/>
      <c r="X323" s="66"/>
      <c r="Y323" s="38"/>
      <c r="Z323" s="66">
        <f t="shared" si="141"/>
        <v>0</v>
      </c>
      <c r="AA323" s="67"/>
      <c r="AC323" s="41" t="e">
        <f>VLOOKUP(A323,'Input Sheet'!$A$2:$B$232,2,0)</f>
        <v>#N/A</v>
      </c>
      <c r="AD323" s="70"/>
      <c r="AI323" s="68"/>
      <c r="AL323" s="107">
        <f t="shared" ca="1" si="170"/>
        <v>0</v>
      </c>
      <c r="AM323" s="49">
        <f t="shared" ca="1" si="148"/>
        <v>53113</v>
      </c>
      <c r="AN323" s="137" t="str">
        <f t="shared" ca="1" si="171"/>
        <v xml:space="preserve"> </v>
      </c>
      <c r="AO323" s="107">
        <f t="shared" ca="1" si="144"/>
        <v>0</v>
      </c>
      <c r="AP323" s="143">
        <f t="shared" ca="1" si="142"/>
        <v>0</v>
      </c>
      <c r="AQ323" s="143">
        <f t="shared" ca="1" si="172"/>
        <v>0</v>
      </c>
      <c r="AR323" s="49" t="str">
        <f t="shared" ca="1" si="173"/>
        <v xml:space="preserve"> </v>
      </c>
      <c r="AS323" s="107">
        <f t="shared" ca="1" si="174"/>
        <v>0</v>
      </c>
      <c r="AT323" s="107">
        <f t="shared" ca="1" si="143"/>
        <v>0</v>
      </c>
      <c r="AU323" s="107"/>
      <c r="AV323" s="107">
        <f ca="1">MAX(SUM($AQ$6:AQ323)-SUM($AT$6:AT323),0)</f>
        <v>0</v>
      </c>
      <c r="AW323" s="107">
        <f t="shared" ca="1" si="149"/>
        <v>0</v>
      </c>
      <c r="AX323" s="107">
        <v>0</v>
      </c>
      <c r="AY323" s="138" t="str">
        <f t="shared" ca="1" si="175"/>
        <v xml:space="preserve"> </v>
      </c>
      <c r="AZ323" s="107">
        <f t="shared" ca="1" si="176"/>
        <v>0</v>
      </c>
      <c r="BA323" s="107">
        <f ca="1">IF(AZ323=1,(SUM($AW$6:AW323,$AX$6:AX323)-SUM($BA$6:BA322)),0)</f>
        <v>0</v>
      </c>
      <c r="BB323" s="107"/>
      <c r="BC323" s="107">
        <f ca="1">AV323+SUM($AW$6:AW323)+SUM($AX$6:AX323)-SUM($BA$6:BA323)</f>
        <v>0</v>
      </c>
      <c r="BD323" s="107">
        <f t="shared" ca="1" si="177"/>
        <v>0</v>
      </c>
      <c r="BE323" s="51">
        <f ca="1">'PiT PD Structure'!J363</f>
        <v>1.5305446102775733E-4</v>
      </c>
      <c r="BF323" s="139">
        <f t="shared" ca="1" si="150"/>
        <v>0.45</v>
      </c>
      <c r="BG323" s="51">
        <f t="shared" ca="1" si="178"/>
        <v>1</v>
      </c>
      <c r="BH323" s="50">
        <f t="shared" ca="1" si="179"/>
        <v>0</v>
      </c>
      <c r="BI323" s="50">
        <f t="shared" ca="1" si="180"/>
        <v>3.4816594052244909E-13</v>
      </c>
      <c r="BJ323" s="140">
        <v>0</v>
      </c>
      <c r="BK323" s="140">
        <v>0</v>
      </c>
      <c r="BR323" s="75">
        <f t="shared" ca="1" si="151"/>
        <v>53113</v>
      </c>
      <c r="BS323" s="74">
        <f t="shared" ca="1" si="181"/>
        <v>5</v>
      </c>
      <c r="BT323" s="74">
        <f t="shared" ca="1" si="145"/>
        <v>0</v>
      </c>
      <c r="BU323" s="73" t="str">
        <f t="shared" ca="1" si="182"/>
        <v xml:space="preserve"> </v>
      </c>
      <c r="BW323" s="75">
        <f t="shared" ca="1" si="183"/>
        <v>53113</v>
      </c>
      <c r="BX323" s="74">
        <f t="shared" ca="1" si="184"/>
        <v>5</v>
      </c>
      <c r="BY323" s="74">
        <f t="shared" ca="1" si="146"/>
        <v>0</v>
      </c>
      <c r="BZ323" s="73" t="str">
        <f t="shared" ca="1" si="185"/>
        <v xml:space="preserve"> </v>
      </c>
      <c r="CB323" s="75">
        <f t="shared" ca="1" si="157"/>
        <v>53113</v>
      </c>
      <c r="CC323" s="74">
        <f t="shared" ca="1" si="186"/>
        <v>5</v>
      </c>
      <c r="CD323" s="74">
        <f t="shared" ca="1" si="147"/>
        <v>0</v>
      </c>
      <c r="CE323" s="73" t="str">
        <f t="shared" ca="1" si="187"/>
        <v xml:space="preserve"> </v>
      </c>
    </row>
    <row r="324" spans="1:83" x14ac:dyDescent="0.2">
      <c r="A324" s="38" t="str">
        <f t="shared" si="158"/>
        <v xml:space="preserve"> </v>
      </c>
      <c r="B324" s="108"/>
      <c r="C324" s="38"/>
      <c r="D324" s="137"/>
      <c r="E324" s="137"/>
      <c r="F324" s="137"/>
      <c r="G324" s="122"/>
      <c r="H324" s="137"/>
      <c r="I324" s="50"/>
      <c r="J324" s="50"/>
      <c r="K324" s="50"/>
      <c r="L324" s="38"/>
      <c r="M324" s="38"/>
      <c r="N324" s="38"/>
      <c r="O324" s="50"/>
      <c r="P324" s="218"/>
      <c r="Q324" s="50"/>
      <c r="R324" s="50"/>
      <c r="S324" s="38"/>
      <c r="T324" s="51"/>
      <c r="U324" s="65"/>
      <c r="V324" s="105"/>
      <c r="W324" s="66"/>
      <c r="X324" s="66"/>
      <c r="Y324" s="38"/>
      <c r="Z324" s="66">
        <f t="shared" si="141"/>
        <v>0</v>
      </c>
      <c r="AA324" s="67"/>
      <c r="AC324" s="41" t="e">
        <f>VLOOKUP(A324,'Input Sheet'!$A$2:$B$232,2,0)</f>
        <v>#N/A</v>
      </c>
      <c r="AD324" s="70"/>
      <c r="AI324" s="68"/>
      <c r="AL324" s="107">
        <f t="shared" ca="1" si="170"/>
        <v>0</v>
      </c>
      <c r="AM324" s="49">
        <f t="shared" ca="1" si="148"/>
        <v>53143</v>
      </c>
      <c r="AN324" s="137" t="str">
        <f t="shared" ca="1" si="171"/>
        <v xml:space="preserve"> </v>
      </c>
      <c r="AO324" s="107">
        <f t="shared" ca="1" si="144"/>
        <v>0</v>
      </c>
      <c r="AP324" s="143">
        <f t="shared" ca="1" si="142"/>
        <v>0</v>
      </c>
      <c r="AQ324" s="143">
        <f t="shared" ca="1" si="172"/>
        <v>0</v>
      </c>
      <c r="AR324" s="49" t="str">
        <f t="shared" ca="1" si="173"/>
        <v xml:space="preserve"> </v>
      </c>
      <c r="AS324" s="107">
        <f t="shared" ca="1" si="174"/>
        <v>0</v>
      </c>
      <c r="AT324" s="107">
        <f t="shared" ca="1" si="143"/>
        <v>0</v>
      </c>
      <c r="AU324" s="107"/>
      <c r="AV324" s="107">
        <f ca="1">MAX(SUM($AQ$6:AQ324)-SUM($AT$6:AT324),0)</f>
        <v>0</v>
      </c>
      <c r="AW324" s="107">
        <f t="shared" ca="1" si="149"/>
        <v>0</v>
      </c>
      <c r="AX324" s="107">
        <v>0</v>
      </c>
      <c r="AY324" s="138" t="str">
        <f t="shared" ca="1" si="175"/>
        <v xml:space="preserve"> </v>
      </c>
      <c r="AZ324" s="107">
        <f t="shared" ca="1" si="176"/>
        <v>0</v>
      </c>
      <c r="BA324" s="107">
        <f ca="1">IF(AZ324=1,(SUM($AW$6:AW324,$AX$6:AX324)-SUM($BA$6:BA323)),0)</f>
        <v>0</v>
      </c>
      <c r="BB324" s="107"/>
      <c r="BC324" s="107">
        <f ca="1">AV324+SUM($AW$6:AW324)+SUM($AX$6:AX324)-SUM($BA$6:BA324)</f>
        <v>0</v>
      </c>
      <c r="BD324" s="107">
        <f t="shared" ca="1" si="177"/>
        <v>0</v>
      </c>
      <c r="BE324" s="51">
        <f ca="1">'PiT PD Structure'!J364</f>
        <v>1.530291679192608E-4</v>
      </c>
      <c r="BF324" s="139">
        <f t="shared" ca="1" si="150"/>
        <v>0.45</v>
      </c>
      <c r="BG324" s="51">
        <f t="shared" ca="1" si="178"/>
        <v>1</v>
      </c>
      <c r="BH324" s="50">
        <f t="shared" ca="1" si="179"/>
        <v>0</v>
      </c>
      <c r="BI324" s="50">
        <f t="shared" ca="1" si="180"/>
        <v>3.4816594052244909E-13</v>
      </c>
      <c r="BJ324" s="140">
        <v>0</v>
      </c>
      <c r="BK324" s="140">
        <v>0</v>
      </c>
      <c r="BR324" s="75">
        <f t="shared" ca="1" si="151"/>
        <v>53143</v>
      </c>
      <c r="BS324" s="74">
        <f t="shared" ca="1" si="181"/>
        <v>6</v>
      </c>
      <c r="BT324" s="74">
        <f t="shared" ca="1" si="145"/>
        <v>0</v>
      </c>
      <c r="BU324" s="73" t="str">
        <f t="shared" ca="1" si="182"/>
        <v xml:space="preserve"> </v>
      </c>
      <c r="BW324" s="75">
        <f t="shared" ca="1" si="183"/>
        <v>53143</v>
      </c>
      <c r="BX324" s="74">
        <f t="shared" ca="1" si="184"/>
        <v>6</v>
      </c>
      <c r="BY324" s="74">
        <f t="shared" ca="1" si="146"/>
        <v>0</v>
      </c>
      <c r="BZ324" s="73" t="str">
        <f t="shared" ca="1" si="185"/>
        <v xml:space="preserve"> </v>
      </c>
      <c r="CB324" s="75">
        <f t="shared" ca="1" si="157"/>
        <v>53143</v>
      </c>
      <c r="CC324" s="74">
        <f t="shared" ca="1" si="186"/>
        <v>6</v>
      </c>
      <c r="CD324" s="74">
        <f t="shared" ca="1" si="147"/>
        <v>0</v>
      </c>
      <c r="CE324" s="73" t="str">
        <f t="shared" ca="1" si="187"/>
        <v xml:space="preserve"> </v>
      </c>
    </row>
    <row r="325" spans="1:83" x14ac:dyDescent="0.2">
      <c r="A325" s="38" t="str">
        <f t="shared" si="158"/>
        <v xml:space="preserve"> </v>
      </c>
      <c r="B325" s="108"/>
      <c r="C325" s="38"/>
      <c r="D325" s="137"/>
      <c r="E325" s="137"/>
      <c r="F325" s="137"/>
      <c r="G325" s="122"/>
      <c r="H325" s="137"/>
      <c r="I325" s="50"/>
      <c r="J325" s="50"/>
      <c r="K325" s="50"/>
      <c r="L325" s="38"/>
      <c r="M325" s="38"/>
      <c r="N325" s="38"/>
      <c r="O325" s="50"/>
      <c r="P325" s="218"/>
      <c r="Q325" s="50"/>
      <c r="R325" s="50"/>
      <c r="S325" s="38"/>
      <c r="T325" s="51"/>
      <c r="U325" s="65"/>
      <c r="V325" s="105"/>
      <c r="W325" s="66"/>
      <c r="X325" s="66"/>
      <c r="Y325" s="38"/>
      <c r="Z325" s="66">
        <f t="shared" ref="Z325:Z388" si="188">IF(Y325="Stage 1",X325,IF(Y325="Stage 2",W325,O325))</f>
        <v>0</v>
      </c>
      <c r="AA325" s="67"/>
      <c r="AC325" s="41" t="e">
        <f>VLOOKUP(A325,'Input Sheet'!$A$2:$B$232,2,0)</f>
        <v>#N/A</v>
      </c>
      <c r="AD325" s="70"/>
      <c r="AI325" s="68"/>
      <c r="AL325" s="107">
        <f t="shared" ca="1" si="170"/>
        <v>0</v>
      </c>
      <c r="AM325" s="49">
        <f t="shared" ca="1" si="148"/>
        <v>53174</v>
      </c>
      <c r="AN325" s="137" t="str">
        <f t="shared" ca="1" si="171"/>
        <v xml:space="preserve"> </v>
      </c>
      <c r="AO325" s="107">
        <f t="shared" ca="1" si="144"/>
        <v>0</v>
      </c>
      <c r="AP325" s="143">
        <f t="shared" ca="1" si="142"/>
        <v>0</v>
      </c>
      <c r="AQ325" s="143">
        <f t="shared" ca="1" si="172"/>
        <v>0</v>
      </c>
      <c r="AR325" s="49" t="str">
        <f t="shared" ca="1" si="173"/>
        <v xml:space="preserve"> </v>
      </c>
      <c r="AS325" s="107">
        <f t="shared" ca="1" si="174"/>
        <v>0</v>
      </c>
      <c r="AT325" s="107">
        <f t="shared" ca="1" si="143"/>
        <v>0</v>
      </c>
      <c r="AU325" s="107"/>
      <c r="AV325" s="107">
        <f ca="1">MAX(SUM($AQ$6:AQ325)-SUM($AT$6:AT325),0)</f>
        <v>0</v>
      </c>
      <c r="AW325" s="107">
        <f t="shared" ca="1" si="149"/>
        <v>0</v>
      </c>
      <c r="AX325" s="107">
        <v>0</v>
      </c>
      <c r="AY325" s="138" t="str">
        <f t="shared" ca="1" si="175"/>
        <v xml:space="preserve"> </v>
      </c>
      <c r="AZ325" s="107">
        <f t="shared" ca="1" si="176"/>
        <v>0</v>
      </c>
      <c r="BA325" s="107">
        <f ca="1">IF(AZ325=1,(SUM($AW$6:AW325,$AX$6:AX325)-SUM($BA$6:BA324)),0)</f>
        <v>0</v>
      </c>
      <c r="BB325" s="107"/>
      <c r="BC325" s="107">
        <f ca="1">AV325+SUM($AW$6:AW325)+SUM($AX$6:AX325)-SUM($BA$6:BA325)</f>
        <v>0</v>
      </c>
      <c r="BD325" s="107">
        <f t="shared" ca="1" si="177"/>
        <v>0</v>
      </c>
      <c r="BE325" s="51">
        <f ca="1">'PiT PD Structure'!J365</f>
        <v>1.5300387899097601E-4</v>
      </c>
      <c r="BF325" s="139">
        <f t="shared" ca="1" si="150"/>
        <v>0.45</v>
      </c>
      <c r="BG325" s="51">
        <f t="shared" ca="1" si="178"/>
        <v>1</v>
      </c>
      <c r="BH325" s="50">
        <f t="shared" ca="1" si="179"/>
        <v>0</v>
      </c>
      <c r="BI325" s="50">
        <f t="shared" ca="1" si="180"/>
        <v>3.4816594052244909E-13</v>
      </c>
      <c r="BJ325" s="140">
        <v>0</v>
      </c>
      <c r="BK325" s="140">
        <v>0</v>
      </c>
      <c r="BR325" s="75">
        <f t="shared" ca="1" si="151"/>
        <v>53174</v>
      </c>
      <c r="BS325" s="74">
        <f t="shared" ca="1" si="181"/>
        <v>7</v>
      </c>
      <c r="BT325" s="74">
        <f t="shared" ca="1" si="145"/>
        <v>0</v>
      </c>
      <c r="BU325" s="73" t="str">
        <f t="shared" ca="1" si="182"/>
        <v xml:space="preserve"> </v>
      </c>
      <c r="BW325" s="75">
        <f t="shared" ca="1" si="183"/>
        <v>53174</v>
      </c>
      <c r="BX325" s="74">
        <f t="shared" ca="1" si="184"/>
        <v>7</v>
      </c>
      <c r="BY325" s="74">
        <f t="shared" ca="1" si="146"/>
        <v>0</v>
      </c>
      <c r="BZ325" s="73" t="str">
        <f t="shared" ca="1" si="185"/>
        <v xml:space="preserve"> </v>
      </c>
      <c r="CB325" s="75">
        <f t="shared" ca="1" si="157"/>
        <v>53174</v>
      </c>
      <c r="CC325" s="74">
        <f t="shared" ca="1" si="186"/>
        <v>7</v>
      </c>
      <c r="CD325" s="74">
        <f t="shared" ca="1" si="147"/>
        <v>0</v>
      </c>
      <c r="CE325" s="73" t="str">
        <f t="shared" ca="1" si="187"/>
        <v xml:space="preserve"> </v>
      </c>
    </row>
    <row r="326" spans="1:83" x14ac:dyDescent="0.2">
      <c r="A326" s="38" t="str">
        <f t="shared" si="158"/>
        <v xml:space="preserve"> </v>
      </c>
      <c r="B326" s="108"/>
      <c r="C326" s="38"/>
      <c r="D326" s="137"/>
      <c r="E326" s="137"/>
      <c r="F326" s="137"/>
      <c r="G326" s="122"/>
      <c r="H326" s="137"/>
      <c r="I326" s="50"/>
      <c r="J326" s="50"/>
      <c r="K326" s="50"/>
      <c r="L326" s="38"/>
      <c r="M326" s="38"/>
      <c r="N326" s="38"/>
      <c r="O326" s="50"/>
      <c r="P326" s="218"/>
      <c r="Q326" s="50"/>
      <c r="R326" s="50"/>
      <c r="S326" s="38"/>
      <c r="T326" s="51"/>
      <c r="U326" s="65"/>
      <c r="V326" s="105"/>
      <c r="W326" s="66"/>
      <c r="X326" s="66"/>
      <c r="Y326" s="38"/>
      <c r="Z326" s="66">
        <f t="shared" si="188"/>
        <v>0</v>
      </c>
      <c r="AA326" s="67"/>
      <c r="AC326" s="41" t="e">
        <f>VLOOKUP(A326,'Input Sheet'!$A$2:$B$232,2,0)</f>
        <v>#N/A</v>
      </c>
      <c r="AD326" s="70"/>
      <c r="AI326" s="68"/>
      <c r="AL326" s="107">
        <f t="shared" ca="1" si="170"/>
        <v>0</v>
      </c>
      <c r="AM326" s="49">
        <f t="shared" ca="1" si="148"/>
        <v>53205</v>
      </c>
      <c r="AN326" s="137" t="str">
        <f t="shared" ca="1" si="171"/>
        <v xml:space="preserve"> </v>
      </c>
      <c r="AO326" s="107">
        <f t="shared" ca="1" si="144"/>
        <v>0</v>
      </c>
      <c r="AP326" s="143">
        <f t="shared" ref="AP326:AP389" ca="1" si="189">AO326*$AV$2</f>
        <v>0</v>
      </c>
      <c r="AQ326" s="143">
        <f t="shared" ca="1" si="172"/>
        <v>0</v>
      </c>
      <c r="AR326" s="49" t="str">
        <f t="shared" ca="1" si="173"/>
        <v xml:space="preserve"> </v>
      </c>
      <c r="AS326" s="107">
        <f t="shared" ca="1" si="174"/>
        <v>0</v>
      </c>
      <c r="AT326" s="107">
        <f t="shared" ref="AT326:AT389" ca="1" si="190">AS326*$BI$2</f>
        <v>0</v>
      </c>
      <c r="AU326" s="107"/>
      <c r="AV326" s="107">
        <f ca="1">MAX(SUM($AQ$6:AQ326)-SUM($AT$6:AT326),0)</f>
        <v>0</v>
      </c>
      <c r="AW326" s="107">
        <f t="shared" ca="1" si="149"/>
        <v>0</v>
      </c>
      <c r="AX326" s="107">
        <v>0</v>
      </c>
      <c r="AY326" s="138" t="str">
        <f t="shared" ca="1" si="175"/>
        <v xml:space="preserve"> </v>
      </c>
      <c r="AZ326" s="107">
        <f t="shared" ca="1" si="176"/>
        <v>0</v>
      </c>
      <c r="BA326" s="107">
        <f ca="1">IF(AZ326=1,(SUM($AW$6:AW326,$AX$6:AX326)-SUM($BA$6:BA325)),0)</f>
        <v>0</v>
      </c>
      <c r="BB326" s="107"/>
      <c r="BC326" s="107">
        <f ca="1">AV326+SUM($AW$6:AW326)+SUM($AX$6:AX326)-SUM($BA$6:BA326)</f>
        <v>0</v>
      </c>
      <c r="BD326" s="107">
        <f t="shared" ca="1" si="177"/>
        <v>0</v>
      </c>
      <c r="BE326" s="51">
        <f ca="1">'PiT PD Structure'!J366</f>
        <v>1.5297859424157068E-4</v>
      </c>
      <c r="BF326" s="139">
        <f t="shared" ca="1" si="150"/>
        <v>0.45</v>
      </c>
      <c r="BG326" s="51">
        <f t="shared" ca="1" si="178"/>
        <v>1</v>
      </c>
      <c r="BH326" s="50">
        <f t="shared" ca="1" si="179"/>
        <v>0</v>
      </c>
      <c r="BI326" s="50">
        <f t="shared" ca="1" si="180"/>
        <v>3.4816594052244909E-13</v>
      </c>
      <c r="BJ326" s="140">
        <v>0</v>
      </c>
      <c r="BK326" s="140">
        <v>0</v>
      </c>
      <c r="BR326" s="75">
        <f t="shared" ca="1" si="151"/>
        <v>53205</v>
      </c>
      <c r="BS326" s="74">
        <f t="shared" ca="1" si="181"/>
        <v>8</v>
      </c>
      <c r="BT326" s="74">
        <f t="shared" ca="1" si="145"/>
        <v>0</v>
      </c>
      <c r="BU326" s="73" t="str">
        <f t="shared" ca="1" si="182"/>
        <v xml:space="preserve"> </v>
      </c>
      <c r="BW326" s="75">
        <f t="shared" ca="1" si="183"/>
        <v>53205</v>
      </c>
      <c r="BX326" s="74">
        <f t="shared" ca="1" si="184"/>
        <v>8</v>
      </c>
      <c r="BY326" s="74">
        <f t="shared" ca="1" si="146"/>
        <v>0</v>
      </c>
      <c r="BZ326" s="73" t="str">
        <f t="shared" ca="1" si="185"/>
        <v xml:space="preserve"> </v>
      </c>
      <c r="CB326" s="75">
        <f t="shared" ca="1" si="157"/>
        <v>53205</v>
      </c>
      <c r="CC326" s="74">
        <f t="shared" ca="1" si="186"/>
        <v>8</v>
      </c>
      <c r="CD326" s="74">
        <f t="shared" ca="1" si="147"/>
        <v>0</v>
      </c>
      <c r="CE326" s="73" t="str">
        <f t="shared" ca="1" si="187"/>
        <v xml:space="preserve"> </v>
      </c>
    </row>
    <row r="327" spans="1:83" x14ac:dyDescent="0.2">
      <c r="A327" s="38" t="str">
        <f t="shared" si="158"/>
        <v xml:space="preserve"> </v>
      </c>
      <c r="B327" s="108"/>
      <c r="C327" s="38"/>
      <c r="D327" s="137"/>
      <c r="E327" s="137"/>
      <c r="F327" s="137"/>
      <c r="G327" s="122"/>
      <c r="H327" s="137"/>
      <c r="I327" s="50"/>
      <c r="J327" s="50"/>
      <c r="K327" s="50"/>
      <c r="L327" s="38"/>
      <c r="M327" s="38"/>
      <c r="N327" s="38"/>
      <c r="O327" s="50"/>
      <c r="P327" s="218"/>
      <c r="Q327" s="50"/>
      <c r="R327" s="50"/>
      <c r="S327" s="38"/>
      <c r="T327" s="51"/>
      <c r="U327" s="65"/>
      <c r="V327" s="105"/>
      <c r="W327" s="66"/>
      <c r="X327" s="66"/>
      <c r="Y327" s="38"/>
      <c r="Z327" s="66">
        <f t="shared" si="188"/>
        <v>0</v>
      </c>
      <c r="AA327" s="67"/>
      <c r="AC327" s="41" t="e">
        <f>VLOOKUP(A327,'Input Sheet'!$A$2:$B$232,2,0)</f>
        <v>#N/A</v>
      </c>
      <c r="AD327" s="70"/>
      <c r="AI327" s="68"/>
      <c r="AL327" s="107">
        <f t="shared" ca="1" si="170"/>
        <v>0</v>
      </c>
      <c r="AM327" s="49">
        <f t="shared" ca="1" si="148"/>
        <v>53235</v>
      </c>
      <c r="AN327" s="137" t="str">
        <f t="shared" ca="1" si="171"/>
        <v xml:space="preserve"> </v>
      </c>
      <c r="AO327" s="107">
        <f t="shared" ref="AO327:AO390" ca="1" si="191">IF(EOMONTH(AM327,0)=EOMONTH($AN$2,12),1,0)</f>
        <v>0</v>
      </c>
      <c r="AP327" s="143">
        <f t="shared" ca="1" si="189"/>
        <v>0</v>
      </c>
      <c r="AQ327" s="143">
        <f t="shared" ca="1" si="172"/>
        <v>0</v>
      </c>
      <c r="AR327" s="49" t="str">
        <f t="shared" ca="1" si="173"/>
        <v xml:space="preserve"> </v>
      </c>
      <c r="AS327" s="107">
        <f t="shared" ca="1" si="174"/>
        <v>0</v>
      </c>
      <c r="AT327" s="107">
        <f t="shared" ca="1" si="190"/>
        <v>0</v>
      </c>
      <c r="AU327" s="107"/>
      <c r="AV327" s="107">
        <f ca="1">MAX(SUM($AQ$6:AQ327)-SUM($AT$6:AT327),0)</f>
        <v>0</v>
      </c>
      <c r="AW327" s="107">
        <f t="shared" ca="1" si="149"/>
        <v>0</v>
      </c>
      <c r="AX327" s="107">
        <v>0</v>
      </c>
      <c r="AY327" s="138" t="str">
        <f t="shared" ca="1" si="175"/>
        <v xml:space="preserve"> </v>
      </c>
      <c r="AZ327" s="107">
        <f t="shared" ca="1" si="176"/>
        <v>0</v>
      </c>
      <c r="BA327" s="107">
        <f ca="1">IF(AZ327=1,(SUM($AW$6:AW327,$AX$6:AX327)-SUM($BA$6:BA326)),0)</f>
        <v>0</v>
      </c>
      <c r="BB327" s="107"/>
      <c r="BC327" s="107">
        <f ca="1">AV327+SUM($AW$6:AW327)+SUM($AX$6:AX327)-SUM($BA$6:BA327)</f>
        <v>0</v>
      </c>
      <c r="BD327" s="107">
        <f t="shared" ca="1" si="177"/>
        <v>0</v>
      </c>
      <c r="BE327" s="51">
        <f ca="1">'PiT PD Structure'!J367</f>
        <v>1.5295331367060072E-4</v>
      </c>
      <c r="BF327" s="139">
        <f t="shared" ca="1" si="150"/>
        <v>0.45</v>
      </c>
      <c r="BG327" s="51">
        <f t="shared" ca="1" si="178"/>
        <v>1</v>
      </c>
      <c r="BH327" s="50">
        <f t="shared" ca="1" si="179"/>
        <v>0</v>
      </c>
      <c r="BI327" s="50">
        <f t="shared" ca="1" si="180"/>
        <v>3.4816594052244909E-13</v>
      </c>
      <c r="BJ327" s="140">
        <v>0</v>
      </c>
      <c r="BK327" s="140">
        <v>0</v>
      </c>
      <c r="BR327" s="75">
        <f t="shared" ca="1" si="151"/>
        <v>53235</v>
      </c>
      <c r="BS327" s="74">
        <f t="shared" ca="1" si="181"/>
        <v>9</v>
      </c>
      <c r="BT327" s="74">
        <f t="shared" ref="BT327:BT390" ca="1" si="192">IF(EOMONTH(BR327,0)&gt;EOMONTH($AR$2,0),0,IF(EOMONTH(BR327,0)&gt;=EOMONTH($AO$2,0),(IF($BS$3=1,IF(MONTH($AO$2)=BS327,1,0),IF($BS$3=2,IF(OR(MONTH($AO$2)=BS327,MONTH($AO$2)+6=BS327,MONTH($AO$2)-6=BS327),1,0),IF($BS$3=4,IF(OR(MONTH($AO$2)=BS327,MONTH($AO$2)+3=BS327,MONTH($AO$2)+6=BS327,MONTH($AO$2)+9=BS327,MONTH($AO$2)-9=BS327,MONTH($AO$2)-3=BS327,MONTH($AO$2)-6=BS327),1,0),IF($BS$3=6,IF(OR(MONTH($AO$2)=BS327,MONTH($AO$2)+2=BS327,MONTH($AO$2)+4=BS327,MONTH($AO$2)+6=BS327,MONTH($AO$2)+8=BS327,MONTH($AO$2)+10=BS327,MONTH($AO$2)-2=BS327,MONTH($AO$2)-4=BS327,MONTH($AO$2)-6=BS327,MONTH($AO$2)-8=BS327,MONTH($AO$2)-10=BS327),1,0),IF($BS$3=12,1,IF(AND($BS$3=0,EOMONTH(BR327,0)=EOMONTH($AR$2,0)),1,0))))))),0))</f>
        <v>0</v>
      </c>
      <c r="BU327" s="73" t="str">
        <f t="shared" ca="1" si="182"/>
        <v xml:space="preserve"> </v>
      </c>
      <c r="BW327" s="75">
        <f t="shared" ca="1" si="183"/>
        <v>53235</v>
      </c>
      <c r="BX327" s="74">
        <f t="shared" ca="1" si="184"/>
        <v>9</v>
      </c>
      <c r="BY327" s="74">
        <f t="shared" ref="BY327:BY390" ca="1" si="193">IF(EOMONTH(BW327,0)&gt;EOMONTH($AR$2,0),0,IF(EOMONTH(BW327,0)&gt;=EOMONTH($AP$2,0),(IF($BX$3=1,IF(MONTH($AP$2)=BX327,1,0),IF($BX$3=2,IF(OR(MONTH($AP$2)=BX327,MONTH($AP$2)+6=BX327,MONTH($AP$2)-6=BX327),1,0),IF($BX$3=4,IF(OR(MONTH($AP$2)=BX327,MONTH($AP$2)+3=BX327,MONTH($AP$2)+6=BX327,MONTH($AP$2)+9=BX327,MONTH($AP$2)-9=BX327,MONTH($AP$2)-3=BX327,MONTH($AP$2)-6=BX327),1,0),IF($BX$3=6,IF(OR(MONTH($AP$2)=BX327,MONTH($AP$2)+2=BX327,MONTH($AP$2)+4=BX327,MONTH($AP$2)+6=BX327,MONTH($AP$2)+8=BX327,MONTH($AP$2)+10=BX327,MONTH($AP$2)-2=BX327,MONTH($AP$2)-4=BX327,MONTH($AP$2)-6=BX327,MONTH($AP$2)-8=BX327,MONTH($AP$2)-10=BX327),1,0),IF($BX$3=12,1,IF(AND($BX$3=0,EOMONTH(BW327,0)=EOMONTH($AR$2,0)),1,0))))))),0))</f>
        <v>0</v>
      </c>
      <c r="BZ327" s="73" t="str">
        <f t="shared" ca="1" si="185"/>
        <v xml:space="preserve"> </v>
      </c>
      <c r="CB327" s="75">
        <f t="shared" ca="1" si="157"/>
        <v>53235</v>
      </c>
      <c r="CC327" s="74">
        <f t="shared" ca="1" si="186"/>
        <v>9</v>
      </c>
      <c r="CD327" s="74">
        <f t="shared" ref="CD327:CD390" ca="1" si="194">IF(EOMONTH(CB327,0)&gt;EOMONTH($AR$2,0),0,IF(EOMONTH(BR327,0)&gt;=EOMONTH($AO$2,0),IF($CC$3=1,IF(MONTH($AO$2)=CC327,1,0),IF($CC$3=2,IF(OR(MONTH($AO$2)=CC327,MONTH($AO$2)+6=CC327),1,0),IF($CC$3=4,IF(OR(MONTH($AO$2)=CC327,MONTH($AO$2)+3=CC327,MONTH($AO$2)+6=CC327,MONTH($AO$2)+9=CC327,MONTH($AO$2)-9=CC327,MONTH($AO$2)-3=CC327,MONTH($AO$2)-6=CC327),1,0),IF($CC$3=6,IF(OR(MONTH($AO$2)=CC327,MONTH($AO$2)+2=CC327,MONTH($AO$2)+4=CC327,MONTH($AO$2)+6=CC327,MONTH($AO$2)+8=CC327,MONTH($AO$2)+10=CC327,MONTH($AO$2)-2=CC327,MONTH($AO$2)-4=CC327,MONTH($AO$2)-6=CC327,MONTH($AO$2)-8=CC327,MONTH($AO$2)-10=CC327),1,0),IF($CC$3=12,1,IF(AND($CC$3=0,EOMONTH(CB327,0)=EOMONTH($AR$2,0)),1,0)))))),0))</f>
        <v>0</v>
      </c>
      <c r="CE327" s="73" t="str">
        <f t="shared" ca="1" si="187"/>
        <v xml:space="preserve"> </v>
      </c>
    </row>
    <row r="328" spans="1:83" x14ac:dyDescent="0.2">
      <c r="A328" s="38" t="str">
        <f t="shared" si="158"/>
        <v xml:space="preserve"> </v>
      </c>
      <c r="B328" s="108"/>
      <c r="C328" s="38"/>
      <c r="D328" s="137"/>
      <c r="E328" s="137"/>
      <c r="F328" s="137"/>
      <c r="G328" s="122"/>
      <c r="H328" s="137"/>
      <c r="I328" s="50"/>
      <c r="J328" s="50"/>
      <c r="K328" s="50"/>
      <c r="L328" s="38"/>
      <c r="M328" s="38"/>
      <c r="N328" s="38"/>
      <c r="O328" s="50"/>
      <c r="P328" s="218"/>
      <c r="Q328" s="50"/>
      <c r="R328" s="50"/>
      <c r="S328" s="38"/>
      <c r="T328" s="51"/>
      <c r="U328" s="65"/>
      <c r="V328" s="105"/>
      <c r="W328" s="66"/>
      <c r="X328" s="66"/>
      <c r="Y328" s="38"/>
      <c r="Z328" s="66">
        <f t="shared" si="188"/>
        <v>0</v>
      </c>
      <c r="AA328" s="67"/>
      <c r="AC328" s="41" t="e">
        <f>VLOOKUP(A328,'Input Sheet'!$A$2:$B$232,2,0)</f>
        <v>#N/A</v>
      </c>
      <c r="AD328" s="70"/>
      <c r="AI328" s="68"/>
      <c r="AL328" s="107">
        <f t="shared" ca="1" si="170"/>
        <v>0</v>
      </c>
      <c r="AM328" s="49">
        <f t="shared" ref="AM328:AM391" ca="1" si="195">EOMONTH(AM327,1)</f>
        <v>53266</v>
      </c>
      <c r="AN328" s="137" t="str">
        <f t="shared" ca="1" si="171"/>
        <v xml:space="preserve"> </v>
      </c>
      <c r="AO328" s="107">
        <f t="shared" ca="1" si="191"/>
        <v>0</v>
      </c>
      <c r="AP328" s="143">
        <f t="shared" ca="1" si="189"/>
        <v>0</v>
      </c>
      <c r="AQ328" s="143">
        <f t="shared" ca="1" si="172"/>
        <v>0</v>
      </c>
      <c r="AR328" s="49" t="str">
        <f t="shared" ca="1" si="173"/>
        <v xml:space="preserve"> </v>
      </c>
      <c r="AS328" s="107">
        <f t="shared" ca="1" si="174"/>
        <v>0</v>
      </c>
      <c r="AT328" s="107">
        <f t="shared" ca="1" si="190"/>
        <v>0</v>
      </c>
      <c r="AU328" s="107"/>
      <c r="AV328" s="107">
        <f ca="1">MAX(SUM($AQ$6:AQ328)-SUM($AT$6:AT328),0)</f>
        <v>0</v>
      </c>
      <c r="AW328" s="107">
        <f t="shared" ref="AW328:AW391" ca="1" si="196">IFERROR(IF(AND(AV327&gt;0,AM328&lt;=$AR$2),(AV327*($AZ$2*(DATEDIF(AM328,$AR$2,"d")/365)))/(DATEDIF(AM328,$AR$2,"m")),0),0)</f>
        <v>0</v>
      </c>
      <c r="AX328" s="107">
        <v>0</v>
      </c>
      <c r="AY328" s="138" t="str">
        <f t="shared" ca="1" si="175"/>
        <v xml:space="preserve"> </v>
      </c>
      <c r="AZ328" s="107">
        <f t="shared" ca="1" si="176"/>
        <v>0</v>
      </c>
      <c r="BA328" s="107">
        <f ca="1">IF(AZ328=1,(SUM($AW$6:AW328,$AX$6:AX328)-SUM($BA$6:BA327)),0)</f>
        <v>0</v>
      </c>
      <c r="BB328" s="107"/>
      <c r="BC328" s="107">
        <f ca="1">AV328+SUM($AW$6:AW328)+SUM($AX$6:AX328)-SUM($BA$6:BA328)</f>
        <v>0</v>
      </c>
      <c r="BD328" s="107">
        <f t="shared" ca="1" si="177"/>
        <v>0</v>
      </c>
      <c r="BE328" s="51">
        <f ca="1">'PiT PD Structure'!J368</f>
        <v>1.5292803727751103E-4</v>
      </c>
      <c r="BF328" s="139">
        <f t="shared" ref="BF328:BF391" ca="1" si="197">BF327</f>
        <v>0.45</v>
      </c>
      <c r="BG328" s="51">
        <f t="shared" ca="1" si="178"/>
        <v>1</v>
      </c>
      <c r="BH328" s="50">
        <f t="shared" ca="1" si="179"/>
        <v>0</v>
      </c>
      <c r="BI328" s="50">
        <f t="shared" ca="1" si="180"/>
        <v>3.4816594052244909E-13</v>
      </c>
      <c r="BJ328" s="140">
        <v>0</v>
      </c>
      <c r="BK328" s="140">
        <v>0</v>
      </c>
      <c r="BR328" s="75">
        <f t="shared" ref="BR328:BR391" ca="1" si="198">EOMONTH(BR327,1)</f>
        <v>53266</v>
      </c>
      <c r="BS328" s="74">
        <f t="shared" ca="1" si="181"/>
        <v>10</v>
      </c>
      <c r="BT328" s="74">
        <f t="shared" ca="1" si="192"/>
        <v>0</v>
      </c>
      <c r="BU328" s="73" t="str">
        <f t="shared" ca="1" si="182"/>
        <v xml:space="preserve"> </v>
      </c>
      <c r="BW328" s="75">
        <f t="shared" ca="1" si="183"/>
        <v>53266</v>
      </c>
      <c r="BX328" s="74">
        <f t="shared" ca="1" si="184"/>
        <v>10</v>
      </c>
      <c r="BY328" s="74">
        <f t="shared" ca="1" si="193"/>
        <v>0</v>
      </c>
      <c r="BZ328" s="73" t="str">
        <f t="shared" ca="1" si="185"/>
        <v xml:space="preserve"> </v>
      </c>
      <c r="CB328" s="75">
        <f t="shared" ref="CB328:CB391" ca="1" si="199">EOMONTH(CB327,1)</f>
        <v>53266</v>
      </c>
      <c r="CC328" s="74">
        <f t="shared" ca="1" si="186"/>
        <v>10</v>
      </c>
      <c r="CD328" s="74">
        <f t="shared" ca="1" si="194"/>
        <v>0</v>
      </c>
      <c r="CE328" s="73" t="str">
        <f t="shared" ca="1" si="187"/>
        <v xml:space="preserve"> </v>
      </c>
    </row>
    <row r="329" spans="1:83" x14ac:dyDescent="0.2">
      <c r="A329" s="38" t="str">
        <f t="shared" si="158"/>
        <v xml:space="preserve"> </v>
      </c>
      <c r="B329" s="108"/>
      <c r="C329" s="38"/>
      <c r="D329" s="137"/>
      <c r="E329" s="137"/>
      <c r="F329" s="137"/>
      <c r="G329" s="122"/>
      <c r="H329" s="137"/>
      <c r="I329" s="50"/>
      <c r="J329" s="50"/>
      <c r="K329" s="50"/>
      <c r="L329" s="38"/>
      <c r="M329" s="38"/>
      <c r="N329" s="38"/>
      <c r="O329" s="50"/>
      <c r="P329" s="218"/>
      <c r="Q329" s="50"/>
      <c r="R329" s="50"/>
      <c r="S329" s="38"/>
      <c r="T329" s="51"/>
      <c r="U329" s="65"/>
      <c r="V329" s="105"/>
      <c r="W329" s="66"/>
      <c r="X329" s="66"/>
      <c r="Y329" s="38"/>
      <c r="Z329" s="66">
        <f t="shared" si="188"/>
        <v>0</v>
      </c>
      <c r="AA329" s="67"/>
      <c r="AC329" s="41" t="e">
        <f>VLOOKUP(A329,'Input Sheet'!$A$2:$B$232,2,0)</f>
        <v>#N/A</v>
      </c>
      <c r="AD329" s="70"/>
      <c r="AI329" s="68"/>
      <c r="AL329" s="107">
        <f t="shared" ca="1" si="170"/>
        <v>0</v>
      </c>
      <c r="AM329" s="49">
        <f t="shared" ca="1" si="195"/>
        <v>53296</v>
      </c>
      <c r="AN329" s="137" t="str">
        <f t="shared" ca="1" si="171"/>
        <v xml:space="preserve"> </v>
      </c>
      <c r="AO329" s="107">
        <f t="shared" ca="1" si="191"/>
        <v>0</v>
      </c>
      <c r="AP329" s="143">
        <f t="shared" ca="1" si="189"/>
        <v>0</v>
      </c>
      <c r="AQ329" s="143">
        <f t="shared" ca="1" si="172"/>
        <v>0</v>
      </c>
      <c r="AR329" s="49" t="str">
        <f t="shared" ca="1" si="173"/>
        <v xml:space="preserve"> </v>
      </c>
      <c r="AS329" s="107">
        <f t="shared" ca="1" si="174"/>
        <v>0</v>
      </c>
      <c r="AT329" s="107">
        <f t="shared" ca="1" si="190"/>
        <v>0</v>
      </c>
      <c r="AU329" s="107"/>
      <c r="AV329" s="107">
        <f ca="1">MAX(SUM($AQ$6:AQ329)-SUM($AT$6:AT329),0)</f>
        <v>0</v>
      </c>
      <c r="AW329" s="107">
        <f t="shared" ca="1" si="196"/>
        <v>0</v>
      </c>
      <c r="AX329" s="107">
        <v>0</v>
      </c>
      <c r="AY329" s="138" t="str">
        <f t="shared" ca="1" si="175"/>
        <v xml:space="preserve"> </v>
      </c>
      <c r="AZ329" s="107">
        <f t="shared" ca="1" si="176"/>
        <v>0</v>
      </c>
      <c r="BA329" s="107">
        <f ca="1">IF(AZ329=1,(SUM($AW$6:AW329,$AX$6:AX329)-SUM($BA$6:BA328)),0)</f>
        <v>0</v>
      </c>
      <c r="BB329" s="107"/>
      <c r="BC329" s="107">
        <f ca="1">AV329+SUM($AW$6:AW329)+SUM($AX$6:AX329)-SUM($BA$6:BA329)</f>
        <v>0</v>
      </c>
      <c r="BD329" s="107">
        <f t="shared" ca="1" si="177"/>
        <v>0</v>
      </c>
      <c r="BE329" s="51">
        <f ca="1">'PiT PD Structure'!J369</f>
        <v>1.5290276506185752E-4</v>
      </c>
      <c r="BF329" s="139">
        <f t="shared" ca="1" si="197"/>
        <v>0.45</v>
      </c>
      <c r="BG329" s="51">
        <f t="shared" ca="1" si="178"/>
        <v>1</v>
      </c>
      <c r="BH329" s="50">
        <f t="shared" ca="1" si="179"/>
        <v>0</v>
      </c>
      <c r="BI329" s="50">
        <f t="shared" ca="1" si="180"/>
        <v>3.4816594052244909E-13</v>
      </c>
      <c r="BJ329" s="140">
        <v>0</v>
      </c>
      <c r="BK329" s="140">
        <v>0</v>
      </c>
      <c r="BR329" s="75">
        <f t="shared" ca="1" si="198"/>
        <v>53296</v>
      </c>
      <c r="BS329" s="74">
        <f t="shared" ca="1" si="181"/>
        <v>11</v>
      </c>
      <c r="BT329" s="74">
        <f t="shared" ca="1" si="192"/>
        <v>0</v>
      </c>
      <c r="BU329" s="73" t="str">
        <f t="shared" ca="1" si="182"/>
        <v xml:space="preserve"> </v>
      </c>
      <c r="BW329" s="75">
        <f t="shared" ca="1" si="183"/>
        <v>53296</v>
      </c>
      <c r="BX329" s="74">
        <f t="shared" ca="1" si="184"/>
        <v>11</v>
      </c>
      <c r="BY329" s="74">
        <f t="shared" ca="1" si="193"/>
        <v>0</v>
      </c>
      <c r="BZ329" s="73" t="str">
        <f t="shared" ca="1" si="185"/>
        <v xml:space="preserve"> </v>
      </c>
      <c r="CB329" s="75">
        <f t="shared" ca="1" si="199"/>
        <v>53296</v>
      </c>
      <c r="CC329" s="74">
        <f t="shared" ca="1" si="186"/>
        <v>11</v>
      </c>
      <c r="CD329" s="74">
        <f t="shared" ca="1" si="194"/>
        <v>0</v>
      </c>
      <c r="CE329" s="73" t="str">
        <f t="shared" ca="1" si="187"/>
        <v xml:space="preserve"> </v>
      </c>
    </row>
    <row r="330" spans="1:83" x14ac:dyDescent="0.2">
      <c r="A330" s="38" t="str">
        <f t="shared" ref="A330:A393" si="200">IF(B330=0," ",A329+1)</f>
        <v xml:space="preserve"> </v>
      </c>
      <c r="B330" s="108"/>
      <c r="C330" s="38"/>
      <c r="D330" s="137"/>
      <c r="E330" s="137"/>
      <c r="F330" s="137"/>
      <c r="G330" s="122"/>
      <c r="H330" s="137"/>
      <c r="I330" s="50"/>
      <c r="J330" s="50"/>
      <c r="K330" s="50"/>
      <c r="L330" s="38"/>
      <c r="M330" s="38"/>
      <c r="N330" s="38"/>
      <c r="O330" s="50"/>
      <c r="P330" s="218"/>
      <c r="Q330" s="50"/>
      <c r="R330" s="50"/>
      <c r="S330" s="38"/>
      <c r="T330" s="51"/>
      <c r="U330" s="65"/>
      <c r="V330" s="105"/>
      <c r="W330" s="66"/>
      <c r="X330" s="66"/>
      <c r="Y330" s="38"/>
      <c r="Z330" s="66">
        <f t="shared" si="188"/>
        <v>0</v>
      </c>
      <c r="AA330" s="67"/>
      <c r="AC330" s="41" t="e">
        <f>VLOOKUP(A330,'Input Sheet'!$A$2:$B$232,2,0)</f>
        <v>#N/A</v>
      </c>
      <c r="AD330" s="70"/>
      <c r="AI330" s="68"/>
      <c r="AL330" s="107">
        <f t="shared" ca="1" si="170"/>
        <v>0</v>
      </c>
      <c r="AM330" s="49">
        <f t="shared" ca="1" si="195"/>
        <v>53327</v>
      </c>
      <c r="AN330" s="137" t="str">
        <f t="shared" ca="1" si="171"/>
        <v xml:space="preserve"> </v>
      </c>
      <c r="AO330" s="107">
        <f t="shared" ca="1" si="191"/>
        <v>0</v>
      </c>
      <c r="AP330" s="143">
        <f t="shared" ca="1" si="189"/>
        <v>0</v>
      </c>
      <c r="AQ330" s="143">
        <f t="shared" ca="1" si="172"/>
        <v>0</v>
      </c>
      <c r="AR330" s="49" t="str">
        <f t="shared" ca="1" si="173"/>
        <v xml:space="preserve"> </v>
      </c>
      <c r="AS330" s="107">
        <f t="shared" ca="1" si="174"/>
        <v>0</v>
      </c>
      <c r="AT330" s="107">
        <f t="shared" ca="1" si="190"/>
        <v>0</v>
      </c>
      <c r="AU330" s="107"/>
      <c r="AV330" s="107">
        <f ca="1">MAX(SUM($AQ$6:AQ330)-SUM($AT$6:AT330),0)</f>
        <v>0</v>
      </c>
      <c r="AW330" s="107">
        <f t="shared" ca="1" si="196"/>
        <v>0</v>
      </c>
      <c r="AX330" s="107">
        <v>0</v>
      </c>
      <c r="AY330" s="138" t="str">
        <f t="shared" ca="1" si="175"/>
        <v xml:space="preserve"> </v>
      </c>
      <c r="AZ330" s="107">
        <f t="shared" ca="1" si="176"/>
        <v>0</v>
      </c>
      <c r="BA330" s="107">
        <f ca="1">IF(AZ330=1,(SUM($AW$6:AW330,$AX$6:AX330)-SUM($BA$6:BA329)),0)</f>
        <v>0</v>
      </c>
      <c r="BB330" s="107"/>
      <c r="BC330" s="107">
        <f ca="1">AV330+SUM($AW$6:AW330)+SUM($AX$6:AX330)-SUM($BA$6:BA330)</f>
        <v>0</v>
      </c>
      <c r="BD330" s="107">
        <f t="shared" ca="1" si="177"/>
        <v>0</v>
      </c>
      <c r="BE330" s="51">
        <f ca="1">'PiT PD Structure'!J370</f>
        <v>3.7979775489465073E-3</v>
      </c>
      <c r="BF330" s="139">
        <f t="shared" ca="1" si="197"/>
        <v>0.45</v>
      </c>
      <c r="BG330" s="51">
        <f t="shared" ca="1" si="178"/>
        <v>1</v>
      </c>
      <c r="BH330" s="50">
        <f t="shared" ca="1" si="179"/>
        <v>0</v>
      </c>
      <c r="BI330" s="50">
        <f t="shared" ca="1" si="180"/>
        <v>3.4816594052244909E-13</v>
      </c>
      <c r="BJ330" s="140">
        <v>0</v>
      </c>
      <c r="BK330" s="140">
        <v>0</v>
      </c>
      <c r="BR330" s="75">
        <f t="shared" ca="1" si="198"/>
        <v>53327</v>
      </c>
      <c r="BS330" s="74">
        <f t="shared" ca="1" si="181"/>
        <v>12</v>
      </c>
      <c r="BT330" s="74">
        <f t="shared" ca="1" si="192"/>
        <v>0</v>
      </c>
      <c r="BU330" s="73" t="str">
        <f t="shared" ca="1" si="182"/>
        <v xml:space="preserve"> </v>
      </c>
      <c r="BW330" s="75">
        <f t="shared" ca="1" si="183"/>
        <v>53327</v>
      </c>
      <c r="BX330" s="74">
        <f t="shared" ca="1" si="184"/>
        <v>12</v>
      </c>
      <c r="BY330" s="74">
        <f t="shared" ca="1" si="193"/>
        <v>0</v>
      </c>
      <c r="BZ330" s="73" t="str">
        <f t="shared" ca="1" si="185"/>
        <v xml:space="preserve"> </v>
      </c>
      <c r="CB330" s="75">
        <f t="shared" ca="1" si="199"/>
        <v>53327</v>
      </c>
      <c r="CC330" s="74">
        <f t="shared" ca="1" si="186"/>
        <v>12</v>
      </c>
      <c r="CD330" s="74">
        <f t="shared" ca="1" si="194"/>
        <v>0</v>
      </c>
      <c r="CE330" s="73" t="str">
        <f t="shared" ca="1" si="187"/>
        <v xml:space="preserve"> </v>
      </c>
    </row>
    <row r="331" spans="1:83" x14ac:dyDescent="0.2">
      <c r="A331" s="38" t="str">
        <f t="shared" si="200"/>
        <v xml:space="preserve"> </v>
      </c>
      <c r="B331" s="108"/>
      <c r="C331" s="38"/>
      <c r="D331" s="137"/>
      <c r="E331" s="137"/>
      <c r="F331" s="137"/>
      <c r="G331" s="122"/>
      <c r="H331" s="137"/>
      <c r="I331" s="50"/>
      <c r="J331" s="50"/>
      <c r="K331" s="50"/>
      <c r="L331" s="38"/>
      <c r="M331" s="38"/>
      <c r="N331" s="38"/>
      <c r="O331" s="50"/>
      <c r="P331" s="218"/>
      <c r="Q331" s="50"/>
      <c r="R331" s="50"/>
      <c r="S331" s="38"/>
      <c r="T331" s="51"/>
      <c r="U331" s="65"/>
      <c r="V331" s="105"/>
      <c r="W331" s="66"/>
      <c r="X331" s="66"/>
      <c r="Y331" s="38"/>
      <c r="Z331" s="66">
        <f t="shared" si="188"/>
        <v>0</v>
      </c>
      <c r="AA331" s="67"/>
      <c r="AC331" s="41" t="e">
        <f>VLOOKUP(A331,'Input Sheet'!$A$2:$B$232,2,0)</f>
        <v>#N/A</v>
      </c>
      <c r="AD331" s="70"/>
      <c r="AI331" s="68"/>
      <c r="AL331" s="107">
        <f t="shared" ca="1" si="170"/>
        <v>0</v>
      </c>
      <c r="AM331" s="49">
        <f t="shared" ca="1" si="195"/>
        <v>53358</v>
      </c>
      <c r="AN331" s="137" t="str">
        <f t="shared" ca="1" si="171"/>
        <v xml:space="preserve"> </v>
      </c>
      <c r="AO331" s="107">
        <f t="shared" ca="1" si="191"/>
        <v>0</v>
      </c>
      <c r="AP331" s="143">
        <f t="shared" ca="1" si="189"/>
        <v>0</v>
      </c>
      <c r="AQ331" s="143">
        <f t="shared" ca="1" si="172"/>
        <v>0</v>
      </c>
      <c r="AR331" s="49" t="str">
        <f t="shared" ca="1" si="173"/>
        <v xml:space="preserve"> </v>
      </c>
      <c r="AS331" s="107">
        <f t="shared" ca="1" si="174"/>
        <v>0</v>
      </c>
      <c r="AT331" s="107">
        <f t="shared" ca="1" si="190"/>
        <v>0</v>
      </c>
      <c r="AU331" s="107"/>
      <c r="AV331" s="107">
        <f ca="1">MAX(SUM($AQ$6:AQ331)-SUM($AT$6:AT331),0)</f>
        <v>0</v>
      </c>
      <c r="AW331" s="107">
        <f t="shared" ca="1" si="196"/>
        <v>0</v>
      </c>
      <c r="AX331" s="107">
        <v>0</v>
      </c>
      <c r="AY331" s="138" t="str">
        <f t="shared" ca="1" si="175"/>
        <v xml:space="preserve"> </v>
      </c>
      <c r="AZ331" s="107">
        <f t="shared" ca="1" si="176"/>
        <v>0</v>
      </c>
      <c r="BA331" s="107">
        <f ca="1">IF(AZ331=1,(SUM($AW$6:AW331,$AX$6:AX331)-SUM($BA$6:BA330)),0)</f>
        <v>0</v>
      </c>
      <c r="BB331" s="107"/>
      <c r="BC331" s="107">
        <f ca="1">AV331+SUM($AW$6:AW331)+SUM($AX$6:AX331)-SUM($BA$6:BA331)</f>
        <v>0</v>
      </c>
      <c r="BD331" s="107">
        <f t="shared" ca="1" si="177"/>
        <v>0</v>
      </c>
      <c r="BE331" s="51">
        <f ca="1">'PiT PD Structure'!J371</f>
        <v>1.5803405774361678E-4</v>
      </c>
      <c r="BF331" s="139">
        <f t="shared" ca="1" si="197"/>
        <v>0.45</v>
      </c>
      <c r="BG331" s="51">
        <f t="shared" ca="1" si="178"/>
        <v>1</v>
      </c>
      <c r="BH331" s="50">
        <f t="shared" ca="1" si="179"/>
        <v>0</v>
      </c>
      <c r="BI331" s="50">
        <f t="shared" ca="1" si="180"/>
        <v>3.4816594052244909E-13</v>
      </c>
      <c r="BJ331" s="140">
        <v>0</v>
      </c>
      <c r="BK331" s="140">
        <v>0</v>
      </c>
      <c r="BR331" s="75">
        <f t="shared" ca="1" si="198"/>
        <v>53358</v>
      </c>
      <c r="BS331" s="74">
        <f t="shared" ca="1" si="181"/>
        <v>1</v>
      </c>
      <c r="BT331" s="74">
        <f t="shared" ca="1" si="192"/>
        <v>0</v>
      </c>
      <c r="BU331" s="73" t="str">
        <f t="shared" ca="1" si="182"/>
        <v xml:space="preserve"> </v>
      </c>
      <c r="BW331" s="75">
        <f t="shared" ca="1" si="183"/>
        <v>53358</v>
      </c>
      <c r="BX331" s="74">
        <f t="shared" ca="1" si="184"/>
        <v>1</v>
      </c>
      <c r="BY331" s="74">
        <f t="shared" ca="1" si="193"/>
        <v>0</v>
      </c>
      <c r="BZ331" s="73" t="str">
        <f t="shared" ca="1" si="185"/>
        <v xml:space="preserve"> </v>
      </c>
      <c r="CB331" s="75">
        <f t="shared" ca="1" si="199"/>
        <v>53358</v>
      </c>
      <c r="CC331" s="74">
        <f t="shared" ca="1" si="186"/>
        <v>1</v>
      </c>
      <c r="CD331" s="74">
        <f t="shared" ca="1" si="194"/>
        <v>0</v>
      </c>
      <c r="CE331" s="73" t="str">
        <f t="shared" ca="1" si="187"/>
        <v xml:space="preserve"> </v>
      </c>
    </row>
    <row r="332" spans="1:83" x14ac:dyDescent="0.2">
      <c r="A332" s="38" t="str">
        <f t="shared" si="200"/>
        <v xml:space="preserve"> </v>
      </c>
      <c r="B332" s="108"/>
      <c r="C332" s="38"/>
      <c r="D332" s="137"/>
      <c r="E332" s="137"/>
      <c r="F332" s="137"/>
      <c r="G332" s="122"/>
      <c r="H332" s="137"/>
      <c r="I332" s="50"/>
      <c r="J332" s="50"/>
      <c r="K332" s="50"/>
      <c r="L332" s="38"/>
      <c r="M332" s="38"/>
      <c r="N332" s="38"/>
      <c r="O332" s="50"/>
      <c r="P332" s="218"/>
      <c r="Q332" s="50"/>
      <c r="R332" s="50"/>
      <c r="S332" s="38"/>
      <c r="T332" s="51"/>
      <c r="U332" s="65"/>
      <c r="V332" s="105"/>
      <c r="W332" s="66"/>
      <c r="X332" s="66"/>
      <c r="Y332" s="38"/>
      <c r="Z332" s="66">
        <f t="shared" si="188"/>
        <v>0</v>
      </c>
      <c r="AA332" s="67"/>
      <c r="AC332" s="41" t="e">
        <f>VLOOKUP(A332,'Input Sheet'!$A$2:$B$232,2,0)</f>
        <v>#N/A</v>
      </c>
      <c r="AD332" s="70"/>
      <c r="AI332" s="68"/>
      <c r="AL332" s="107">
        <f t="shared" ca="1" si="170"/>
        <v>0</v>
      </c>
      <c r="AM332" s="49">
        <f t="shared" ca="1" si="195"/>
        <v>53386</v>
      </c>
      <c r="AN332" s="137" t="str">
        <f t="shared" ca="1" si="171"/>
        <v xml:space="preserve"> </v>
      </c>
      <c r="AO332" s="107">
        <f t="shared" ca="1" si="191"/>
        <v>0</v>
      </c>
      <c r="AP332" s="143">
        <f t="shared" ca="1" si="189"/>
        <v>0</v>
      </c>
      <c r="AQ332" s="143">
        <f t="shared" ca="1" si="172"/>
        <v>0</v>
      </c>
      <c r="AR332" s="49" t="str">
        <f t="shared" ca="1" si="173"/>
        <v xml:space="preserve"> </v>
      </c>
      <c r="AS332" s="107">
        <f t="shared" ca="1" si="174"/>
        <v>0</v>
      </c>
      <c r="AT332" s="107">
        <f t="shared" ca="1" si="190"/>
        <v>0</v>
      </c>
      <c r="AU332" s="107"/>
      <c r="AV332" s="107">
        <f ca="1">MAX(SUM($AQ$6:AQ332)-SUM($AT$6:AT332),0)</f>
        <v>0</v>
      </c>
      <c r="AW332" s="107">
        <f t="shared" ca="1" si="196"/>
        <v>0</v>
      </c>
      <c r="AX332" s="107">
        <v>0</v>
      </c>
      <c r="AY332" s="138" t="str">
        <f t="shared" ca="1" si="175"/>
        <v xml:space="preserve"> </v>
      </c>
      <c r="AZ332" s="107">
        <f t="shared" ca="1" si="176"/>
        <v>0</v>
      </c>
      <c r="BA332" s="107">
        <f ca="1">IF(AZ332=1,(SUM($AW$6:AW332,$AX$6:AX332)-SUM($BA$6:BA331)),0)</f>
        <v>0</v>
      </c>
      <c r="BB332" s="107"/>
      <c r="BC332" s="107">
        <f ca="1">AV332+SUM($AW$6:AW332)+SUM($AX$6:AX332)-SUM($BA$6:BA332)</f>
        <v>0</v>
      </c>
      <c r="BD332" s="107">
        <f t="shared" ca="1" si="177"/>
        <v>0</v>
      </c>
      <c r="BE332" s="51">
        <f ca="1">'PiT PD Structure'!J372</f>
        <v>1.5800694954304362E-4</v>
      </c>
      <c r="BF332" s="139">
        <f t="shared" ca="1" si="197"/>
        <v>0.45</v>
      </c>
      <c r="BG332" s="51">
        <f t="shared" ca="1" si="178"/>
        <v>1</v>
      </c>
      <c r="BH332" s="50">
        <f t="shared" ca="1" si="179"/>
        <v>0</v>
      </c>
      <c r="BI332" s="50">
        <f t="shared" ca="1" si="180"/>
        <v>3.4816594052244909E-13</v>
      </c>
      <c r="BJ332" s="140">
        <v>0</v>
      </c>
      <c r="BK332" s="140">
        <v>0</v>
      </c>
      <c r="BR332" s="75">
        <f t="shared" ca="1" si="198"/>
        <v>53386</v>
      </c>
      <c r="BS332" s="74">
        <f t="shared" ca="1" si="181"/>
        <v>2</v>
      </c>
      <c r="BT332" s="74">
        <f t="shared" ca="1" si="192"/>
        <v>0</v>
      </c>
      <c r="BU332" s="73" t="str">
        <f t="shared" ca="1" si="182"/>
        <v xml:space="preserve"> </v>
      </c>
      <c r="BW332" s="75">
        <f t="shared" ca="1" si="183"/>
        <v>53386</v>
      </c>
      <c r="BX332" s="74">
        <f t="shared" ca="1" si="184"/>
        <v>2</v>
      </c>
      <c r="BY332" s="74">
        <f t="shared" ca="1" si="193"/>
        <v>0</v>
      </c>
      <c r="BZ332" s="73" t="str">
        <f t="shared" ca="1" si="185"/>
        <v xml:space="preserve"> </v>
      </c>
      <c r="CB332" s="75">
        <f t="shared" ca="1" si="199"/>
        <v>53386</v>
      </c>
      <c r="CC332" s="74">
        <f t="shared" ca="1" si="186"/>
        <v>2</v>
      </c>
      <c r="CD332" s="74">
        <f t="shared" ca="1" si="194"/>
        <v>0</v>
      </c>
      <c r="CE332" s="73" t="str">
        <f t="shared" ca="1" si="187"/>
        <v xml:space="preserve"> </v>
      </c>
    </row>
    <row r="333" spans="1:83" x14ac:dyDescent="0.2">
      <c r="A333" s="38" t="str">
        <f t="shared" si="200"/>
        <v xml:space="preserve"> </v>
      </c>
      <c r="B333" s="108"/>
      <c r="C333" s="38"/>
      <c r="D333" s="137"/>
      <c r="E333" s="137"/>
      <c r="F333" s="137"/>
      <c r="G333" s="122"/>
      <c r="H333" s="137"/>
      <c r="I333" s="50"/>
      <c r="J333" s="50"/>
      <c r="K333" s="50"/>
      <c r="L333" s="38"/>
      <c r="M333" s="38"/>
      <c r="N333" s="38"/>
      <c r="O333" s="50"/>
      <c r="P333" s="218"/>
      <c r="Q333" s="50"/>
      <c r="R333" s="50"/>
      <c r="S333" s="38"/>
      <c r="T333" s="51"/>
      <c r="U333" s="65"/>
      <c r="V333" s="105"/>
      <c r="W333" s="66"/>
      <c r="X333" s="66"/>
      <c r="Y333" s="38"/>
      <c r="Z333" s="66">
        <f t="shared" si="188"/>
        <v>0</v>
      </c>
      <c r="AA333" s="67"/>
      <c r="AC333" s="41" t="e">
        <f>VLOOKUP(A333,'Input Sheet'!$A$2:$B$232,2,0)</f>
        <v>#N/A</v>
      </c>
      <c r="AD333" s="70"/>
      <c r="AI333" s="68"/>
      <c r="AL333" s="107">
        <f t="shared" ca="1" si="170"/>
        <v>0</v>
      </c>
      <c r="AM333" s="49">
        <f t="shared" ca="1" si="195"/>
        <v>53417</v>
      </c>
      <c r="AN333" s="137" t="str">
        <f t="shared" ca="1" si="171"/>
        <v xml:space="preserve"> </v>
      </c>
      <c r="AO333" s="107">
        <f t="shared" ca="1" si="191"/>
        <v>0</v>
      </c>
      <c r="AP333" s="143">
        <f t="shared" ca="1" si="189"/>
        <v>0</v>
      </c>
      <c r="AQ333" s="143">
        <f t="shared" ca="1" si="172"/>
        <v>0</v>
      </c>
      <c r="AR333" s="49" t="str">
        <f t="shared" ca="1" si="173"/>
        <v xml:space="preserve"> </v>
      </c>
      <c r="AS333" s="107">
        <f t="shared" ca="1" si="174"/>
        <v>0</v>
      </c>
      <c r="AT333" s="107">
        <f t="shared" ca="1" si="190"/>
        <v>0</v>
      </c>
      <c r="AU333" s="107"/>
      <c r="AV333" s="107">
        <f ca="1">MAX(SUM($AQ$6:AQ333)-SUM($AT$6:AT333),0)</f>
        <v>0</v>
      </c>
      <c r="AW333" s="107">
        <f t="shared" ca="1" si="196"/>
        <v>0</v>
      </c>
      <c r="AX333" s="107">
        <v>0</v>
      </c>
      <c r="AY333" s="138" t="str">
        <f t="shared" ca="1" si="175"/>
        <v xml:space="preserve"> </v>
      </c>
      <c r="AZ333" s="107">
        <f t="shared" ca="1" si="176"/>
        <v>0</v>
      </c>
      <c r="BA333" s="107">
        <f ca="1">IF(AZ333=1,(SUM($AW$6:AW333,$AX$6:AX333)-SUM($BA$6:BA332)),0)</f>
        <v>0</v>
      </c>
      <c r="BB333" s="107"/>
      <c r="BC333" s="107">
        <f ca="1">AV333+SUM($AW$6:AW333)+SUM($AX$6:AX333)-SUM($BA$6:BA333)</f>
        <v>0</v>
      </c>
      <c r="BD333" s="107">
        <f t="shared" ca="1" si="177"/>
        <v>0</v>
      </c>
      <c r="BE333" s="51">
        <f ca="1">'PiT PD Structure'!J373</f>
        <v>1.5797984599230652E-4</v>
      </c>
      <c r="BF333" s="139">
        <f t="shared" ca="1" si="197"/>
        <v>0.45</v>
      </c>
      <c r="BG333" s="51">
        <f t="shared" ca="1" si="178"/>
        <v>1</v>
      </c>
      <c r="BH333" s="50">
        <f t="shared" ca="1" si="179"/>
        <v>0</v>
      </c>
      <c r="BI333" s="50">
        <f t="shared" ca="1" si="180"/>
        <v>3.4816594052244909E-13</v>
      </c>
      <c r="BJ333" s="140">
        <v>0</v>
      </c>
      <c r="BK333" s="140">
        <v>0</v>
      </c>
      <c r="BR333" s="75">
        <f t="shared" ca="1" si="198"/>
        <v>53417</v>
      </c>
      <c r="BS333" s="74">
        <f t="shared" ca="1" si="181"/>
        <v>3</v>
      </c>
      <c r="BT333" s="74">
        <f t="shared" ca="1" si="192"/>
        <v>0</v>
      </c>
      <c r="BU333" s="73" t="str">
        <f t="shared" ca="1" si="182"/>
        <v xml:space="preserve"> </v>
      </c>
      <c r="BW333" s="75">
        <f t="shared" ca="1" si="183"/>
        <v>53417</v>
      </c>
      <c r="BX333" s="74">
        <f t="shared" ca="1" si="184"/>
        <v>3</v>
      </c>
      <c r="BY333" s="74">
        <f t="shared" ca="1" si="193"/>
        <v>0</v>
      </c>
      <c r="BZ333" s="73" t="str">
        <f t="shared" ca="1" si="185"/>
        <v xml:space="preserve"> </v>
      </c>
      <c r="CB333" s="75">
        <f t="shared" ca="1" si="199"/>
        <v>53417</v>
      </c>
      <c r="CC333" s="74">
        <f t="shared" ca="1" si="186"/>
        <v>3</v>
      </c>
      <c r="CD333" s="74">
        <f t="shared" ca="1" si="194"/>
        <v>0</v>
      </c>
      <c r="CE333" s="73" t="str">
        <f t="shared" ca="1" si="187"/>
        <v xml:space="preserve"> </v>
      </c>
    </row>
    <row r="334" spans="1:83" x14ac:dyDescent="0.2">
      <c r="A334" s="38" t="str">
        <f t="shared" si="200"/>
        <v xml:space="preserve"> </v>
      </c>
      <c r="B334" s="108"/>
      <c r="C334" s="38"/>
      <c r="D334" s="137"/>
      <c r="E334" s="137"/>
      <c r="F334" s="137"/>
      <c r="G334" s="122"/>
      <c r="H334" s="137"/>
      <c r="I334" s="50"/>
      <c r="J334" s="50"/>
      <c r="K334" s="50"/>
      <c r="L334" s="38"/>
      <c r="M334" s="38"/>
      <c r="N334" s="38"/>
      <c r="O334" s="50"/>
      <c r="P334" s="218"/>
      <c r="Q334" s="50"/>
      <c r="R334" s="50"/>
      <c r="S334" s="38"/>
      <c r="T334" s="51"/>
      <c r="U334" s="65"/>
      <c r="V334" s="105"/>
      <c r="W334" s="66"/>
      <c r="X334" s="66"/>
      <c r="Y334" s="38"/>
      <c r="Z334" s="66">
        <f t="shared" si="188"/>
        <v>0</v>
      </c>
      <c r="AA334" s="67"/>
      <c r="AC334" s="41" t="e">
        <f>VLOOKUP(A334,'Input Sheet'!$A$2:$B$232,2,0)</f>
        <v>#N/A</v>
      </c>
      <c r="AD334" s="70"/>
      <c r="AI334" s="68"/>
      <c r="AL334" s="107">
        <f t="shared" ca="1" si="170"/>
        <v>0</v>
      </c>
      <c r="AM334" s="49">
        <f t="shared" ca="1" si="195"/>
        <v>53447</v>
      </c>
      <c r="AN334" s="137" t="str">
        <f t="shared" ca="1" si="171"/>
        <v xml:space="preserve"> </v>
      </c>
      <c r="AO334" s="107">
        <f t="shared" ca="1" si="191"/>
        <v>0</v>
      </c>
      <c r="AP334" s="143">
        <f t="shared" ca="1" si="189"/>
        <v>0</v>
      </c>
      <c r="AQ334" s="143">
        <f t="shared" ca="1" si="172"/>
        <v>0</v>
      </c>
      <c r="AR334" s="49" t="str">
        <f t="shared" ca="1" si="173"/>
        <v xml:space="preserve"> </v>
      </c>
      <c r="AS334" s="107">
        <f t="shared" ca="1" si="174"/>
        <v>0</v>
      </c>
      <c r="AT334" s="107">
        <f t="shared" ca="1" si="190"/>
        <v>0</v>
      </c>
      <c r="AU334" s="107"/>
      <c r="AV334" s="107">
        <f ca="1">MAX(SUM($AQ$6:AQ334)-SUM($AT$6:AT334),0)</f>
        <v>0</v>
      </c>
      <c r="AW334" s="107">
        <f t="shared" ca="1" si="196"/>
        <v>0</v>
      </c>
      <c r="AX334" s="107">
        <v>0</v>
      </c>
      <c r="AY334" s="138" t="str">
        <f t="shared" ca="1" si="175"/>
        <v xml:space="preserve"> </v>
      </c>
      <c r="AZ334" s="107">
        <f t="shared" ca="1" si="176"/>
        <v>0</v>
      </c>
      <c r="BA334" s="107">
        <f ca="1">IF(AZ334=1,(SUM($AW$6:AW334,$AX$6:AX334)-SUM($BA$6:BA333)),0)</f>
        <v>0</v>
      </c>
      <c r="BB334" s="107"/>
      <c r="BC334" s="107">
        <f ca="1">AV334+SUM($AW$6:AW334)+SUM($AX$6:AX334)-SUM($BA$6:BA334)</f>
        <v>0</v>
      </c>
      <c r="BD334" s="107">
        <f t="shared" ca="1" si="177"/>
        <v>0</v>
      </c>
      <c r="BE334" s="51">
        <f ca="1">'PiT PD Structure'!J374</f>
        <v>1.5795274709062834E-4</v>
      </c>
      <c r="BF334" s="139">
        <f t="shared" ca="1" si="197"/>
        <v>0.45</v>
      </c>
      <c r="BG334" s="51">
        <f t="shared" ca="1" si="178"/>
        <v>1</v>
      </c>
      <c r="BH334" s="50">
        <f t="shared" ca="1" si="179"/>
        <v>0</v>
      </c>
      <c r="BI334" s="50">
        <f t="shared" ca="1" si="180"/>
        <v>3.4816594052244909E-13</v>
      </c>
      <c r="BJ334" s="140">
        <v>0</v>
      </c>
      <c r="BK334" s="140">
        <v>0</v>
      </c>
      <c r="BR334" s="75">
        <f t="shared" ca="1" si="198"/>
        <v>53447</v>
      </c>
      <c r="BS334" s="74">
        <f t="shared" ca="1" si="181"/>
        <v>4</v>
      </c>
      <c r="BT334" s="74">
        <f t="shared" ca="1" si="192"/>
        <v>0</v>
      </c>
      <c r="BU334" s="73" t="str">
        <f t="shared" ca="1" si="182"/>
        <v xml:space="preserve"> </v>
      </c>
      <c r="BW334" s="75">
        <f t="shared" ca="1" si="183"/>
        <v>53447</v>
      </c>
      <c r="BX334" s="74">
        <f t="shared" ca="1" si="184"/>
        <v>4</v>
      </c>
      <c r="BY334" s="74">
        <f t="shared" ca="1" si="193"/>
        <v>0</v>
      </c>
      <c r="BZ334" s="73" t="str">
        <f t="shared" ca="1" si="185"/>
        <v xml:space="preserve"> </v>
      </c>
      <c r="CB334" s="75">
        <f t="shared" ca="1" si="199"/>
        <v>53447</v>
      </c>
      <c r="CC334" s="74">
        <f t="shared" ca="1" si="186"/>
        <v>4</v>
      </c>
      <c r="CD334" s="74">
        <f t="shared" ca="1" si="194"/>
        <v>0</v>
      </c>
      <c r="CE334" s="73" t="str">
        <f t="shared" ca="1" si="187"/>
        <v xml:space="preserve"> </v>
      </c>
    </row>
    <row r="335" spans="1:83" x14ac:dyDescent="0.2">
      <c r="A335" s="38" t="str">
        <f t="shared" si="200"/>
        <v xml:space="preserve"> </v>
      </c>
      <c r="B335" s="108"/>
      <c r="C335" s="38"/>
      <c r="D335" s="137"/>
      <c r="E335" s="137"/>
      <c r="F335" s="137"/>
      <c r="G335" s="122"/>
      <c r="H335" s="137"/>
      <c r="I335" s="50"/>
      <c r="J335" s="50"/>
      <c r="K335" s="50"/>
      <c r="L335" s="38"/>
      <c r="M335" s="38"/>
      <c r="N335" s="38"/>
      <c r="O335" s="50"/>
      <c r="P335" s="218"/>
      <c r="Q335" s="50"/>
      <c r="R335" s="50"/>
      <c r="S335" s="38"/>
      <c r="T335" s="51"/>
      <c r="U335" s="65"/>
      <c r="V335" s="105"/>
      <c r="W335" s="66"/>
      <c r="X335" s="66"/>
      <c r="Y335" s="38"/>
      <c r="Z335" s="66">
        <f t="shared" si="188"/>
        <v>0</v>
      </c>
      <c r="AA335" s="67"/>
      <c r="AC335" s="41" t="e">
        <f>VLOOKUP(A335,'Input Sheet'!$A$2:$B$232,2,0)</f>
        <v>#N/A</v>
      </c>
      <c r="AD335" s="70"/>
      <c r="AI335" s="68"/>
      <c r="AL335" s="107">
        <f t="shared" ca="1" si="170"/>
        <v>0</v>
      </c>
      <c r="AM335" s="49">
        <f t="shared" ca="1" si="195"/>
        <v>53478</v>
      </c>
      <c r="AN335" s="137" t="str">
        <f t="shared" ca="1" si="171"/>
        <v xml:space="preserve"> </v>
      </c>
      <c r="AO335" s="107">
        <f t="shared" ca="1" si="191"/>
        <v>0</v>
      </c>
      <c r="AP335" s="143">
        <f t="shared" ca="1" si="189"/>
        <v>0</v>
      </c>
      <c r="AQ335" s="143">
        <f t="shared" ca="1" si="172"/>
        <v>0</v>
      </c>
      <c r="AR335" s="49" t="str">
        <f t="shared" ca="1" si="173"/>
        <v xml:space="preserve"> </v>
      </c>
      <c r="AS335" s="107">
        <f t="shared" ca="1" si="174"/>
        <v>0</v>
      </c>
      <c r="AT335" s="107">
        <f t="shared" ca="1" si="190"/>
        <v>0</v>
      </c>
      <c r="AU335" s="107"/>
      <c r="AV335" s="107">
        <f ca="1">MAX(SUM($AQ$6:AQ335)-SUM($AT$6:AT335),0)</f>
        <v>0</v>
      </c>
      <c r="AW335" s="107">
        <f t="shared" ca="1" si="196"/>
        <v>0</v>
      </c>
      <c r="AX335" s="107">
        <v>0</v>
      </c>
      <c r="AY335" s="138" t="str">
        <f t="shared" ca="1" si="175"/>
        <v xml:space="preserve"> </v>
      </c>
      <c r="AZ335" s="107">
        <f t="shared" ca="1" si="176"/>
        <v>0</v>
      </c>
      <c r="BA335" s="107">
        <f ca="1">IF(AZ335=1,(SUM($AW$6:AW335,$AX$6:AX335)-SUM($BA$6:BA334)),0)</f>
        <v>0</v>
      </c>
      <c r="BB335" s="107"/>
      <c r="BC335" s="107">
        <f ca="1">AV335+SUM($AW$6:AW335)+SUM($AX$6:AX335)-SUM($BA$6:BA335)</f>
        <v>0</v>
      </c>
      <c r="BD335" s="107">
        <f t="shared" ca="1" si="177"/>
        <v>0</v>
      </c>
      <c r="BE335" s="51">
        <f ca="1">'PiT PD Structure'!J375</f>
        <v>1.5792565283756499E-4</v>
      </c>
      <c r="BF335" s="139">
        <f t="shared" ca="1" si="197"/>
        <v>0.45</v>
      </c>
      <c r="BG335" s="51">
        <f t="shared" ca="1" si="178"/>
        <v>1</v>
      </c>
      <c r="BH335" s="50">
        <f t="shared" ca="1" si="179"/>
        <v>0</v>
      </c>
      <c r="BI335" s="50">
        <f t="shared" ca="1" si="180"/>
        <v>3.4816594052244909E-13</v>
      </c>
      <c r="BJ335" s="140">
        <v>0</v>
      </c>
      <c r="BK335" s="140">
        <v>0</v>
      </c>
      <c r="BR335" s="75">
        <f t="shared" ca="1" si="198"/>
        <v>53478</v>
      </c>
      <c r="BS335" s="74">
        <f t="shared" ca="1" si="181"/>
        <v>5</v>
      </c>
      <c r="BT335" s="74">
        <f t="shared" ca="1" si="192"/>
        <v>0</v>
      </c>
      <c r="BU335" s="73" t="str">
        <f t="shared" ca="1" si="182"/>
        <v xml:space="preserve"> </v>
      </c>
      <c r="BW335" s="75">
        <f t="shared" ca="1" si="183"/>
        <v>53478</v>
      </c>
      <c r="BX335" s="74">
        <f t="shared" ca="1" si="184"/>
        <v>5</v>
      </c>
      <c r="BY335" s="74">
        <f t="shared" ca="1" si="193"/>
        <v>0</v>
      </c>
      <c r="BZ335" s="73" t="str">
        <f t="shared" ca="1" si="185"/>
        <v xml:space="preserve"> </v>
      </c>
      <c r="CB335" s="75">
        <f t="shared" ca="1" si="199"/>
        <v>53478</v>
      </c>
      <c r="CC335" s="74">
        <f t="shared" ca="1" si="186"/>
        <v>5</v>
      </c>
      <c r="CD335" s="74">
        <f t="shared" ca="1" si="194"/>
        <v>0</v>
      </c>
      <c r="CE335" s="73" t="str">
        <f t="shared" ca="1" si="187"/>
        <v xml:space="preserve"> </v>
      </c>
    </row>
    <row r="336" spans="1:83" x14ac:dyDescent="0.2">
      <c r="A336" s="38" t="str">
        <f t="shared" si="200"/>
        <v xml:space="preserve"> </v>
      </c>
      <c r="B336" s="108"/>
      <c r="C336" s="38"/>
      <c r="D336" s="137"/>
      <c r="E336" s="137"/>
      <c r="F336" s="137"/>
      <c r="G336" s="122"/>
      <c r="H336" s="137"/>
      <c r="I336" s="50"/>
      <c r="J336" s="50"/>
      <c r="K336" s="50"/>
      <c r="L336" s="38"/>
      <c r="M336" s="38"/>
      <c r="N336" s="38"/>
      <c r="O336" s="50"/>
      <c r="P336" s="218"/>
      <c r="Q336" s="50"/>
      <c r="R336" s="50"/>
      <c r="S336" s="38"/>
      <c r="T336" s="51"/>
      <c r="U336" s="65"/>
      <c r="V336" s="105"/>
      <c r="W336" s="66"/>
      <c r="X336" s="66"/>
      <c r="Y336" s="38"/>
      <c r="Z336" s="66">
        <f t="shared" si="188"/>
        <v>0</v>
      </c>
      <c r="AA336" s="67"/>
      <c r="AC336" s="41" t="e">
        <f>VLOOKUP(A336,'Input Sheet'!$A$2:$B$232,2,0)</f>
        <v>#N/A</v>
      </c>
      <c r="AD336" s="70"/>
      <c r="AI336" s="68"/>
      <c r="AL336" s="107">
        <f t="shared" ca="1" si="170"/>
        <v>0</v>
      </c>
      <c r="AM336" s="49">
        <f t="shared" ca="1" si="195"/>
        <v>53508</v>
      </c>
      <c r="AN336" s="137" t="str">
        <f t="shared" ca="1" si="171"/>
        <v xml:space="preserve"> </v>
      </c>
      <c r="AO336" s="107">
        <f t="shared" ca="1" si="191"/>
        <v>0</v>
      </c>
      <c r="AP336" s="143">
        <f t="shared" ca="1" si="189"/>
        <v>0</v>
      </c>
      <c r="AQ336" s="143">
        <f t="shared" ca="1" si="172"/>
        <v>0</v>
      </c>
      <c r="AR336" s="49" t="str">
        <f t="shared" ca="1" si="173"/>
        <v xml:space="preserve"> </v>
      </c>
      <c r="AS336" s="107">
        <f t="shared" ca="1" si="174"/>
        <v>0</v>
      </c>
      <c r="AT336" s="107">
        <f t="shared" ca="1" si="190"/>
        <v>0</v>
      </c>
      <c r="AU336" s="107"/>
      <c r="AV336" s="107">
        <f ca="1">MAX(SUM($AQ$6:AQ336)-SUM($AT$6:AT336),0)</f>
        <v>0</v>
      </c>
      <c r="AW336" s="107">
        <f t="shared" ca="1" si="196"/>
        <v>0</v>
      </c>
      <c r="AX336" s="107">
        <v>0</v>
      </c>
      <c r="AY336" s="138" t="str">
        <f t="shared" ca="1" si="175"/>
        <v xml:space="preserve"> </v>
      </c>
      <c r="AZ336" s="107">
        <f t="shared" ca="1" si="176"/>
        <v>0</v>
      </c>
      <c r="BA336" s="107">
        <f ca="1">IF(AZ336=1,(SUM($AW$6:AW336,$AX$6:AX336)-SUM($BA$6:BA335)),0)</f>
        <v>0</v>
      </c>
      <c r="BB336" s="107"/>
      <c r="BC336" s="107">
        <f ca="1">AV336+SUM($AW$6:AW336)+SUM($AX$6:AX336)-SUM($BA$6:BA336)</f>
        <v>0</v>
      </c>
      <c r="BD336" s="107">
        <f t="shared" ca="1" si="177"/>
        <v>0</v>
      </c>
      <c r="BE336" s="51">
        <f ca="1">'PiT PD Structure'!J376</f>
        <v>1.5789856323178419E-4</v>
      </c>
      <c r="BF336" s="139">
        <f t="shared" ca="1" si="197"/>
        <v>0.45</v>
      </c>
      <c r="BG336" s="51">
        <f t="shared" ca="1" si="178"/>
        <v>1</v>
      </c>
      <c r="BH336" s="50">
        <f t="shared" ca="1" si="179"/>
        <v>0</v>
      </c>
      <c r="BI336" s="50">
        <f t="shared" ca="1" si="180"/>
        <v>3.4816594052244909E-13</v>
      </c>
      <c r="BJ336" s="140">
        <v>0</v>
      </c>
      <c r="BK336" s="140">
        <v>0</v>
      </c>
      <c r="BR336" s="75">
        <f t="shared" ca="1" si="198"/>
        <v>53508</v>
      </c>
      <c r="BS336" s="74">
        <f t="shared" ca="1" si="181"/>
        <v>6</v>
      </c>
      <c r="BT336" s="74">
        <f t="shared" ca="1" si="192"/>
        <v>0</v>
      </c>
      <c r="BU336" s="73" t="str">
        <f t="shared" ca="1" si="182"/>
        <v xml:space="preserve"> </v>
      </c>
      <c r="BW336" s="75">
        <f t="shared" ca="1" si="183"/>
        <v>53508</v>
      </c>
      <c r="BX336" s="74">
        <f t="shared" ca="1" si="184"/>
        <v>6</v>
      </c>
      <c r="BY336" s="74">
        <f t="shared" ca="1" si="193"/>
        <v>0</v>
      </c>
      <c r="BZ336" s="73" t="str">
        <f t="shared" ca="1" si="185"/>
        <v xml:space="preserve"> </v>
      </c>
      <c r="CB336" s="75">
        <f t="shared" ca="1" si="199"/>
        <v>53508</v>
      </c>
      <c r="CC336" s="74">
        <f t="shared" ca="1" si="186"/>
        <v>6</v>
      </c>
      <c r="CD336" s="74">
        <f t="shared" ca="1" si="194"/>
        <v>0</v>
      </c>
      <c r="CE336" s="73" t="str">
        <f t="shared" ca="1" si="187"/>
        <v xml:space="preserve"> </v>
      </c>
    </row>
    <row r="337" spans="1:83" x14ac:dyDescent="0.2">
      <c r="A337" s="38" t="str">
        <f t="shared" si="200"/>
        <v xml:space="preserve"> </v>
      </c>
      <c r="B337" s="108"/>
      <c r="C337" s="38"/>
      <c r="D337" s="137"/>
      <c r="E337" s="137"/>
      <c r="F337" s="137"/>
      <c r="G337" s="122"/>
      <c r="H337" s="137"/>
      <c r="I337" s="50"/>
      <c r="J337" s="50"/>
      <c r="K337" s="50"/>
      <c r="L337" s="38"/>
      <c r="M337" s="38"/>
      <c r="N337" s="38"/>
      <c r="O337" s="50"/>
      <c r="P337" s="218"/>
      <c r="Q337" s="50"/>
      <c r="R337" s="50"/>
      <c r="S337" s="38"/>
      <c r="T337" s="51"/>
      <c r="U337" s="65"/>
      <c r="V337" s="105"/>
      <c r="W337" s="66"/>
      <c r="X337" s="66"/>
      <c r="Y337" s="38"/>
      <c r="Z337" s="66">
        <f t="shared" si="188"/>
        <v>0</v>
      </c>
      <c r="AA337" s="67"/>
      <c r="AC337" s="41" t="e">
        <f>VLOOKUP(A337,'Input Sheet'!$A$2:$B$232,2,0)</f>
        <v>#N/A</v>
      </c>
      <c r="AD337" s="70"/>
      <c r="AI337" s="68"/>
      <c r="AL337" s="107">
        <f t="shared" ca="1" si="170"/>
        <v>0</v>
      </c>
      <c r="AM337" s="49">
        <f t="shared" ca="1" si="195"/>
        <v>53539</v>
      </c>
      <c r="AN337" s="137" t="str">
        <f t="shared" ca="1" si="171"/>
        <v xml:space="preserve"> </v>
      </c>
      <c r="AO337" s="107">
        <f t="shared" ca="1" si="191"/>
        <v>0</v>
      </c>
      <c r="AP337" s="143">
        <f t="shared" ca="1" si="189"/>
        <v>0</v>
      </c>
      <c r="AQ337" s="143">
        <f t="shared" ca="1" si="172"/>
        <v>0</v>
      </c>
      <c r="AR337" s="49" t="str">
        <f t="shared" ca="1" si="173"/>
        <v xml:space="preserve"> </v>
      </c>
      <c r="AS337" s="107">
        <f t="shared" ca="1" si="174"/>
        <v>0</v>
      </c>
      <c r="AT337" s="107">
        <f t="shared" ca="1" si="190"/>
        <v>0</v>
      </c>
      <c r="AU337" s="107"/>
      <c r="AV337" s="107">
        <f ca="1">MAX(SUM($AQ$6:AQ337)-SUM($AT$6:AT337),0)</f>
        <v>0</v>
      </c>
      <c r="AW337" s="107">
        <f t="shared" ca="1" si="196"/>
        <v>0</v>
      </c>
      <c r="AX337" s="107">
        <v>0</v>
      </c>
      <c r="AY337" s="138" t="str">
        <f t="shared" ca="1" si="175"/>
        <v xml:space="preserve"> </v>
      </c>
      <c r="AZ337" s="107">
        <f t="shared" ca="1" si="176"/>
        <v>0</v>
      </c>
      <c r="BA337" s="107">
        <f ca="1">IF(AZ337=1,(SUM($AW$6:AW337,$AX$6:AX337)-SUM($BA$6:BA336)),0)</f>
        <v>0</v>
      </c>
      <c r="BB337" s="107"/>
      <c r="BC337" s="107">
        <f ca="1">AV337+SUM($AW$6:AW337)+SUM($AX$6:AX337)-SUM($BA$6:BA337)</f>
        <v>0</v>
      </c>
      <c r="BD337" s="107">
        <f t="shared" ca="1" si="177"/>
        <v>0</v>
      </c>
      <c r="BE337" s="51">
        <f ca="1">'PiT PD Structure'!J377</f>
        <v>1.5787147827306391E-4</v>
      </c>
      <c r="BF337" s="139">
        <f t="shared" ca="1" si="197"/>
        <v>0.45</v>
      </c>
      <c r="BG337" s="51">
        <f t="shared" ca="1" si="178"/>
        <v>1</v>
      </c>
      <c r="BH337" s="50">
        <f t="shared" ca="1" si="179"/>
        <v>0</v>
      </c>
      <c r="BI337" s="50">
        <f t="shared" ca="1" si="180"/>
        <v>3.4816594052244909E-13</v>
      </c>
      <c r="BJ337" s="140">
        <v>0</v>
      </c>
      <c r="BK337" s="140">
        <v>0</v>
      </c>
      <c r="BR337" s="75">
        <f t="shared" ca="1" si="198"/>
        <v>53539</v>
      </c>
      <c r="BS337" s="74">
        <f t="shared" ca="1" si="181"/>
        <v>7</v>
      </c>
      <c r="BT337" s="74">
        <f t="shared" ca="1" si="192"/>
        <v>0</v>
      </c>
      <c r="BU337" s="73" t="str">
        <f t="shared" ca="1" si="182"/>
        <v xml:space="preserve"> </v>
      </c>
      <c r="BW337" s="75">
        <f t="shared" ca="1" si="183"/>
        <v>53539</v>
      </c>
      <c r="BX337" s="74">
        <f t="shared" ca="1" si="184"/>
        <v>7</v>
      </c>
      <c r="BY337" s="74">
        <f t="shared" ca="1" si="193"/>
        <v>0</v>
      </c>
      <c r="BZ337" s="73" t="str">
        <f t="shared" ca="1" si="185"/>
        <v xml:space="preserve"> </v>
      </c>
      <c r="CB337" s="75">
        <f t="shared" ca="1" si="199"/>
        <v>53539</v>
      </c>
      <c r="CC337" s="74">
        <f t="shared" ca="1" si="186"/>
        <v>7</v>
      </c>
      <c r="CD337" s="74">
        <f t="shared" ca="1" si="194"/>
        <v>0</v>
      </c>
      <c r="CE337" s="73" t="str">
        <f t="shared" ca="1" si="187"/>
        <v xml:space="preserve"> </v>
      </c>
    </row>
    <row r="338" spans="1:83" x14ac:dyDescent="0.2">
      <c r="A338" s="38" t="str">
        <f t="shared" si="200"/>
        <v xml:space="preserve"> </v>
      </c>
      <c r="B338" s="108"/>
      <c r="C338" s="38"/>
      <c r="D338" s="137"/>
      <c r="E338" s="137"/>
      <c r="F338" s="137"/>
      <c r="G338" s="122"/>
      <c r="H338" s="137"/>
      <c r="I338" s="50"/>
      <c r="J338" s="50"/>
      <c r="K338" s="50"/>
      <c r="L338" s="38"/>
      <c r="M338" s="38"/>
      <c r="N338" s="38"/>
      <c r="O338" s="50"/>
      <c r="P338" s="218"/>
      <c r="Q338" s="50"/>
      <c r="R338" s="50"/>
      <c r="S338" s="38"/>
      <c r="T338" s="51"/>
      <c r="U338" s="65"/>
      <c r="V338" s="105"/>
      <c r="W338" s="66"/>
      <c r="X338" s="66"/>
      <c r="Y338" s="38"/>
      <c r="Z338" s="66">
        <f t="shared" si="188"/>
        <v>0</v>
      </c>
      <c r="AA338" s="67"/>
      <c r="AC338" s="41" t="e">
        <f>VLOOKUP(A338,'Input Sheet'!$A$2:$B$232,2,0)</f>
        <v>#N/A</v>
      </c>
      <c r="AD338" s="70"/>
      <c r="AI338" s="68"/>
      <c r="AL338" s="107">
        <f t="shared" ca="1" si="170"/>
        <v>0</v>
      </c>
      <c r="AM338" s="49">
        <f t="shared" ca="1" si="195"/>
        <v>53570</v>
      </c>
      <c r="AN338" s="137" t="str">
        <f t="shared" ca="1" si="171"/>
        <v xml:space="preserve"> </v>
      </c>
      <c r="AO338" s="107">
        <f t="shared" ca="1" si="191"/>
        <v>0</v>
      </c>
      <c r="AP338" s="143">
        <f t="shared" ca="1" si="189"/>
        <v>0</v>
      </c>
      <c r="AQ338" s="143">
        <f t="shared" ca="1" si="172"/>
        <v>0</v>
      </c>
      <c r="AR338" s="49" t="str">
        <f t="shared" ca="1" si="173"/>
        <v xml:space="preserve"> </v>
      </c>
      <c r="AS338" s="107">
        <f t="shared" ca="1" si="174"/>
        <v>0</v>
      </c>
      <c r="AT338" s="107">
        <f t="shared" ca="1" si="190"/>
        <v>0</v>
      </c>
      <c r="AU338" s="107"/>
      <c r="AV338" s="107">
        <f ca="1">MAX(SUM($AQ$6:AQ338)-SUM($AT$6:AT338),0)</f>
        <v>0</v>
      </c>
      <c r="AW338" s="107">
        <f t="shared" ca="1" si="196"/>
        <v>0</v>
      </c>
      <c r="AX338" s="107">
        <v>0</v>
      </c>
      <c r="AY338" s="138" t="str">
        <f t="shared" ca="1" si="175"/>
        <v xml:space="preserve"> </v>
      </c>
      <c r="AZ338" s="107">
        <f t="shared" ca="1" si="176"/>
        <v>0</v>
      </c>
      <c r="BA338" s="107">
        <f ca="1">IF(AZ338=1,(SUM($AW$6:AW338,$AX$6:AX338)-SUM($BA$6:BA337)),0)</f>
        <v>0</v>
      </c>
      <c r="BB338" s="107"/>
      <c r="BC338" s="107">
        <f ca="1">AV338+SUM($AW$6:AW338)+SUM($AX$6:AX338)-SUM($BA$6:BA338)</f>
        <v>0</v>
      </c>
      <c r="BD338" s="107">
        <f t="shared" ca="1" si="177"/>
        <v>0</v>
      </c>
      <c r="BE338" s="51">
        <f ca="1">'PiT PD Structure'!J378</f>
        <v>1.5784439796029393E-4</v>
      </c>
      <c r="BF338" s="139">
        <f t="shared" ca="1" si="197"/>
        <v>0.45</v>
      </c>
      <c r="BG338" s="51">
        <f t="shared" ca="1" si="178"/>
        <v>1</v>
      </c>
      <c r="BH338" s="50">
        <f t="shared" ca="1" si="179"/>
        <v>0</v>
      </c>
      <c r="BI338" s="50">
        <f t="shared" ca="1" si="180"/>
        <v>3.4816594052244909E-13</v>
      </c>
      <c r="BJ338" s="140">
        <v>0</v>
      </c>
      <c r="BK338" s="140">
        <v>0</v>
      </c>
      <c r="BR338" s="75">
        <f t="shared" ca="1" si="198"/>
        <v>53570</v>
      </c>
      <c r="BS338" s="74">
        <f t="shared" ca="1" si="181"/>
        <v>8</v>
      </c>
      <c r="BT338" s="74">
        <f t="shared" ca="1" si="192"/>
        <v>0</v>
      </c>
      <c r="BU338" s="73" t="str">
        <f t="shared" ca="1" si="182"/>
        <v xml:space="preserve"> </v>
      </c>
      <c r="BW338" s="75">
        <f t="shared" ca="1" si="183"/>
        <v>53570</v>
      </c>
      <c r="BX338" s="74">
        <f t="shared" ca="1" si="184"/>
        <v>8</v>
      </c>
      <c r="BY338" s="74">
        <f t="shared" ca="1" si="193"/>
        <v>0</v>
      </c>
      <c r="BZ338" s="73" t="str">
        <f t="shared" ca="1" si="185"/>
        <v xml:space="preserve"> </v>
      </c>
      <c r="CB338" s="75">
        <f t="shared" ca="1" si="199"/>
        <v>53570</v>
      </c>
      <c r="CC338" s="74">
        <f t="shared" ca="1" si="186"/>
        <v>8</v>
      </c>
      <c r="CD338" s="74">
        <f t="shared" ca="1" si="194"/>
        <v>0</v>
      </c>
      <c r="CE338" s="73" t="str">
        <f t="shared" ca="1" si="187"/>
        <v xml:space="preserve"> </v>
      </c>
    </row>
    <row r="339" spans="1:83" x14ac:dyDescent="0.2">
      <c r="A339" s="38" t="str">
        <f t="shared" si="200"/>
        <v xml:space="preserve"> </v>
      </c>
      <c r="B339" s="108"/>
      <c r="C339" s="38"/>
      <c r="D339" s="137"/>
      <c r="E339" s="137"/>
      <c r="F339" s="137"/>
      <c r="G339" s="122"/>
      <c r="H339" s="137"/>
      <c r="I339" s="50"/>
      <c r="J339" s="50"/>
      <c r="K339" s="50"/>
      <c r="L339" s="38"/>
      <c r="M339" s="38"/>
      <c r="N339" s="38"/>
      <c r="O339" s="50"/>
      <c r="P339" s="218"/>
      <c r="Q339" s="50"/>
      <c r="R339" s="50"/>
      <c r="S339" s="38"/>
      <c r="T339" s="51"/>
      <c r="U339" s="65"/>
      <c r="V339" s="105"/>
      <c r="W339" s="66"/>
      <c r="X339" s="66"/>
      <c r="Y339" s="38"/>
      <c r="Z339" s="66">
        <f t="shared" si="188"/>
        <v>0</v>
      </c>
      <c r="AA339" s="67"/>
      <c r="AC339" s="41" t="e">
        <f>VLOOKUP(A339,'Input Sheet'!$A$2:$B$232,2,0)</f>
        <v>#N/A</v>
      </c>
      <c r="AD339" s="70"/>
      <c r="AI339" s="68"/>
      <c r="AL339" s="107">
        <f t="shared" ca="1" si="170"/>
        <v>0</v>
      </c>
      <c r="AM339" s="49">
        <f t="shared" ca="1" si="195"/>
        <v>53600</v>
      </c>
      <c r="AN339" s="137" t="str">
        <f t="shared" ca="1" si="171"/>
        <v xml:space="preserve"> </v>
      </c>
      <c r="AO339" s="107">
        <f t="shared" ca="1" si="191"/>
        <v>0</v>
      </c>
      <c r="AP339" s="143">
        <f t="shared" ca="1" si="189"/>
        <v>0</v>
      </c>
      <c r="AQ339" s="143">
        <f t="shared" ca="1" si="172"/>
        <v>0</v>
      </c>
      <c r="AR339" s="49" t="str">
        <f t="shared" ca="1" si="173"/>
        <v xml:space="preserve"> </v>
      </c>
      <c r="AS339" s="107">
        <f t="shared" ca="1" si="174"/>
        <v>0</v>
      </c>
      <c r="AT339" s="107">
        <f t="shared" ca="1" si="190"/>
        <v>0</v>
      </c>
      <c r="AU339" s="107"/>
      <c r="AV339" s="107">
        <f ca="1">MAX(SUM($AQ$6:AQ339)-SUM($AT$6:AT339),0)</f>
        <v>0</v>
      </c>
      <c r="AW339" s="107">
        <f t="shared" ca="1" si="196"/>
        <v>0</v>
      </c>
      <c r="AX339" s="107">
        <v>0</v>
      </c>
      <c r="AY339" s="138" t="str">
        <f t="shared" ca="1" si="175"/>
        <v xml:space="preserve"> </v>
      </c>
      <c r="AZ339" s="107">
        <f t="shared" ca="1" si="176"/>
        <v>0</v>
      </c>
      <c r="BA339" s="107">
        <f ca="1">IF(AZ339=1,(SUM($AW$6:AW339,$AX$6:AX339)-SUM($BA$6:BA338)),0)</f>
        <v>0</v>
      </c>
      <c r="BB339" s="107"/>
      <c r="BC339" s="107">
        <f ca="1">AV339+SUM($AW$6:AW339)+SUM($AX$6:AX339)-SUM($BA$6:BA339)</f>
        <v>0</v>
      </c>
      <c r="BD339" s="107">
        <f t="shared" ca="1" si="177"/>
        <v>0</v>
      </c>
      <c r="BE339" s="51">
        <f ca="1">'PiT PD Structure'!J379</f>
        <v>1.5781732229247503E-4</v>
      </c>
      <c r="BF339" s="139">
        <f t="shared" ca="1" si="197"/>
        <v>0.45</v>
      </c>
      <c r="BG339" s="51">
        <f t="shared" ca="1" si="178"/>
        <v>1</v>
      </c>
      <c r="BH339" s="50">
        <f t="shared" ca="1" si="179"/>
        <v>0</v>
      </c>
      <c r="BI339" s="50">
        <f t="shared" ca="1" si="180"/>
        <v>3.4816594052244909E-13</v>
      </c>
      <c r="BJ339" s="140">
        <v>0</v>
      </c>
      <c r="BK339" s="140">
        <v>0</v>
      </c>
      <c r="BR339" s="75">
        <f t="shared" ca="1" si="198"/>
        <v>53600</v>
      </c>
      <c r="BS339" s="74">
        <f t="shared" ca="1" si="181"/>
        <v>9</v>
      </c>
      <c r="BT339" s="74">
        <f t="shared" ca="1" si="192"/>
        <v>0</v>
      </c>
      <c r="BU339" s="73" t="str">
        <f t="shared" ca="1" si="182"/>
        <v xml:space="preserve"> </v>
      </c>
      <c r="BW339" s="75">
        <f t="shared" ca="1" si="183"/>
        <v>53600</v>
      </c>
      <c r="BX339" s="74">
        <f t="shared" ca="1" si="184"/>
        <v>9</v>
      </c>
      <c r="BY339" s="74">
        <f t="shared" ca="1" si="193"/>
        <v>0</v>
      </c>
      <c r="BZ339" s="73" t="str">
        <f t="shared" ca="1" si="185"/>
        <v xml:space="preserve"> </v>
      </c>
      <c r="CB339" s="75">
        <f t="shared" ca="1" si="199"/>
        <v>53600</v>
      </c>
      <c r="CC339" s="74">
        <f t="shared" ca="1" si="186"/>
        <v>9</v>
      </c>
      <c r="CD339" s="74">
        <f t="shared" ca="1" si="194"/>
        <v>0</v>
      </c>
      <c r="CE339" s="73" t="str">
        <f t="shared" ca="1" si="187"/>
        <v xml:space="preserve"> </v>
      </c>
    </row>
    <row r="340" spans="1:83" x14ac:dyDescent="0.2">
      <c r="A340" s="38" t="str">
        <f t="shared" si="200"/>
        <v xml:space="preserve"> </v>
      </c>
      <c r="B340" s="108"/>
      <c r="C340" s="38"/>
      <c r="D340" s="137"/>
      <c r="E340" s="137"/>
      <c r="F340" s="137"/>
      <c r="G340" s="122"/>
      <c r="H340" s="137"/>
      <c r="I340" s="50"/>
      <c r="J340" s="50"/>
      <c r="K340" s="50"/>
      <c r="L340" s="38"/>
      <c r="M340" s="38"/>
      <c r="N340" s="38"/>
      <c r="O340" s="50"/>
      <c r="P340" s="218"/>
      <c r="Q340" s="50"/>
      <c r="R340" s="50"/>
      <c r="S340" s="38"/>
      <c r="T340" s="51"/>
      <c r="U340" s="65"/>
      <c r="V340" s="105"/>
      <c r="W340" s="66"/>
      <c r="X340" s="66"/>
      <c r="Y340" s="38"/>
      <c r="Z340" s="66">
        <f t="shared" si="188"/>
        <v>0</v>
      </c>
      <c r="AA340" s="67"/>
      <c r="AC340" s="41" t="e">
        <f>VLOOKUP(A340,'Input Sheet'!$A$2:$B$232,2,0)</f>
        <v>#N/A</v>
      </c>
      <c r="AD340" s="70"/>
      <c r="AI340" s="68"/>
      <c r="AL340" s="107">
        <f t="shared" ca="1" si="170"/>
        <v>0</v>
      </c>
      <c r="AM340" s="49">
        <f t="shared" ca="1" si="195"/>
        <v>53631</v>
      </c>
      <c r="AN340" s="137" t="str">
        <f t="shared" ca="1" si="171"/>
        <v xml:space="preserve"> </v>
      </c>
      <c r="AO340" s="107">
        <f t="shared" ca="1" si="191"/>
        <v>0</v>
      </c>
      <c r="AP340" s="143">
        <f t="shared" ca="1" si="189"/>
        <v>0</v>
      </c>
      <c r="AQ340" s="143">
        <f t="shared" ca="1" si="172"/>
        <v>0</v>
      </c>
      <c r="AR340" s="49" t="str">
        <f t="shared" ca="1" si="173"/>
        <v xml:space="preserve"> </v>
      </c>
      <c r="AS340" s="107">
        <f t="shared" ca="1" si="174"/>
        <v>0</v>
      </c>
      <c r="AT340" s="107">
        <f t="shared" ca="1" si="190"/>
        <v>0</v>
      </c>
      <c r="AU340" s="107"/>
      <c r="AV340" s="107">
        <f ca="1">MAX(SUM($AQ$6:AQ340)-SUM($AT$6:AT340),0)</f>
        <v>0</v>
      </c>
      <c r="AW340" s="107">
        <f t="shared" ca="1" si="196"/>
        <v>0</v>
      </c>
      <c r="AX340" s="107">
        <v>0</v>
      </c>
      <c r="AY340" s="138" t="str">
        <f t="shared" ca="1" si="175"/>
        <v xml:space="preserve"> </v>
      </c>
      <c r="AZ340" s="107">
        <f t="shared" ca="1" si="176"/>
        <v>0</v>
      </c>
      <c r="BA340" s="107">
        <f ca="1">IF(AZ340=1,(SUM($AW$6:AW340,$AX$6:AX340)-SUM($BA$6:BA339)),0)</f>
        <v>0</v>
      </c>
      <c r="BB340" s="107"/>
      <c r="BC340" s="107">
        <f ca="1">AV340+SUM($AW$6:AW340)+SUM($AX$6:AX340)-SUM($BA$6:BA340)</f>
        <v>0</v>
      </c>
      <c r="BD340" s="107">
        <f t="shared" ca="1" si="177"/>
        <v>0</v>
      </c>
      <c r="BE340" s="51">
        <f ca="1">'PiT PD Structure'!J380</f>
        <v>1.5779025126938517E-4</v>
      </c>
      <c r="BF340" s="139">
        <f t="shared" ca="1" si="197"/>
        <v>0.45</v>
      </c>
      <c r="BG340" s="51">
        <f t="shared" ca="1" si="178"/>
        <v>1</v>
      </c>
      <c r="BH340" s="50">
        <f t="shared" ca="1" si="179"/>
        <v>0</v>
      </c>
      <c r="BI340" s="50">
        <f t="shared" ca="1" si="180"/>
        <v>3.4816594052244909E-13</v>
      </c>
      <c r="BJ340" s="140">
        <v>0</v>
      </c>
      <c r="BK340" s="140">
        <v>0</v>
      </c>
      <c r="BR340" s="75">
        <f t="shared" ca="1" si="198"/>
        <v>53631</v>
      </c>
      <c r="BS340" s="74">
        <f t="shared" ca="1" si="181"/>
        <v>10</v>
      </c>
      <c r="BT340" s="74">
        <f t="shared" ca="1" si="192"/>
        <v>0</v>
      </c>
      <c r="BU340" s="73" t="str">
        <f t="shared" ca="1" si="182"/>
        <v xml:space="preserve"> </v>
      </c>
      <c r="BW340" s="75">
        <f t="shared" ca="1" si="183"/>
        <v>53631</v>
      </c>
      <c r="BX340" s="74">
        <f t="shared" ca="1" si="184"/>
        <v>10</v>
      </c>
      <c r="BY340" s="74">
        <f t="shared" ca="1" si="193"/>
        <v>0</v>
      </c>
      <c r="BZ340" s="73" t="str">
        <f t="shared" ca="1" si="185"/>
        <v xml:space="preserve"> </v>
      </c>
      <c r="CB340" s="75">
        <f t="shared" ca="1" si="199"/>
        <v>53631</v>
      </c>
      <c r="CC340" s="74">
        <f t="shared" ca="1" si="186"/>
        <v>10</v>
      </c>
      <c r="CD340" s="74">
        <f t="shared" ca="1" si="194"/>
        <v>0</v>
      </c>
      <c r="CE340" s="73" t="str">
        <f t="shared" ca="1" si="187"/>
        <v xml:space="preserve"> </v>
      </c>
    </row>
    <row r="341" spans="1:83" x14ac:dyDescent="0.2">
      <c r="A341" s="38" t="str">
        <f t="shared" si="200"/>
        <v xml:space="preserve"> </v>
      </c>
      <c r="B341" s="108"/>
      <c r="C341" s="38"/>
      <c r="D341" s="137"/>
      <c r="E341" s="137"/>
      <c r="F341" s="137"/>
      <c r="G341" s="122"/>
      <c r="H341" s="137"/>
      <c r="I341" s="50"/>
      <c r="J341" s="50"/>
      <c r="K341" s="50"/>
      <c r="L341" s="38"/>
      <c r="M341" s="38"/>
      <c r="N341" s="38"/>
      <c r="O341" s="50"/>
      <c r="P341" s="218"/>
      <c r="Q341" s="50"/>
      <c r="R341" s="50"/>
      <c r="S341" s="38"/>
      <c r="T341" s="51"/>
      <c r="U341" s="65"/>
      <c r="V341" s="105"/>
      <c r="W341" s="66"/>
      <c r="X341" s="66"/>
      <c r="Y341" s="38"/>
      <c r="Z341" s="66">
        <f t="shared" si="188"/>
        <v>0</v>
      </c>
      <c r="AA341" s="67"/>
      <c r="AC341" s="41" t="e">
        <f>VLOOKUP(A341,'Input Sheet'!$A$2:$B$232,2,0)</f>
        <v>#N/A</v>
      </c>
      <c r="AD341" s="70"/>
      <c r="AI341" s="68"/>
      <c r="AL341" s="107">
        <f t="shared" ca="1" si="170"/>
        <v>0</v>
      </c>
      <c r="AM341" s="49">
        <f t="shared" ca="1" si="195"/>
        <v>53661</v>
      </c>
      <c r="AN341" s="137" t="str">
        <f t="shared" ca="1" si="171"/>
        <v xml:space="preserve"> </v>
      </c>
      <c r="AO341" s="107">
        <f t="shared" ca="1" si="191"/>
        <v>0</v>
      </c>
      <c r="AP341" s="143">
        <f t="shared" ca="1" si="189"/>
        <v>0</v>
      </c>
      <c r="AQ341" s="143">
        <f t="shared" ca="1" si="172"/>
        <v>0</v>
      </c>
      <c r="AR341" s="49" t="str">
        <f t="shared" ca="1" si="173"/>
        <v xml:space="preserve"> </v>
      </c>
      <c r="AS341" s="107">
        <f t="shared" ca="1" si="174"/>
        <v>0</v>
      </c>
      <c r="AT341" s="107">
        <f t="shared" ca="1" si="190"/>
        <v>0</v>
      </c>
      <c r="AU341" s="107"/>
      <c r="AV341" s="107">
        <f ca="1">MAX(SUM($AQ$6:AQ341)-SUM($AT$6:AT341),0)</f>
        <v>0</v>
      </c>
      <c r="AW341" s="107">
        <f t="shared" ca="1" si="196"/>
        <v>0</v>
      </c>
      <c r="AX341" s="107">
        <v>0</v>
      </c>
      <c r="AY341" s="138" t="str">
        <f t="shared" ca="1" si="175"/>
        <v xml:space="preserve"> </v>
      </c>
      <c r="AZ341" s="107">
        <f t="shared" ca="1" si="176"/>
        <v>0</v>
      </c>
      <c r="BA341" s="107">
        <f ca="1">IF(AZ341=1,(SUM($AW$6:AW341,$AX$6:AX341)-SUM($BA$6:BA340)),0)</f>
        <v>0</v>
      </c>
      <c r="BB341" s="107"/>
      <c r="BC341" s="107">
        <f ca="1">AV341+SUM($AW$6:AW341)+SUM($AX$6:AX341)-SUM($BA$6:BA341)</f>
        <v>0</v>
      </c>
      <c r="BD341" s="107">
        <f t="shared" ca="1" si="177"/>
        <v>0</v>
      </c>
      <c r="BE341" s="51">
        <f ca="1">'PiT PD Structure'!J381</f>
        <v>1.5776318488980312E-4</v>
      </c>
      <c r="BF341" s="139">
        <f t="shared" ca="1" si="197"/>
        <v>0.45</v>
      </c>
      <c r="BG341" s="51">
        <f t="shared" ca="1" si="178"/>
        <v>1</v>
      </c>
      <c r="BH341" s="50">
        <f t="shared" ca="1" si="179"/>
        <v>0</v>
      </c>
      <c r="BI341" s="50">
        <f t="shared" ca="1" si="180"/>
        <v>3.4816594052244909E-13</v>
      </c>
      <c r="BJ341" s="140">
        <v>0</v>
      </c>
      <c r="BK341" s="140">
        <v>0</v>
      </c>
      <c r="BR341" s="75">
        <f t="shared" ca="1" si="198"/>
        <v>53661</v>
      </c>
      <c r="BS341" s="74">
        <f t="shared" ca="1" si="181"/>
        <v>11</v>
      </c>
      <c r="BT341" s="74">
        <f t="shared" ca="1" si="192"/>
        <v>0</v>
      </c>
      <c r="BU341" s="73" t="str">
        <f t="shared" ca="1" si="182"/>
        <v xml:space="preserve"> </v>
      </c>
      <c r="BW341" s="75">
        <f t="shared" ca="1" si="183"/>
        <v>53661</v>
      </c>
      <c r="BX341" s="74">
        <f t="shared" ca="1" si="184"/>
        <v>11</v>
      </c>
      <c r="BY341" s="74">
        <f t="shared" ca="1" si="193"/>
        <v>0</v>
      </c>
      <c r="BZ341" s="73" t="str">
        <f t="shared" ca="1" si="185"/>
        <v xml:space="preserve"> </v>
      </c>
      <c r="CB341" s="75">
        <f t="shared" ca="1" si="199"/>
        <v>53661</v>
      </c>
      <c r="CC341" s="74">
        <f t="shared" ca="1" si="186"/>
        <v>11</v>
      </c>
      <c r="CD341" s="74">
        <f t="shared" ca="1" si="194"/>
        <v>0</v>
      </c>
      <c r="CE341" s="73" t="str">
        <f t="shared" ca="1" si="187"/>
        <v xml:space="preserve"> </v>
      </c>
    </row>
    <row r="342" spans="1:83" x14ac:dyDescent="0.2">
      <c r="A342" s="38" t="str">
        <f t="shared" si="200"/>
        <v xml:space="preserve"> </v>
      </c>
      <c r="B342" s="108"/>
      <c r="C342" s="38"/>
      <c r="D342" s="137"/>
      <c r="E342" s="137"/>
      <c r="F342" s="137"/>
      <c r="G342" s="122"/>
      <c r="H342" s="137"/>
      <c r="I342" s="50"/>
      <c r="J342" s="50"/>
      <c r="K342" s="50"/>
      <c r="L342" s="38"/>
      <c r="M342" s="38"/>
      <c r="N342" s="38"/>
      <c r="O342" s="50"/>
      <c r="P342" s="218"/>
      <c r="Q342" s="50"/>
      <c r="R342" s="50"/>
      <c r="S342" s="38"/>
      <c r="T342" s="51"/>
      <c r="U342" s="65"/>
      <c r="V342" s="105"/>
      <c r="W342" s="66"/>
      <c r="X342" s="66"/>
      <c r="Y342" s="38"/>
      <c r="Z342" s="66">
        <f t="shared" si="188"/>
        <v>0</v>
      </c>
      <c r="AA342" s="67"/>
      <c r="AC342" s="41" t="e">
        <f>VLOOKUP(A342,'Input Sheet'!$A$2:$B$232,2,0)</f>
        <v>#N/A</v>
      </c>
      <c r="AD342" s="70"/>
      <c r="AI342" s="68"/>
      <c r="AL342" s="107">
        <f t="shared" ca="1" si="170"/>
        <v>0</v>
      </c>
      <c r="AM342" s="49">
        <f t="shared" ca="1" si="195"/>
        <v>53692</v>
      </c>
      <c r="AN342" s="137" t="str">
        <f t="shared" ca="1" si="171"/>
        <v xml:space="preserve"> </v>
      </c>
      <c r="AO342" s="107">
        <f t="shared" ca="1" si="191"/>
        <v>0</v>
      </c>
      <c r="AP342" s="143">
        <f t="shared" ca="1" si="189"/>
        <v>0</v>
      </c>
      <c r="AQ342" s="143">
        <f t="shared" ca="1" si="172"/>
        <v>0</v>
      </c>
      <c r="AR342" s="49" t="str">
        <f t="shared" ca="1" si="173"/>
        <v xml:space="preserve"> </v>
      </c>
      <c r="AS342" s="107">
        <f t="shared" ca="1" si="174"/>
        <v>0</v>
      </c>
      <c r="AT342" s="107">
        <f t="shared" ca="1" si="190"/>
        <v>0</v>
      </c>
      <c r="AU342" s="107"/>
      <c r="AV342" s="107">
        <f ca="1">MAX(SUM($AQ$6:AQ342)-SUM($AT$6:AT342),0)</f>
        <v>0</v>
      </c>
      <c r="AW342" s="107">
        <f t="shared" ca="1" si="196"/>
        <v>0</v>
      </c>
      <c r="AX342" s="107">
        <v>0</v>
      </c>
      <c r="AY342" s="138" t="str">
        <f t="shared" ca="1" si="175"/>
        <v xml:space="preserve"> </v>
      </c>
      <c r="AZ342" s="107">
        <f t="shared" ca="1" si="176"/>
        <v>0</v>
      </c>
      <c r="BA342" s="107">
        <f ca="1">IF(AZ342=1,(SUM($AW$6:AW342,$AX$6:AX342)-SUM($BA$6:BA341)),0)</f>
        <v>0</v>
      </c>
      <c r="BB342" s="107"/>
      <c r="BC342" s="107">
        <f ca="1">AV342+SUM($AW$6:AW342)+SUM($AX$6:AX342)-SUM($BA$6:BA342)</f>
        <v>0</v>
      </c>
      <c r="BD342" s="107">
        <f t="shared" ca="1" si="177"/>
        <v>0</v>
      </c>
      <c r="BE342" s="51">
        <f ca="1">'PiT PD Structure'!J382</f>
        <v>3.8875344926933009E-3</v>
      </c>
      <c r="BF342" s="139">
        <f t="shared" ca="1" si="197"/>
        <v>0.45</v>
      </c>
      <c r="BG342" s="51">
        <f t="shared" ca="1" si="178"/>
        <v>1</v>
      </c>
      <c r="BH342" s="50">
        <f t="shared" ca="1" si="179"/>
        <v>0</v>
      </c>
      <c r="BI342" s="50">
        <f t="shared" ca="1" si="180"/>
        <v>3.4816594052244909E-13</v>
      </c>
      <c r="BJ342" s="140">
        <v>0</v>
      </c>
      <c r="BK342" s="140">
        <v>0</v>
      </c>
      <c r="BR342" s="75">
        <f t="shared" ca="1" si="198"/>
        <v>53692</v>
      </c>
      <c r="BS342" s="74">
        <f t="shared" ca="1" si="181"/>
        <v>12</v>
      </c>
      <c r="BT342" s="74">
        <f t="shared" ca="1" si="192"/>
        <v>0</v>
      </c>
      <c r="BU342" s="73" t="str">
        <f t="shared" ca="1" si="182"/>
        <v xml:space="preserve"> </v>
      </c>
      <c r="BW342" s="75">
        <f t="shared" ca="1" si="183"/>
        <v>53692</v>
      </c>
      <c r="BX342" s="74">
        <f t="shared" ca="1" si="184"/>
        <v>12</v>
      </c>
      <c r="BY342" s="74">
        <f t="shared" ca="1" si="193"/>
        <v>0</v>
      </c>
      <c r="BZ342" s="73" t="str">
        <f t="shared" ca="1" si="185"/>
        <v xml:space="preserve"> </v>
      </c>
      <c r="CB342" s="75">
        <f t="shared" ca="1" si="199"/>
        <v>53692</v>
      </c>
      <c r="CC342" s="74">
        <f t="shared" ca="1" si="186"/>
        <v>12</v>
      </c>
      <c r="CD342" s="74">
        <f t="shared" ca="1" si="194"/>
        <v>0</v>
      </c>
      <c r="CE342" s="73" t="str">
        <f t="shared" ca="1" si="187"/>
        <v xml:space="preserve"> </v>
      </c>
    </row>
    <row r="343" spans="1:83" x14ac:dyDescent="0.2">
      <c r="A343" s="38" t="str">
        <f t="shared" si="200"/>
        <v xml:space="preserve"> </v>
      </c>
      <c r="B343" s="108"/>
      <c r="C343" s="38"/>
      <c r="D343" s="137"/>
      <c r="E343" s="137"/>
      <c r="F343" s="137"/>
      <c r="G343" s="122"/>
      <c r="H343" s="137"/>
      <c r="I343" s="50"/>
      <c r="J343" s="50"/>
      <c r="K343" s="50"/>
      <c r="L343" s="38"/>
      <c r="M343" s="38"/>
      <c r="N343" s="38"/>
      <c r="O343" s="50"/>
      <c r="P343" s="218"/>
      <c r="Q343" s="50"/>
      <c r="R343" s="50"/>
      <c r="S343" s="38"/>
      <c r="T343" s="51"/>
      <c r="U343" s="65"/>
      <c r="V343" s="105"/>
      <c r="W343" s="66"/>
      <c r="X343" s="66"/>
      <c r="Y343" s="38"/>
      <c r="Z343" s="66">
        <f t="shared" si="188"/>
        <v>0</v>
      </c>
      <c r="AA343" s="67"/>
      <c r="AC343" s="41" t="e">
        <f>VLOOKUP(A343,'Input Sheet'!$A$2:$B$232,2,0)</f>
        <v>#N/A</v>
      </c>
      <c r="AD343" s="70"/>
      <c r="AI343" s="68"/>
      <c r="AL343" s="107">
        <f t="shared" ca="1" si="170"/>
        <v>0</v>
      </c>
      <c r="AM343" s="49">
        <f t="shared" ca="1" si="195"/>
        <v>53723</v>
      </c>
      <c r="AN343" s="137" t="str">
        <f t="shared" ca="1" si="171"/>
        <v xml:space="preserve"> </v>
      </c>
      <c r="AO343" s="107">
        <f t="shared" ca="1" si="191"/>
        <v>0</v>
      </c>
      <c r="AP343" s="143">
        <f t="shared" ca="1" si="189"/>
        <v>0</v>
      </c>
      <c r="AQ343" s="143">
        <f t="shared" ca="1" si="172"/>
        <v>0</v>
      </c>
      <c r="AR343" s="49" t="str">
        <f t="shared" ca="1" si="173"/>
        <v xml:space="preserve"> </v>
      </c>
      <c r="AS343" s="107">
        <f t="shared" ca="1" si="174"/>
        <v>0</v>
      </c>
      <c r="AT343" s="107">
        <f t="shared" ca="1" si="190"/>
        <v>0</v>
      </c>
      <c r="AU343" s="107"/>
      <c r="AV343" s="107">
        <f ca="1">MAX(SUM($AQ$6:AQ343)-SUM($AT$6:AT343),0)</f>
        <v>0</v>
      </c>
      <c r="AW343" s="107">
        <f t="shared" ca="1" si="196"/>
        <v>0</v>
      </c>
      <c r="AX343" s="107">
        <v>0</v>
      </c>
      <c r="AY343" s="138" t="str">
        <f t="shared" ca="1" si="175"/>
        <v xml:space="preserve"> </v>
      </c>
      <c r="AZ343" s="107">
        <f t="shared" ca="1" si="176"/>
        <v>0</v>
      </c>
      <c r="BA343" s="107">
        <f ca="1">IF(AZ343=1,(SUM($AW$6:AW343,$AX$6:AX343)-SUM($BA$6:BA342)),0)</f>
        <v>0</v>
      </c>
      <c r="BB343" s="107"/>
      <c r="BC343" s="107">
        <f ca="1">AV343+SUM($AW$6:AW343)+SUM($AX$6:AX343)-SUM($BA$6:BA343)</f>
        <v>0</v>
      </c>
      <c r="BD343" s="107">
        <f t="shared" ca="1" si="177"/>
        <v>0</v>
      </c>
      <c r="BE343" s="51">
        <f ca="1">'PiT PD Structure'!J383</f>
        <v>1.6272130633609994E-4</v>
      </c>
      <c r="BF343" s="139">
        <f t="shared" ca="1" si="197"/>
        <v>0.45</v>
      </c>
      <c r="BG343" s="51">
        <f t="shared" ca="1" si="178"/>
        <v>1</v>
      </c>
      <c r="BH343" s="50">
        <f t="shared" ca="1" si="179"/>
        <v>0</v>
      </c>
      <c r="BI343" s="50">
        <f t="shared" ca="1" si="180"/>
        <v>3.4816594052244909E-13</v>
      </c>
      <c r="BJ343" s="140">
        <v>0</v>
      </c>
      <c r="BK343" s="140">
        <v>0</v>
      </c>
      <c r="BR343" s="75">
        <f t="shared" ca="1" si="198"/>
        <v>53723</v>
      </c>
      <c r="BS343" s="74">
        <f t="shared" ca="1" si="181"/>
        <v>1</v>
      </c>
      <c r="BT343" s="74">
        <f t="shared" ca="1" si="192"/>
        <v>0</v>
      </c>
      <c r="BU343" s="73" t="str">
        <f t="shared" ca="1" si="182"/>
        <v xml:space="preserve"> </v>
      </c>
      <c r="BW343" s="75">
        <f t="shared" ca="1" si="183"/>
        <v>53723</v>
      </c>
      <c r="BX343" s="74">
        <f t="shared" ca="1" si="184"/>
        <v>1</v>
      </c>
      <c r="BY343" s="74">
        <f t="shared" ca="1" si="193"/>
        <v>0</v>
      </c>
      <c r="BZ343" s="73" t="str">
        <f t="shared" ca="1" si="185"/>
        <v xml:space="preserve"> </v>
      </c>
      <c r="CB343" s="75">
        <f t="shared" ca="1" si="199"/>
        <v>53723</v>
      </c>
      <c r="CC343" s="74">
        <f t="shared" ca="1" si="186"/>
        <v>1</v>
      </c>
      <c r="CD343" s="74">
        <f t="shared" ca="1" si="194"/>
        <v>0</v>
      </c>
      <c r="CE343" s="73" t="str">
        <f t="shared" ca="1" si="187"/>
        <v xml:space="preserve"> </v>
      </c>
    </row>
    <row r="344" spans="1:83" x14ac:dyDescent="0.2">
      <c r="A344" s="38" t="str">
        <f t="shared" si="200"/>
        <v xml:space="preserve"> </v>
      </c>
      <c r="B344" s="108"/>
      <c r="C344" s="38"/>
      <c r="D344" s="137"/>
      <c r="E344" s="137"/>
      <c r="F344" s="137"/>
      <c r="G344" s="122"/>
      <c r="H344" s="137"/>
      <c r="I344" s="50"/>
      <c r="J344" s="50"/>
      <c r="K344" s="50"/>
      <c r="L344" s="38"/>
      <c r="M344" s="38"/>
      <c r="N344" s="38"/>
      <c r="O344" s="50"/>
      <c r="P344" s="218"/>
      <c r="Q344" s="50"/>
      <c r="R344" s="50"/>
      <c r="S344" s="38"/>
      <c r="T344" s="51"/>
      <c r="U344" s="65"/>
      <c r="V344" s="105"/>
      <c r="W344" s="66"/>
      <c r="X344" s="66"/>
      <c r="Y344" s="38"/>
      <c r="Z344" s="66">
        <f t="shared" si="188"/>
        <v>0</v>
      </c>
      <c r="AA344" s="67"/>
      <c r="AC344" s="41" t="e">
        <f>VLOOKUP(A344,'Input Sheet'!$A$2:$B$232,2,0)</f>
        <v>#N/A</v>
      </c>
      <c r="AD344" s="70"/>
      <c r="AI344" s="68"/>
      <c r="AL344" s="107">
        <f t="shared" ca="1" si="170"/>
        <v>0</v>
      </c>
      <c r="AM344" s="49">
        <f t="shared" ca="1" si="195"/>
        <v>53751</v>
      </c>
      <c r="AN344" s="137" t="str">
        <f t="shared" ca="1" si="171"/>
        <v xml:space="preserve"> </v>
      </c>
      <c r="AO344" s="107">
        <f t="shared" ca="1" si="191"/>
        <v>0</v>
      </c>
      <c r="AP344" s="143">
        <f t="shared" ca="1" si="189"/>
        <v>0</v>
      </c>
      <c r="AQ344" s="143">
        <f t="shared" ca="1" si="172"/>
        <v>0</v>
      </c>
      <c r="AR344" s="49" t="str">
        <f t="shared" ca="1" si="173"/>
        <v xml:space="preserve"> </v>
      </c>
      <c r="AS344" s="107">
        <f t="shared" ca="1" si="174"/>
        <v>0</v>
      </c>
      <c r="AT344" s="107">
        <f t="shared" ca="1" si="190"/>
        <v>0</v>
      </c>
      <c r="AU344" s="107"/>
      <c r="AV344" s="107">
        <f ca="1">MAX(SUM($AQ$6:AQ344)-SUM($AT$6:AT344),0)</f>
        <v>0</v>
      </c>
      <c r="AW344" s="107">
        <f t="shared" ca="1" si="196"/>
        <v>0</v>
      </c>
      <c r="AX344" s="107">
        <v>0</v>
      </c>
      <c r="AY344" s="138" t="str">
        <f t="shared" ca="1" si="175"/>
        <v xml:space="preserve"> </v>
      </c>
      <c r="AZ344" s="107">
        <f t="shared" ca="1" si="176"/>
        <v>0</v>
      </c>
      <c r="BA344" s="107">
        <f ca="1">IF(AZ344=1,(SUM($AW$6:AW344,$AX$6:AX344)-SUM($BA$6:BA343)),0)</f>
        <v>0</v>
      </c>
      <c r="BB344" s="107"/>
      <c r="BC344" s="107">
        <f ca="1">AV344+SUM($AW$6:AW344)+SUM($AX$6:AX344)-SUM($BA$6:BA344)</f>
        <v>0</v>
      </c>
      <c r="BD344" s="107">
        <f t="shared" ca="1" si="177"/>
        <v>0</v>
      </c>
      <c r="BE344" s="51">
        <f ca="1">'PiT PD Structure'!J384</f>
        <v>1.6269238971144961E-4</v>
      </c>
      <c r="BF344" s="139">
        <f t="shared" ca="1" si="197"/>
        <v>0.45</v>
      </c>
      <c r="BG344" s="51">
        <f t="shared" ca="1" si="178"/>
        <v>1</v>
      </c>
      <c r="BH344" s="50">
        <f t="shared" ca="1" si="179"/>
        <v>0</v>
      </c>
      <c r="BI344" s="50">
        <f t="shared" ca="1" si="180"/>
        <v>3.4816594052244909E-13</v>
      </c>
      <c r="BJ344" s="140">
        <v>0</v>
      </c>
      <c r="BK344" s="140">
        <v>0</v>
      </c>
      <c r="BR344" s="75">
        <f t="shared" ca="1" si="198"/>
        <v>53751</v>
      </c>
      <c r="BS344" s="74">
        <f t="shared" ca="1" si="181"/>
        <v>2</v>
      </c>
      <c r="BT344" s="74">
        <f t="shared" ca="1" si="192"/>
        <v>0</v>
      </c>
      <c r="BU344" s="73" t="str">
        <f t="shared" ca="1" si="182"/>
        <v xml:space="preserve"> </v>
      </c>
      <c r="BW344" s="75">
        <f t="shared" ca="1" si="183"/>
        <v>53751</v>
      </c>
      <c r="BX344" s="74">
        <f t="shared" ca="1" si="184"/>
        <v>2</v>
      </c>
      <c r="BY344" s="74">
        <f t="shared" ca="1" si="193"/>
        <v>0</v>
      </c>
      <c r="BZ344" s="73" t="str">
        <f t="shared" ca="1" si="185"/>
        <v xml:space="preserve"> </v>
      </c>
      <c r="CB344" s="75">
        <f t="shared" ca="1" si="199"/>
        <v>53751</v>
      </c>
      <c r="CC344" s="74">
        <f t="shared" ca="1" si="186"/>
        <v>2</v>
      </c>
      <c r="CD344" s="74">
        <f t="shared" ca="1" si="194"/>
        <v>0</v>
      </c>
      <c r="CE344" s="73" t="str">
        <f t="shared" ca="1" si="187"/>
        <v xml:space="preserve"> </v>
      </c>
    </row>
    <row r="345" spans="1:83" x14ac:dyDescent="0.2">
      <c r="A345" s="38" t="str">
        <f t="shared" si="200"/>
        <v xml:space="preserve"> </v>
      </c>
      <c r="B345" s="108"/>
      <c r="C345" s="38"/>
      <c r="D345" s="137"/>
      <c r="E345" s="137"/>
      <c r="F345" s="137"/>
      <c r="G345" s="122"/>
      <c r="H345" s="137"/>
      <c r="I345" s="50"/>
      <c r="J345" s="50"/>
      <c r="K345" s="50"/>
      <c r="L345" s="38"/>
      <c r="M345" s="38"/>
      <c r="N345" s="38"/>
      <c r="O345" s="50"/>
      <c r="P345" s="218"/>
      <c r="Q345" s="50"/>
      <c r="R345" s="50"/>
      <c r="S345" s="38"/>
      <c r="T345" s="51"/>
      <c r="U345" s="65"/>
      <c r="V345" s="105"/>
      <c r="W345" s="66"/>
      <c r="X345" s="66"/>
      <c r="Y345" s="38"/>
      <c r="Z345" s="66">
        <f t="shared" si="188"/>
        <v>0</v>
      </c>
      <c r="AA345" s="67"/>
      <c r="AC345" s="41" t="e">
        <f>VLOOKUP(A345,'Input Sheet'!$A$2:$B$232,2,0)</f>
        <v>#N/A</v>
      </c>
      <c r="AD345" s="70"/>
      <c r="AI345" s="68"/>
      <c r="AL345" s="107">
        <f t="shared" ca="1" si="170"/>
        <v>0</v>
      </c>
      <c r="AM345" s="49">
        <f t="shared" ca="1" si="195"/>
        <v>53782</v>
      </c>
      <c r="AN345" s="137" t="str">
        <f t="shared" ca="1" si="171"/>
        <v xml:space="preserve"> </v>
      </c>
      <c r="AO345" s="107">
        <f t="shared" ca="1" si="191"/>
        <v>0</v>
      </c>
      <c r="AP345" s="143">
        <f t="shared" ca="1" si="189"/>
        <v>0</v>
      </c>
      <c r="AQ345" s="143">
        <f t="shared" ca="1" si="172"/>
        <v>0</v>
      </c>
      <c r="AR345" s="49" t="str">
        <f t="shared" ca="1" si="173"/>
        <v xml:space="preserve"> </v>
      </c>
      <c r="AS345" s="107">
        <f t="shared" ca="1" si="174"/>
        <v>0</v>
      </c>
      <c r="AT345" s="107">
        <f t="shared" ca="1" si="190"/>
        <v>0</v>
      </c>
      <c r="AU345" s="107"/>
      <c r="AV345" s="107">
        <f ca="1">MAX(SUM($AQ$6:AQ345)-SUM($AT$6:AT345),0)</f>
        <v>0</v>
      </c>
      <c r="AW345" s="107">
        <f t="shared" ca="1" si="196"/>
        <v>0</v>
      </c>
      <c r="AX345" s="107">
        <v>0</v>
      </c>
      <c r="AY345" s="138" t="str">
        <f t="shared" ca="1" si="175"/>
        <v xml:space="preserve"> </v>
      </c>
      <c r="AZ345" s="107">
        <f t="shared" ca="1" si="176"/>
        <v>0</v>
      </c>
      <c r="BA345" s="107">
        <f ca="1">IF(AZ345=1,(SUM($AW$6:AW345,$AX$6:AX345)-SUM($BA$6:BA344)),0)</f>
        <v>0</v>
      </c>
      <c r="BB345" s="107"/>
      <c r="BC345" s="107">
        <f ca="1">AV345+SUM($AW$6:AW345)+SUM($AX$6:AX345)-SUM($BA$6:BA345)</f>
        <v>0</v>
      </c>
      <c r="BD345" s="107">
        <f t="shared" ca="1" si="177"/>
        <v>0</v>
      </c>
      <c r="BE345" s="51">
        <f ca="1">'PiT PD Structure'!J385</f>
        <v>1.6266347822568861E-4</v>
      </c>
      <c r="BF345" s="139">
        <f t="shared" ca="1" si="197"/>
        <v>0.45</v>
      </c>
      <c r="BG345" s="51">
        <f t="shared" ca="1" si="178"/>
        <v>1</v>
      </c>
      <c r="BH345" s="50">
        <f t="shared" ca="1" si="179"/>
        <v>0</v>
      </c>
      <c r="BI345" s="50">
        <f t="shared" ca="1" si="180"/>
        <v>3.4816594052244909E-13</v>
      </c>
      <c r="BJ345" s="140">
        <v>0</v>
      </c>
      <c r="BK345" s="140">
        <v>0</v>
      </c>
      <c r="BR345" s="75">
        <f t="shared" ca="1" si="198"/>
        <v>53782</v>
      </c>
      <c r="BS345" s="74">
        <f t="shared" ca="1" si="181"/>
        <v>3</v>
      </c>
      <c r="BT345" s="74">
        <f t="shared" ca="1" si="192"/>
        <v>0</v>
      </c>
      <c r="BU345" s="73" t="str">
        <f t="shared" ca="1" si="182"/>
        <v xml:space="preserve"> </v>
      </c>
      <c r="BW345" s="75">
        <f t="shared" ca="1" si="183"/>
        <v>53782</v>
      </c>
      <c r="BX345" s="74">
        <f t="shared" ca="1" si="184"/>
        <v>3</v>
      </c>
      <c r="BY345" s="74">
        <f t="shared" ca="1" si="193"/>
        <v>0</v>
      </c>
      <c r="BZ345" s="73" t="str">
        <f t="shared" ca="1" si="185"/>
        <v xml:space="preserve"> </v>
      </c>
      <c r="CB345" s="75">
        <f t="shared" ca="1" si="199"/>
        <v>53782</v>
      </c>
      <c r="CC345" s="74">
        <f t="shared" ca="1" si="186"/>
        <v>3</v>
      </c>
      <c r="CD345" s="74">
        <f t="shared" ca="1" si="194"/>
        <v>0</v>
      </c>
      <c r="CE345" s="73" t="str">
        <f t="shared" ca="1" si="187"/>
        <v xml:space="preserve"> </v>
      </c>
    </row>
    <row r="346" spans="1:83" x14ac:dyDescent="0.2">
      <c r="A346" s="38" t="str">
        <f t="shared" si="200"/>
        <v xml:space="preserve"> </v>
      </c>
      <c r="B346" s="108"/>
      <c r="C346" s="38"/>
      <c r="D346" s="137"/>
      <c r="E346" s="137"/>
      <c r="F346" s="137"/>
      <c r="G346" s="122"/>
      <c r="H346" s="137"/>
      <c r="I346" s="50"/>
      <c r="J346" s="50"/>
      <c r="K346" s="50"/>
      <c r="L346" s="38"/>
      <c r="M346" s="38"/>
      <c r="N346" s="38"/>
      <c r="O346" s="50"/>
      <c r="P346" s="218"/>
      <c r="Q346" s="50"/>
      <c r="R346" s="50"/>
      <c r="S346" s="38"/>
      <c r="T346" s="51"/>
      <c r="U346" s="65"/>
      <c r="V346" s="105"/>
      <c r="W346" s="66"/>
      <c r="X346" s="66"/>
      <c r="Y346" s="38"/>
      <c r="Z346" s="66">
        <f t="shared" si="188"/>
        <v>0</v>
      </c>
      <c r="AA346" s="67"/>
      <c r="AC346" s="41" t="e">
        <f>VLOOKUP(A346,'Input Sheet'!$A$2:$B$232,2,0)</f>
        <v>#N/A</v>
      </c>
      <c r="AD346" s="70"/>
      <c r="AI346" s="68"/>
      <c r="AL346" s="107">
        <f t="shared" ca="1" si="170"/>
        <v>0</v>
      </c>
      <c r="AM346" s="49">
        <f t="shared" ca="1" si="195"/>
        <v>53812</v>
      </c>
      <c r="AN346" s="137" t="str">
        <f t="shared" ca="1" si="171"/>
        <v xml:space="preserve"> </v>
      </c>
      <c r="AO346" s="107">
        <f t="shared" ca="1" si="191"/>
        <v>0</v>
      </c>
      <c r="AP346" s="143">
        <f t="shared" ca="1" si="189"/>
        <v>0</v>
      </c>
      <c r="AQ346" s="143">
        <f t="shared" ca="1" si="172"/>
        <v>0</v>
      </c>
      <c r="AR346" s="49" t="str">
        <f t="shared" ca="1" si="173"/>
        <v xml:space="preserve"> </v>
      </c>
      <c r="AS346" s="107">
        <f t="shared" ca="1" si="174"/>
        <v>0</v>
      </c>
      <c r="AT346" s="107">
        <f t="shared" ca="1" si="190"/>
        <v>0</v>
      </c>
      <c r="AU346" s="107"/>
      <c r="AV346" s="107">
        <f ca="1">MAX(SUM($AQ$6:AQ346)-SUM($AT$6:AT346),0)</f>
        <v>0</v>
      </c>
      <c r="AW346" s="107">
        <f t="shared" ca="1" si="196"/>
        <v>0</v>
      </c>
      <c r="AX346" s="107">
        <v>0</v>
      </c>
      <c r="AY346" s="138" t="str">
        <f t="shared" ca="1" si="175"/>
        <v xml:space="preserve"> </v>
      </c>
      <c r="AZ346" s="107">
        <f t="shared" ca="1" si="176"/>
        <v>0</v>
      </c>
      <c r="BA346" s="107">
        <f ca="1">IF(AZ346=1,(SUM($AW$6:AW346,$AX$6:AX346)-SUM($BA$6:BA345)),0)</f>
        <v>0</v>
      </c>
      <c r="BB346" s="107"/>
      <c r="BC346" s="107">
        <f ca="1">AV346+SUM($AW$6:AW346)+SUM($AX$6:AX346)-SUM($BA$6:BA346)</f>
        <v>0</v>
      </c>
      <c r="BD346" s="107">
        <f t="shared" ca="1" si="177"/>
        <v>0</v>
      </c>
      <c r="BE346" s="51">
        <f ca="1">'PiT PD Structure'!J386</f>
        <v>1.6263457187770669E-4</v>
      </c>
      <c r="BF346" s="139">
        <f t="shared" ca="1" si="197"/>
        <v>0.45</v>
      </c>
      <c r="BG346" s="51">
        <f t="shared" ca="1" si="178"/>
        <v>1</v>
      </c>
      <c r="BH346" s="50">
        <f t="shared" ca="1" si="179"/>
        <v>0</v>
      </c>
      <c r="BI346" s="50">
        <f t="shared" ca="1" si="180"/>
        <v>3.4816594052244909E-13</v>
      </c>
      <c r="BJ346" s="140">
        <v>0</v>
      </c>
      <c r="BK346" s="140">
        <v>0</v>
      </c>
      <c r="BR346" s="75">
        <f t="shared" ca="1" si="198"/>
        <v>53812</v>
      </c>
      <c r="BS346" s="74">
        <f t="shared" ca="1" si="181"/>
        <v>4</v>
      </c>
      <c r="BT346" s="74">
        <f t="shared" ca="1" si="192"/>
        <v>0</v>
      </c>
      <c r="BU346" s="73" t="str">
        <f t="shared" ca="1" si="182"/>
        <v xml:space="preserve"> </v>
      </c>
      <c r="BW346" s="75">
        <f t="shared" ca="1" si="183"/>
        <v>53812</v>
      </c>
      <c r="BX346" s="74">
        <f t="shared" ca="1" si="184"/>
        <v>4</v>
      </c>
      <c r="BY346" s="74">
        <f t="shared" ca="1" si="193"/>
        <v>0</v>
      </c>
      <c r="BZ346" s="73" t="str">
        <f t="shared" ca="1" si="185"/>
        <v xml:space="preserve"> </v>
      </c>
      <c r="CB346" s="75">
        <f t="shared" ca="1" si="199"/>
        <v>53812</v>
      </c>
      <c r="CC346" s="74">
        <f t="shared" ca="1" si="186"/>
        <v>4</v>
      </c>
      <c r="CD346" s="74">
        <f t="shared" ca="1" si="194"/>
        <v>0</v>
      </c>
      <c r="CE346" s="73" t="str">
        <f t="shared" ca="1" si="187"/>
        <v xml:space="preserve"> </v>
      </c>
    </row>
    <row r="347" spans="1:83" x14ac:dyDescent="0.2">
      <c r="A347" s="38" t="str">
        <f t="shared" si="200"/>
        <v xml:space="preserve"> </v>
      </c>
      <c r="B347" s="108"/>
      <c r="C347" s="38"/>
      <c r="D347" s="137"/>
      <c r="E347" s="137"/>
      <c r="F347" s="137"/>
      <c r="G347" s="122"/>
      <c r="H347" s="137"/>
      <c r="I347" s="50"/>
      <c r="J347" s="50"/>
      <c r="K347" s="50"/>
      <c r="L347" s="38"/>
      <c r="M347" s="38"/>
      <c r="N347" s="38"/>
      <c r="O347" s="50"/>
      <c r="P347" s="218"/>
      <c r="Q347" s="50"/>
      <c r="R347" s="50"/>
      <c r="S347" s="38"/>
      <c r="T347" s="51"/>
      <c r="U347" s="65"/>
      <c r="V347" s="105"/>
      <c r="W347" s="66"/>
      <c r="X347" s="66"/>
      <c r="Y347" s="38"/>
      <c r="Z347" s="66">
        <f t="shared" si="188"/>
        <v>0</v>
      </c>
      <c r="AA347" s="67"/>
      <c r="AC347" s="41" t="e">
        <f>VLOOKUP(A347,'Input Sheet'!$A$2:$B$232,2,0)</f>
        <v>#N/A</v>
      </c>
      <c r="AD347" s="70"/>
      <c r="AI347" s="68"/>
      <c r="AL347" s="107">
        <f t="shared" ca="1" si="170"/>
        <v>0</v>
      </c>
      <c r="AM347" s="49">
        <f t="shared" ca="1" si="195"/>
        <v>53843</v>
      </c>
      <c r="AN347" s="137" t="str">
        <f t="shared" ca="1" si="171"/>
        <v xml:space="preserve"> </v>
      </c>
      <c r="AO347" s="107">
        <f t="shared" ca="1" si="191"/>
        <v>0</v>
      </c>
      <c r="AP347" s="143">
        <f t="shared" ca="1" si="189"/>
        <v>0</v>
      </c>
      <c r="AQ347" s="143">
        <f t="shared" ca="1" si="172"/>
        <v>0</v>
      </c>
      <c r="AR347" s="49" t="str">
        <f t="shared" ca="1" si="173"/>
        <v xml:space="preserve"> </v>
      </c>
      <c r="AS347" s="107">
        <f t="shared" ca="1" si="174"/>
        <v>0</v>
      </c>
      <c r="AT347" s="107">
        <f t="shared" ca="1" si="190"/>
        <v>0</v>
      </c>
      <c r="AU347" s="107"/>
      <c r="AV347" s="107">
        <f ca="1">MAX(SUM($AQ$6:AQ347)-SUM($AT$6:AT347),0)</f>
        <v>0</v>
      </c>
      <c r="AW347" s="107">
        <f t="shared" ca="1" si="196"/>
        <v>0</v>
      </c>
      <c r="AX347" s="107">
        <v>0</v>
      </c>
      <c r="AY347" s="138" t="str">
        <f t="shared" ca="1" si="175"/>
        <v xml:space="preserve"> </v>
      </c>
      <c r="AZ347" s="107">
        <f t="shared" ca="1" si="176"/>
        <v>0</v>
      </c>
      <c r="BA347" s="107">
        <f ca="1">IF(AZ347=1,(SUM($AW$6:AW347,$AX$6:AX347)-SUM($BA$6:BA346)),0)</f>
        <v>0</v>
      </c>
      <c r="BB347" s="107"/>
      <c r="BC347" s="107">
        <f ca="1">AV347+SUM($AW$6:AW347)+SUM($AX$6:AX347)-SUM($BA$6:BA347)</f>
        <v>0</v>
      </c>
      <c r="BD347" s="107">
        <f t="shared" ca="1" si="177"/>
        <v>0</v>
      </c>
      <c r="BE347" s="51">
        <f ca="1">'PiT PD Structure'!J387</f>
        <v>1.6260567066650466E-4</v>
      </c>
      <c r="BF347" s="139">
        <f t="shared" ca="1" si="197"/>
        <v>0.45</v>
      </c>
      <c r="BG347" s="51">
        <f t="shared" ca="1" si="178"/>
        <v>1</v>
      </c>
      <c r="BH347" s="50">
        <f t="shared" ca="1" si="179"/>
        <v>0</v>
      </c>
      <c r="BI347" s="50">
        <f t="shared" ca="1" si="180"/>
        <v>3.4816594052244909E-13</v>
      </c>
      <c r="BJ347" s="140">
        <v>0</v>
      </c>
      <c r="BK347" s="140">
        <v>0</v>
      </c>
      <c r="BR347" s="75">
        <f t="shared" ca="1" si="198"/>
        <v>53843</v>
      </c>
      <c r="BS347" s="74">
        <f t="shared" ca="1" si="181"/>
        <v>5</v>
      </c>
      <c r="BT347" s="74">
        <f t="shared" ca="1" si="192"/>
        <v>0</v>
      </c>
      <c r="BU347" s="73" t="str">
        <f t="shared" ca="1" si="182"/>
        <v xml:space="preserve"> </v>
      </c>
      <c r="BW347" s="75">
        <f t="shared" ca="1" si="183"/>
        <v>53843</v>
      </c>
      <c r="BX347" s="74">
        <f t="shared" ca="1" si="184"/>
        <v>5</v>
      </c>
      <c r="BY347" s="74">
        <f t="shared" ca="1" si="193"/>
        <v>0</v>
      </c>
      <c r="BZ347" s="73" t="str">
        <f t="shared" ca="1" si="185"/>
        <v xml:space="preserve"> </v>
      </c>
      <c r="CB347" s="75">
        <f t="shared" ca="1" si="199"/>
        <v>53843</v>
      </c>
      <c r="CC347" s="74">
        <f t="shared" ca="1" si="186"/>
        <v>5</v>
      </c>
      <c r="CD347" s="74">
        <f t="shared" ca="1" si="194"/>
        <v>0</v>
      </c>
      <c r="CE347" s="73" t="str">
        <f t="shared" ca="1" si="187"/>
        <v xml:space="preserve"> </v>
      </c>
    </row>
    <row r="348" spans="1:83" x14ac:dyDescent="0.2">
      <c r="A348" s="38" t="str">
        <f t="shared" si="200"/>
        <v xml:space="preserve"> </v>
      </c>
      <c r="B348" s="108"/>
      <c r="C348" s="38"/>
      <c r="D348" s="137"/>
      <c r="E348" s="137"/>
      <c r="F348" s="137"/>
      <c r="G348" s="122"/>
      <c r="H348" s="137"/>
      <c r="I348" s="50"/>
      <c r="J348" s="50"/>
      <c r="K348" s="50"/>
      <c r="L348" s="38"/>
      <c r="M348" s="38"/>
      <c r="N348" s="38"/>
      <c r="O348" s="50"/>
      <c r="P348" s="218"/>
      <c r="Q348" s="50"/>
      <c r="R348" s="50"/>
      <c r="S348" s="38"/>
      <c r="T348" s="51"/>
      <c r="U348" s="65"/>
      <c r="V348" s="105"/>
      <c r="W348" s="66"/>
      <c r="X348" s="66"/>
      <c r="Y348" s="38"/>
      <c r="Z348" s="66">
        <f t="shared" si="188"/>
        <v>0</v>
      </c>
      <c r="AA348" s="67"/>
      <c r="AC348" s="41" t="e">
        <f>VLOOKUP(A348,'Input Sheet'!$A$2:$B$232,2,0)</f>
        <v>#N/A</v>
      </c>
      <c r="AD348" s="70"/>
      <c r="AI348" s="68"/>
      <c r="AL348" s="107">
        <f t="shared" ca="1" si="170"/>
        <v>0</v>
      </c>
      <c r="AM348" s="49">
        <f t="shared" ca="1" si="195"/>
        <v>53873</v>
      </c>
      <c r="AN348" s="137" t="str">
        <f t="shared" ca="1" si="171"/>
        <v xml:space="preserve"> </v>
      </c>
      <c r="AO348" s="107">
        <f t="shared" ca="1" si="191"/>
        <v>0</v>
      </c>
      <c r="AP348" s="143">
        <f t="shared" ca="1" si="189"/>
        <v>0</v>
      </c>
      <c r="AQ348" s="143">
        <f t="shared" ca="1" si="172"/>
        <v>0</v>
      </c>
      <c r="AR348" s="49" t="str">
        <f t="shared" ca="1" si="173"/>
        <v xml:space="preserve"> </v>
      </c>
      <c r="AS348" s="107">
        <f t="shared" ca="1" si="174"/>
        <v>0</v>
      </c>
      <c r="AT348" s="107">
        <f t="shared" ca="1" si="190"/>
        <v>0</v>
      </c>
      <c r="AU348" s="107"/>
      <c r="AV348" s="107">
        <f ca="1">MAX(SUM($AQ$6:AQ348)-SUM($AT$6:AT348),0)</f>
        <v>0</v>
      </c>
      <c r="AW348" s="107">
        <f t="shared" ca="1" si="196"/>
        <v>0</v>
      </c>
      <c r="AX348" s="107">
        <v>0</v>
      </c>
      <c r="AY348" s="138" t="str">
        <f t="shared" ca="1" si="175"/>
        <v xml:space="preserve"> </v>
      </c>
      <c r="AZ348" s="107">
        <f t="shared" ca="1" si="176"/>
        <v>0</v>
      </c>
      <c r="BA348" s="107">
        <f ca="1">IF(AZ348=1,(SUM($AW$6:AW348,$AX$6:AX348)-SUM($BA$6:BA347)),0)</f>
        <v>0</v>
      </c>
      <c r="BB348" s="107"/>
      <c r="BC348" s="107">
        <f ca="1">AV348+SUM($AW$6:AW348)+SUM($AX$6:AX348)-SUM($BA$6:BA348)</f>
        <v>0</v>
      </c>
      <c r="BD348" s="107">
        <f t="shared" ca="1" si="177"/>
        <v>0</v>
      </c>
      <c r="BE348" s="51">
        <f ca="1">'PiT PD Structure'!J388</f>
        <v>1.6257677459119435E-4</v>
      </c>
      <c r="BF348" s="139">
        <f t="shared" ca="1" si="197"/>
        <v>0.45</v>
      </c>
      <c r="BG348" s="51">
        <f t="shared" ca="1" si="178"/>
        <v>1</v>
      </c>
      <c r="BH348" s="50">
        <f t="shared" ca="1" si="179"/>
        <v>0</v>
      </c>
      <c r="BI348" s="50">
        <f t="shared" ca="1" si="180"/>
        <v>3.4816594052244909E-13</v>
      </c>
      <c r="BJ348" s="140">
        <v>0</v>
      </c>
      <c r="BK348" s="140">
        <v>0</v>
      </c>
      <c r="BR348" s="75">
        <f t="shared" ca="1" si="198"/>
        <v>53873</v>
      </c>
      <c r="BS348" s="74">
        <f t="shared" ca="1" si="181"/>
        <v>6</v>
      </c>
      <c r="BT348" s="74">
        <f t="shared" ca="1" si="192"/>
        <v>0</v>
      </c>
      <c r="BU348" s="73" t="str">
        <f t="shared" ca="1" si="182"/>
        <v xml:space="preserve"> </v>
      </c>
      <c r="BW348" s="75">
        <f t="shared" ca="1" si="183"/>
        <v>53873</v>
      </c>
      <c r="BX348" s="74">
        <f t="shared" ca="1" si="184"/>
        <v>6</v>
      </c>
      <c r="BY348" s="74">
        <f t="shared" ca="1" si="193"/>
        <v>0</v>
      </c>
      <c r="BZ348" s="73" t="str">
        <f t="shared" ca="1" si="185"/>
        <v xml:space="preserve"> </v>
      </c>
      <c r="CB348" s="75">
        <f t="shared" ca="1" si="199"/>
        <v>53873</v>
      </c>
      <c r="CC348" s="74">
        <f t="shared" ca="1" si="186"/>
        <v>6</v>
      </c>
      <c r="CD348" s="74">
        <f t="shared" ca="1" si="194"/>
        <v>0</v>
      </c>
      <c r="CE348" s="73" t="str">
        <f t="shared" ca="1" si="187"/>
        <v xml:space="preserve"> </v>
      </c>
    </row>
    <row r="349" spans="1:83" x14ac:dyDescent="0.2">
      <c r="A349" s="38" t="str">
        <f t="shared" si="200"/>
        <v xml:space="preserve"> </v>
      </c>
      <c r="B349" s="108"/>
      <c r="C349" s="38"/>
      <c r="D349" s="137"/>
      <c r="E349" s="137"/>
      <c r="F349" s="137"/>
      <c r="G349" s="122"/>
      <c r="H349" s="137"/>
      <c r="I349" s="50"/>
      <c r="J349" s="50"/>
      <c r="K349" s="50"/>
      <c r="L349" s="38"/>
      <c r="M349" s="38"/>
      <c r="N349" s="38"/>
      <c r="O349" s="50"/>
      <c r="P349" s="218"/>
      <c r="Q349" s="50"/>
      <c r="R349" s="50"/>
      <c r="S349" s="38"/>
      <c r="T349" s="51"/>
      <c r="U349" s="65"/>
      <c r="V349" s="105"/>
      <c r="W349" s="66"/>
      <c r="X349" s="66"/>
      <c r="Y349" s="38"/>
      <c r="Z349" s="66">
        <f t="shared" si="188"/>
        <v>0</v>
      </c>
      <c r="AA349" s="67"/>
      <c r="AC349" s="41" t="e">
        <f>VLOOKUP(A349,'Input Sheet'!$A$2:$B$232,2,0)</f>
        <v>#N/A</v>
      </c>
      <c r="AD349" s="70"/>
      <c r="AI349" s="68"/>
      <c r="AL349" s="107">
        <f t="shared" ca="1" si="170"/>
        <v>0</v>
      </c>
      <c r="AM349" s="49">
        <f t="shared" ca="1" si="195"/>
        <v>53904</v>
      </c>
      <c r="AN349" s="137" t="str">
        <f t="shared" ca="1" si="171"/>
        <v xml:space="preserve"> </v>
      </c>
      <c r="AO349" s="107">
        <f t="shared" ca="1" si="191"/>
        <v>0</v>
      </c>
      <c r="AP349" s="143">
        <f t="shared" ca="1" si="189"/>
        <v>0</v>
      </c>
      <c r="AQ349" s="143">
        <f t="shared" ca="1" si="172"/>
        <v>0</v>
      </c>
      <c r="AR349" s="49" t="str">
        <f t="shared" ca="1" si="173"/>
        <v xml:space="preserve"> </v>
      </c>
      <c r="AS349" s="107">
        <f t="shared" ca="1" si="174"/>
        <v>0</v>
      </c>
      <c r="AT349" s="107">
        <f t="shared" ca="1" si="190"/>
        <v>0</v>
      </c>
      <c r="AU349" s="107"/>
      <c r="AV349" s="107">
        <f ca="1">MAX(SUM($AQ$6:AQ349)-SUM($AT$6:AT349),0)</f>
        <v>0</v>
      </c>
      <c r="AW349" s="107">
        <f t="shared" ca="1" si="196"/>
        <v>0</v>
      </c>
      <c r="AX349" s="107">
        <v>0</v>
      </c>
      <c r="AY349" s="138" t="str">
        <f t="shared" ca="1" si="175"/>
        <v xml:space="preserve"> </v>
      </c>
      <c r="AZ349" s="107">
        <f t="shared" ca="1" si="176"/>
        <v>0</v>
      </c>
      <c r="BA349" s="107">
        <f ca="1">IF(AZ349=1,(SUM($AW$6:AW349,$AX$6:AX349)-SUM($BA$6:BA348)),0)</f>
        <v>0</v>
      </c>
      <c r="BB349" s="107"/>
      <c r="BC349" s="107">
        <f ca="1">AV349+SUM($AW$6:AW349)+SUM($AX$6:AX349)-SUM($BA$6:BA349)</f>
        <v>0</v>
      </c>
      <c r="BD349" s="107">
        <f t="shared" ca="1" si="177"/>
        <v>0</v>
      </c>
      <c r="BE349" s="51">
        <f ca="1">'PiT PD Structure'!J389</f>
        <v>1.6254788365099859E-4</v>
      </c>
      <c r="BF349" s="139">
        <f t="shared" ca="1" si="197"/>
        <v>0.45</v>
      </c>
      <c r="BG349" s="51">
        <f t="shared" ca="1" si="178"/>
        <v>1</v>
      </c>
      <c r="BH349" s="50">
        <f t="shared" ca="1" si="179"/>
        <v>0</v>
      </c>
      <c r="BI349" s="50">
        <f t="shared" ca="1" si="180"/>
        <v>3.4816594052244909E-13</v>
      </c>
      <c r="BJ349" s="140">
        <v>0</v>
      </c>
      <c r="BK349" s="140">
        <v>0</v>
      </c>
      <c r="BR349" s="75">
        <f t="shared" ca="1" si="198"/>
        <v>53904</v>
      </c>
      <c r="BS349" s="74">
        <f t="shared" ca="1" si="181"/>
        <v>7</v>
      </c>
      <c r="BT349" s="74">
        <f t="shared" ca="1" si="192"/>
        <v>0</v>
      </c>
      <c r="BU349" s="73" t="str">
        <f t="shared" ca="1" si="182"/>
        <v xml:space="preserve"> </v>
      </c>
      <c r="BW349" s="75">
        <f t="shared" ca="1" si="183"/>
        <v>53904</v>
      </c>
      <c r="BX349" s="74">
        <f t="shared" ca="1" si="184"/>
        <v>7</v>
      </c>
      <c r="BY349" s="74">
        <f t="shared" ca="1" si="193"/>
        <v>0</v>
      </c>
      <c r="BZ349" s="73" t="str">
        <f t="shared" ca="1" si="185"/>
        <v xml:space="preserve"> </v>
      </c>
      <c r="CB349" s="75">
        <f t="shared" ca="1" si="199"/>
        <v>53904</v>
      </c>
      <c r="CC349" s="74">
        <f t="shared" ca="1" si="186"/>
        <v>7</v>
      </c>
      <c r="CD349" s="74">
        <f t="shared" ca="1" si="194"/>
        <v>0</v>
      </c>
      <c r="CE349" s="73" t="str">
        <f t="shared" ca="1" si="187"/>
        <v xml:space="preserve"> </v>
      </c>
    </row>
    <row r="350" spans="1:83" x14ac:dyDescent="0.2">
      <c r="A350" s="38" t="str">
        <f t="shared" si="200"/>
        <v xml:space="preserve"> </v>
      </c>
      <c r="B350" s="108"/>
      <c r="C350" s="38"/>
      <c r="D350" s="137"/>
      <c r="E350" s="137"/>
      <c r="F350" s="137"/>
      <c r="G350" s="122"/>
      <c r="H350" s="137"/>
      <c r="I350" s="50"/>
      <c r="J350" s="50"/>
      <c r="K350" s="50"/>
      <c r="L350" s="38"/>
      <c r="M350" s="38"/>
      <c r="N350" s="38"/>
      <c r="O350" s="50"/>
      <c r="P350" s="218"/>
      <c r="Q350" s="50"/>
      <c r="R350" s="50"/>
      <c r="S350" s="38"/>
      <c r="T350" s="51"/>
      <c r="U350" s="65"/>
      <c r="V350" s="105"/>
      <c r="W350" s="66"/>
      <c r="X350" s="66"/>
      <c r="Y350" s="38"/>
      <c r="Z350" s="66">
        <f t="shared" si="188"/>
        <v>0</v>
      </c>
      <c r="AA350" s="67"/>
      <c r="AC350" s="41" t="e">
        <f>VLOOKUP(A350,'Input Sheet'!$A$2:$B$232,2,0)</f>
        <v>#N/A</v>
      </c>
      <c r="AD350" s="70"/>
      <c r="AI350" s="68"/>
      <c r="AL350" s="107">
        <f t="shared" ca="1" si="170"/>
        <v>0</v>
      </c>
      <c r="AM350" s="49">
        <f t="shared" ca="1" si="195"/>
        <v>53935</v>
      </c>
      <c r="AN350" s="137" t="str">
        <f t="shared" ca="1" si="171"/>
        <v xml:space="preserve"> </v>
      </c>
      <c r="AO350" s="107">
        <f t="shared" ca="1" si="191"/>
        <v>0</v>
      </c>
      <c r="AP350" s="143">
        <f t="shared" ca="1" si="189"/>
        <v>0</v>
      </c>
      <c r="AQ350" s="143">
        <f t="shared" ca="1" si="172"/>
        <v>0</v>
      </c>
      <c r="AR350" s="49" t="str">
        <f t="shared" ca="1" si="173"/>
        <v xml:space="preserve"> </v>
      </c>
      <c r="AS350" s="107">
        <f t="shared" ca="1" si="174"/>
        <v>0</v>
      </c>
      <c r="AT350" s="107">
        <f t="shared" ca="1" si="190"/>
        <v>0</v>
      </c>
      <c r="AU350" s="107"/>
      <c r="AV350" s="107">
        <f ca="1">MAX(SUM($AQ$6:AQ350)-SUM($AT$6:AT350),0)</f>
        <v>0</v>
      </c>
      <c r="AW350" s="107">
        <f t="shared" ca="1" si="196"/>
        <v>0</v>
      </c>
      <c r="AX350" s="107">
        <v>0</v>
      </c>
      <c r="AY350" s="138" t="str">
        <f t="shared" ca="1" si="175"/>
        <v xml:space="preserve"> </v>
      </c>
      <c r="AZ350" s="107">
        <f t="shared" ca="1" si="176"/>
        <v>0</v>
      </c>
      <c r="BA350" s="107">
        <f ca="1">IF(AZ350=1,(SUM($AW$6:AW350,$AX$6:AX350)-SUM($BA$6:BA349)),0)</f>
        <v>0</v>
      </c>
      <c r="BB350" s="107"/>
      <c r="BC350" s="107">
        <f ca="1">AV350+SUM($AW$6:AW350)+SUM($AX$6:AX350)-SUM($BA$6:BA350)</f>
        <v>0</v>
      </c>
      <c r="BD350" s="107">
        <f t="shared" ca="1" si="177"/>
        <v>0</v>
      </c>
      <c r="BE350" s="51">
        <f ca="1">'PiT PD Structure'!J390</f>
        <v>1.6251899784480717E-4</v>
      </c>
      <c r="BF350" s="139">
        <f t="shared" ca="1" si="197"/>
        <v>0.45</v>
      </c>
      <c r="BG350" s="51">
        <f t="shared" ca="1" si="178"/>
        <v>1</v>
      </c>
      <c r="BH350" s="50">
        <f t="shared" ca="1" si="179"/>
        <v>0</v>
      </c>
      <c r="BI350" s="50">
        <f t="shared" ca="1" si="180"/>
        <v>3.4816594052244909E-13</v>
      </c>
      <c r="BJ350" s="140">
        <v>0</v>
      </c>
      <c r="BK350" s="140">
        <v>0</v>
      </c>
      <c r="BR350" s="75">
        <f t="shared" ca="1" si="198"/>
        <v>53935</v>
      </c>
      <c r="BS350" s="74">
        <f t="shared" ca="1" si="181"/>
        <v>8</v>
      </c>
      <c r="BT350" s="74">
        <f t="shared" ca="1" si="192"/>
        <v>0</v>
      </c>
      <c r="BU350" s="73" t="str">
        <f t="shared" ca="1" si="182"/>
        <v xml:space="preserve"> </v>
      </c>
      <c r="BW350" s="75">
        <f t="shared" ca="1" si="183"/>
        <v>53935</v>
      </c>
      <c r="BX350" s="74">
        <f t="shared" ca="1" si="184"/>
        <v>8</v>
      </c>
      <c r="BY350" s="74">
        <f t="shared" ca="1" si="193"/>
        <v>0</v>
      </c>
      <c r="BZ350" s="73" t="str">
        <f t="shared" ca="1" si="185"/>
        <v xml:space="preserve"> </v>
      </c>
      <c r="CB350" s="75">
        <f t="shared" ca="1" si="199"/>
        <v>53935</v>
      </c>
      <c r="CC350" s="74">
        <f t="shared" ca="1" si="186"/>
        <v>8</v>
      </c>
      <c r="CD350" s="74">
        <f t="shared" ca="1" si="194"/>
        <v>0</v>
      </c>
      <c r="CE350" s="73" t="str">
        <f t="shared" ca="1" si="187"/>
        <v xml:space="preserve"> </v>
      </c>
    </row>
    <row r="351" spans="1:83" x14ac:dyDescent="0.2">
      <c r="A351" s="38" t="str">
        <f t="shared" si="200"/>
        <v xml:space="preserve"> </v>
      </c>
      <c r="B351" s="108"/>
      <c r="C351" s="38"/>
      <c r="D351" s="137"/>
      <c r="E351" s="137"/>
      <c r="F351" s="137"/>
      <c r="G351" s="122"/>
      <c r="H351" s="137"/>
      <c r="I351" s="50"/>
      <c r="J351" s="50"/>
      <c r="K351" s="50"/>
      <c r="L351" s="38"/>
      <c r="M351" s="38"/>
      <c r="N351" s="38"/>
      <c r="O351" s="50"/>
      <c r="P351" s="218"/>
      <c r="Q351" s="50"/>
      <c r="R351" s="50"/>
      <c r="S351" s="38"/>
      <c r="T351" s="51"/>
      <c r="U351" s="65"/>
      <c r="V351" s="105"/>
      <c r="W351" s="66"/>
      <c r="X351" s="66"/>
      <c r="Y351" s="38"/>
      <c r="Z351" s="66">
        <f t="shared" si="188"/>
        <v>0</v>
      </c>
      <c r="AA351" s="67"/>
      <c r="AC351" s="41" t="e">
        <f>VLOOKUP(A351,'Input Sheet'!$A$2:$B$232,2,0)</f>
        <v>#N/A</v>
      </c>
      <c r="AD351" s="70"/>
      <c r="AI351" s="68"/>
      <c r="AL351" s="107">
        <f t="shared" ca="1" si="170"/>
        <v>0</v>
      </c>
      <c r="AM351" s="49">
        <f t="shared" ca="1" si="195"/>
        <v>53965</v>
      </c>
      <c r="AN351" s="137" t="str">
        <f t="shared" ca="1" si="171"/>
        <v xml:space="preserve"> </v>
      </c>
      <c r="AO351" s="107">
        <f t="shared" ca="1" si="191"/>
        <v>0</v>
      </c>
      <c r="AP351" s="143">
        <f t="shared" ca="1" si="189"/>
        <v>0</v>
      </c>
      <c r="AQ351" s="143">
        <f t="shared" ca="1" si="172"/>
        <v>0</v>
      </c>
      <c r="AR351" s="49" t="str">
        <f t="shared" ca="1" si="173"/>
        <v xml:space="preserve"> </v>
      </c>
      <c r="AS351" s="107">
        <f t="shared" ca="1" si="174"/>
        <v>0</v>
      </c>
      <c r="AT351" s="107">
        <f t="shared" ca="1" si="190"/>
        <v>0</v>
      </c>
      <c r="AU351" s="107"/>
      <c r="AV351" s="107">
        <f ca="1">MAX(SUM($AQ$6:AQ351)-SUM($AT$6:AT351),0)</f>
        <v>0</v>
      </c>
      <c r="AW351" s="107">
        <f t="shared" ca="1" si="196"/>
        <v>0</v>
      </c>
      <c r="AX351" s="107">
        <v>0</v>
      </c>
      <c r="AY351" s="138" t="str">
        <f t="shared" ca="1" si="175"/>
        <v xml:space="preserve"> </v>
      </c>
      <c r="AZ351" s="107">
        <f t="shared" ca="1" si="176"/>
        <v>0</v>
      </c>
      <c r="BA351" s="107">
        <f ca="1">IF(AZ351=1,(SUM($AW$6:AW351,$AX$6:AX351)-SUM($BA$6:BA350)),0)</f>
        <v>0</v>
      </c>
      <c r="BB351" s="107"/>
      <c r="BC351" s="107">
        <f ca="1">AV351+SUM($AW$6:AW351)+SUM($AX$6:AX351)-SUM($BA$6:BA351)</f>
        <v>0</v>
      </c>
      <c r="BD351" s="107">
        <f t="shared" ca="1" si="177"/>
        <v>0</v>
      </c>
      <c r="BE351" s="51">
        <f ca="1">'PiT PD Structure'!J391</f>
        <v>1.624901171717319E-4</v>
      </c>
      <c r="BF351" s="139">
        <f t="shared" ca="1" si="197"/>
        <v>0.45</v>
      </c>
      <c r="BG351" s="51">
        <f t="shared" ca="1" si="178"/>
        <v>1</v>
      </c>
      <c r="BH351" s="50">
        <f t="shared" ca="1" si="179"/>
        <v>0</v>
      </c>
      <c r="BI351" s="50">
        <f t="shared" ca="1" si="180"/>
        <v>3.4816594052244909E-13</v>
      </c>
      <c r="BJ351" s="140">
        <v>0</v>
      </c>
      <c r="BK351" s="140">
        <v>0</v>
      </c>
      <c r="BR351" s="75">
        <f t="shared" ca="1" si="198"/>
        <v>53965</v>
      </c>
      <c r="BS351" s="74">
        <f t="shared" ca="1" si="181"/>
        <v>9</v>
      </c>
      <c r="BT351" s="74">
        <f t="shared" ca="1" si="192"/>
        <v>0</v>
      </c>
      <c r="BU351" s="73" t="str">
        <f t="shared" ca="1" si="182"/>
        <v xml:space="preserve"> </v>
      </c>
      <c r="BW351" s="75">
        <f t="shared" ca="1" si="183"/>
        <v>53965</v>
      </c>
      <c r="BX351" s="74">
        <f t="shared" ca="1" si="184"/>
        <v>9</v>
      </c>
      <c r="BY351" s="74">
        <f t="shared" ca="1" si="193"/>
        <v>0</v>
      </c>
      <c r="BZ351" s="73" t="str">
        <f t="shared" ca="1" si="185"/>
        <v xml:space="preserve"> </v>
      </c>
      <c r="CB351" s="75">
        <f t="shared" ca="1" si="199"/>
        <v>53965</v>
      </c>
      <c r="CC351" s="74">
        <f t="shared" ca="1" si="186"/>
        <v>9</v>
      </c>
      <c r="CD351" s="74">
        <f t="shared" ca="1" si="194"/>
        <v>0</v>
      </c>
      <c r="CE351" s="73" t="str">
        <f t="shared" ca="1" si="187"/>
        <v xml:space="preserve"> </v>
      </c>
    </row>
    <row r="352" spans="1:83" x14ac:dyDescent="0.2">
      <c r="A352" s="38" t="str">
        <f t="shared" si="200"/>
        <v xml:space="preserve"> </v>
      </c>
      <c r="B352" s="108"/>
      <c r="C352" s="38"/>
      <c r="D352" s="137"/>
      <c r="E352" s="137"/>
      <c r="F352" s="137"/>
      <c r="G352" s="122"/>
      <c r="H352" s="137"/>
      <c r="I352" s="50"/>
      <c r="J352" s="50"/>
      <c r="K352" s="50"/>
      <c r="L352" s="38"/>
      <c r="M352" s="38"/>
      <c r="N352" s="38"/>
      <c r="O352" s="50"/>
      <c r="P352" s="218"/>
      <c r="Q352" s="50"/>
      <c r="R352" s="50"/>
      <c r="S352" s="38"/>
      <c r="T352" s="51"/>
      <c r="U352" s="65"/>
      <c r="V352" s="105"/>
      <c r="W352" s="66"/>
      <c r="X352" s="66"/>
      <c r="Y352" s="38"/>
      <c r="Z352" s="66">
        <f t="shared" si="188"/>
        <v>0</v>
      </c>
      <c r="AA352" s="67"/>
      <c r="AC352" s="41" t="e">
        <f>VLOOKUP(A352,'Input Sheet'!$A$2:$B$232,2,0)</f>
        <v>#N/A</v>
      </c>
      <c r="AD352" s="70"/>
      <c r="AI352" s="68"/>
      <c r="AL352" s="107">
        <f t="shared" ca="1" si="170"/>
        <v>0</v>
      </c>
      <c r="AM352" s="49">
        <f t="shared" ca="1" si="195"/>
        <v>53996</v>
      </c>
      <c r="AN352" s="137" t="str">
        <f t="shared" ca="1" si="171"/>
        <v xml:space="preserve"> </v>
      </c>
      <c r="AO352" s="107">
        <f t="shared" ca="1" si="191"/>
        <v>0</v>
      </c>
      <c r="AP352" s="143">
        <f t="shared" ca="1" si="189"/>
        <v>0</v>
      </c>
      <c r="AQ352" s="143">
        <f t="shared" ca="1" si="172"/>
        <v>0</v>
      </c>
      <c r="AR352" s="49" t="str">
        <f t="shared" ca="1" si="173"/>
        <v xml:space="preserve"> </v>
      </c>
      <c r="AS352" s="107">
        <f t="shared" ca="1" si="174"/>
        <v>0</v>
      </c>
      <c r="AT352" s="107">
        <f t="shared" ca="1" si="190"/>
        <v>0</v>
      </c>
      <c r="AU352" s="107"/>
      <c r="AV352" s="107">
        <f ca="1">MAX(SUM($AQ$6:AQ352)-SUM($AT$6:AT352),0)</f>
        <v>0</v>
      </c>
      <c r="AW352" s="107">
        <f t="shared" ca="1" si="196"/>
        <v>0</v>
      </c>
      <c r="AX352" s="107">
        <v>0</v>
      </c>
      <c r="AY352" s="138" t="str">
        <f t="shared" ca="1" si="175"/>
        <v xml:space="preserve"> </v>
      </c>
      <c r="AZ352" s="107">
        <f t="shared" ca="1" si="176"/>
        <v>0</v>
      </c>
      <c r="BA352" s="107">
        <f ca="1">IF(AZ352=1,(SUM($AW$6:AW352,$AX$6:AX352)-SUM($BA$6:BA351)),0)</f>
        <v>0</v>
      </c>
      <c r="BB352" s="107"/>
      <c r="BC352" s="107">
        <f ca="1">AV352+SUM($AW$6:AW352)+SUM($AX$6:AX352)-SUM($BA$6:BA352)</f>
        <v>0</v>
      </c>
      <c r="BD352" s="107">
        <f t="shared" ca="1" si="177"/>
        <v>0</v>
      </c>
      <c r="BE352" s="51">
        <f ca="1">'PiT PD Structure'!J392</f>
        <v>1.6246124163121767E-4</v>
      </c>
      <c r="BF352" s="139">
        <f t="shared" ca="1" si="197"/>
        <v>0.45</v>
      </c>
      <c r="BG352" s="51">
        <f t="shared" ca="1" si="178"/>
        <v>1</v>
      </c>
      <c r="BH352" s="50">
        <f t="shared" ca="1" si="179"/>
        <v>0</v>
      </c>
      <c r="BI352" s="50">
        <f t="shared" ca="1" si="180"/>
        <v>3.4816594052244909E-13</v>
      </c>
      <c r="BJ352" s="140">
        <v>0</v>
      </c>
      <c r="BK352" s="140">
        <v>0</v>
      </c>
      <c r="BR352" s="75">
        <f t="shared" ca="1" si="198"/>
        <v>53996</v>
      </c>
      <c r="BS352" s="74">
        <f t="shared" ca="1" si="181"/>
        <v>10</v>
      </c>
      <c r="BT352" s="74">
        <f t="shared" ca="1" si="192"/>
        <v>0</v>
      </c>
      <c r="BU352" s="73" t="str">
        <f t="shared" ca="1" si="182"/>
        <v xml:space="preserve"> </v>
      </c>
      <c r="BW352" s="75">
        <f t="shared" ca="1" si="183"/>
        <v>53996</v>
      </c>
      <c r="BX352" s="74">
        <f t="shared" ca="1" si="184"/>
        <v>10</v>
      </c>
      <c r="BY352" s="74">
        <f t="shared" ca="1" si="193"/>
        <v>0</v>
      </c>
      <c r="BZ352" s="73" t="str">
        <f t="shared" ca="1" si="185"/>
        <v xml:space="preserve"> </v>
      </c>
      <c r="CB352" s="75">
        <f t="shared" ca="1" si="199"/>
        <v>53996</v>
      </c>
      <c r="CC352" s="74">
        <f t="shared" ca="1" si="186"/>
        <v>10</v>
      </c>
      <c r="CD352" s="74">
        <f t="shared" ca="1" si="194"/>
        <v>0</v>
      </c>
      <c r="CE352" s="73" t="str">
        <f t="shared" ca="1" si="187"/>
        <v xml:space="preserve"> </v>
      </c>
    </row>
    <row r="353" spans="1:83" x14ac:dyDescent="0.2">
      <c r="A353" s="38" t="str">
        <f t="shared" si="200"/>
        <v xml:space="preserve"> </v>
      </c>
      <c r="B353" s="108"/>
      <c r="C353" s="38"/>
      <c r="D353" s="137"/>
      <c r="E353" s="137"/>
      <c r="F353" s="137"/>
      <c r="G353" s="122"/>
      <c r="H353" s="137"/>
      <c r="I353" s="50"/>
      <c r="J353" s="50"/>
      <c r="K353" s="50"/>
      <c r="L353" s="38"/>
      <c r="M353" s="38"/>
      <c r="N353" s="38"/>
      <c r="O353" s="50"/>
      <c r="P353" s="218"/>
      <c r="Q353" s="50"/>
      <c r="R353" s="50"/>
      <c r="S353" s="38"/>
      <c r="T353" s="51"/>
      <c r="U353" s="65"/>
      <c r="V353" s="105"/>
      <c r="W353" s="66"/>
      <c r="X353" s="66"/>
      <c r="Y353" s="38"/>
      <c r="Z353" s="66">
        <f t="shared" si="188"/>
        <v>0</v>
      </c>
      <c r="AA353" s="67"/>
      <c r="AC353" s="41" t="e">
        <f>VLOOKUP(A353,'Input Sheet'!$A$2:$B$232,2,0)</f>
        <v>#N/A</v>
      </c>
      <c r="AD353" s="70"/>
      <c r="AI353" s="68"/>
      <c r="AL353" s="107">
        <f t="shared" ca="1" si="170"/>
        <v>0</v>
      </c>
      <c r="AM353" s="49">
        <f t="shared" ca="1" si="195"/>
        <v>54026</v>
      </c>
      <c r="AN353" s="137" t="str">
        <f t="shared" ca="1" si="171"/>
        <v xml:space="preserve"> </v>
      </c>
      <c r="AO353" s="107">
        <f t="shared" ca="1" si="191"/>
        <v>0</v>
      </c>
      <c r="AP353" s="143">
        <f t="shared" ca="1" si="189"/>
        <v>0</v>
      </c>
      <c r="AQ353" s="143">
        <f t="shared" ca="1" si="172"/>
        <v>0</v>
      </c>
      <c r="AR353" s="49" t="str">
        <f t="shared" ca="1" si="173"/>
        <v xml:space="preserve"> </v>
      </c>
      <c r="AS353" s="107">
        <f t="shared" ca="1" si="174"/>
        <v>0</v>
      </c>
      <c r="AT353" s="107">
        <f t="shared" ca="1" si="190"/>
        <v>0</v>
      </c>
      <c r="AU353" s="107"/>
      <c r="AV353" s="107">
        <f ca="1">MAX(SUM($AQ$6:AQ353)-SUM($AT$6:AT353),0)</f>
        <v>0</v>
      </c>
      <c r="AW353" s="107">
        <f t="shared" ca="1" si="196"/>
        <v>0</v>
      </c>
      <c r="AX353" s="107">
        <v>0</v>
      </c>
      <c r="AY353" s="138" t="str">
        <f t="shared" ca="1" si="175"/>
        <v xml:space="preserve"> </v>
      </c>
      <c r="AZ353" s="107">
        <f t="shared" ca="1" si="176"/>
        <v>0</v>
      </c>
      <c r="BA353" s="107">
        <f ca="1">IF(AZ353=1,(SUM($AW$6:AW353,$AX$6:AX353)-SUM($BA$6:BA352)),0)</f>
        <v>0</v>
      </c>
      <c r="BB353" s="107"/>
      <c r="BC353" s="107">
        <f ca="1">AV353+SUM($AW$6:AW353)+SUM($AX$6:AX353)-SUM($BA$6:BA353)</f>
        <v>0</v>
      </c>
      <c r="BD353" s="107">
        <f t="shared" ca="1" si="177"/>
        <v>0</v>
      </c>
      <c r="BE353" s="51">
        <f ca="1">'PiT PD Structure'!J393</f>
        <v>1.624323712213771E-4</v>
      </c>
      <c r="BF353" s="139">
        <f t="shared" ca="1" si="197"/>
        <v>0.45</v>
      </c>
      <c r="BG353" s="51">
        <f t="shared" ca="1" si="178"/>
        <v>1</v>
      </c>
      <c r="BH353" s="50">
        <f t="shared" ca="1" si="179"/>
        <v>0</v>
      </c>
      <c r="BI353" s="50">
        <f t="shared" ca="1" si="180"/>
        <v>3.4816594052244909E-13</v>
      </c>
      <c r="BJ353" s="140">
        <v>0</v>
      </c>
      <c r="BK353" s="140">
        <v>0</v>
      </c>
      <c r="BR353" s="75">
        <f t="shared" ca="1" si="198"/>
        <v>54026</v>
      </c>
      <c r="BS353" s="74">
        <f t="shared" ca="1" si="181"/>
        <v>11</v>
      </c>
      <c r="BT353" s="74">
        <f t="shared" ca="1" si="192"/>
        <v>0</v>
      </c>
      <c r="BU353" s="73" t="str">
        <f t="shared" ca="1" si="182"/>
        <v xml:space="preserve"> </v>
      </c>
      <c r="BW353" s="75">
        <f t="shared" ca="1" si="183"/>
        <v>54026</v>
      </c>
      <c r="BX353" s="74">
        <f t="shared" ca="1" si="184"/>
        <v>11</v>
      </c>
      <c r="BY353" s="74">
        <f t="shared" ca="1" si="193"/>
        <v>0</v>
      </c>
      <c r="BZ353" s="73" t="str">
        <f t="shared" ca="1" si="185"/>
        <v xml:space="preserve"> </v>
      </c>
      <c r="CB353" s="75">
        <f t="shared" ca="1" si="199"/>
        <v>54026</v>
      </c>
      <c r="CC353" s="74">
        <f t="shared" ca="1" si="186"/>
        <v>11</v>
      </c>
      <c r="CD353" s="74">
        <f t="shared" ca="1" si="194"/>
        <v>0</v>
      </c>
      <c r="CE353" s="73" t="str">
        <f t="shared" ca="1" si="187"/>
        <v xml:space="preserve"> </v>
      </c>
    </row>
    <row r="354" spans="1:83" x14ac:dyDescent="0.2">
      <c r="A354" s="38" t="str">
        <f t="shared" si="200"/>
        <v xml:space="preserve"> </v>
      </c>
      <c r="B354" s="108"/>
      <c r="C354" s="38"/>
      <c r="D354" s="137"/>
      <c r="E354" s="137"/>
      <c r="F354" s="137"/>
      <c r="G354" s="122"/>
      <c r="H354" s="137"/>
      <c r="I354" s="50"/>
      <c r="J354" s="50"/>
      <c r="K354" s="50"/>
      <c r="L354" s="38"/>
      <c r="M354" s="38"/>
      <c r="N354" s="38"/>
      <c r="O354" s="50"/>
      <c r="P354" s="218"/>
      <c r="Q354" s="50"/>
      <c r="R354" s="50"/>
      <c r="S354" s="38"/>
      <c r="T354" s="51"/>
      <c r="U354" s="65"/>
      <c r="V354" s="105"/>
      <c r="W354" s="66"/>
      <c r="X354" s="66"/>
      <c r="Y354" s="38"/>
      <c r="Z354" s="66">
        <f t="shared" si="188"/>
        <v>0</v>
      </c>
      <c r="AA354" s="67"/>
      <c r="AC354" s="41" t="e">
        <f>VLOOKUP(A354,'Input Sheet'!$A$2:$B$232,2,0)</f>
        <v>#N/A</v>
      </c>
      <c r="AD354" s="70"/>
      <c r="AI354" s="68"/>
      <c r="AL354" s="107">
        <f t="shared" ca="1" si="170"/>
        <v>0</v>
      </c>
      <c r="AM354" s="49">
        <f t="shared" ca="1" si="195"/>
        <v>54057</v>
      </c>
      <c r="AN354" s="137" t="str">
        <f t="shared" ca="1" si="171"/>
        <v xml:space="preserve"> </v>
      </c>
      <c r="AO354" s="107">
        <f t="shared" ca="1" si="191"/>
        <v>0</v>
      </c>
      <c r="AP354" s="143">
        <f t="shared" ca="1" si="189"/>
        <v>0</v>
      </c>
      <c r="AQ354" s="143">
        <f t="shared" ca="1" si="172"/>
        <v>0</v>
      </c>
      <c r="AR354" s="49" t="str">
        <f t="shared" ca="1" si="173"/>
        <v xml:space="preserve"> </v>
      </c>
      <c r="AS354" s="107">
        <f t="shared" ca="1" si="174"/>
        <v>0</v>
      </c>
      <c r="AT354" s="107">
        <f t="shared" ca="1" si="190"/>
        <v>0</v>
      </c>
      <c r="AU354" s="107"/>
      <c r="AV354" s="107">
        <f ca="1">MAX(SUM($AQ$6:AQ354)-SUM($AT$6:AT354),0)</f>
        <v>0</v>
      </c>
      <c r="AW354" s="107">
        <f t="shared" ca="1" si="196"/>
        <v>0</v>
      </c>
      <c r="AX354" s="107">
        <v>0</v>
      </c>
      <c r="AY354" s="138" t="str">
        <f t="shared" ca="1" si="175"/>
        <v xml:space="preserve"> </v>
      </c>
      <c r="AZ354" s="107">
        <f t="shared" ca="1" si="176"/>
        <v>0</v>
      </c>
      <c r="BA354" s="107">
        <f ca="1">IF(AZ354=1,(SUM($AW$6:AW354,$AX$6:AX354)-SUM($BA$6:BA353)),0)</f>
        <v>0</v>
      </c>
      <c r="BB354" s="107"/>
      <c r="BC354" s="107">
        <f ca="1">AV354+SUM($AW$6:AW354)+SUM($AX$6:AX354)-SUM($BA$6:BA354)</f>
        <v>0</v>
      </c>
      <c r="BD354" s="107">
        <f t="shared" ca="1" si="177"/>
        <v>0</v>
      </c>
      <c r="BE354" s="51">
        <f ca="1">'PiT PD Structure'!J394</f>
        <v>3.9693561732642157E-3</v>
      </c>
      <c r="BF354" s="139">
        <f t="shared" ca="1" si="197"/>
        <v>0.45</v>
      </c>
      <c r="BG354" s="51">
        <f t="shared" ca="1" si="178"/>
        <v>1</v>
      </c>
      <c r="BH354" s="50">
        <f t="shared" ca="1" si="179"/>
        <v>0</v>
      </c>
      <c r="BI354" s="50">
        <f t="shared" ca="1" si="180"/>
        <v>3.4816594052244909E-13</v>
      </c>
      <c r="BJ354" s="140">
        <v>0</v>
      </c>
      <c r="BK354" s="140">
        <v>0</v>
      </c>
      <c r="BR354" s="75">
        <f t="shared" ca="1" si="198"/>
        <v>54057</v>
      </c>
      <c r="BS354" s="74">
        <f t="shared" ca="1" si="181"/>
        <v>12</v>
      </c>
      <c r="BT354" s="74">
        <f t="shared" ca="1" si="192"/>
        <v>0</v>
      </c>
      <c r="BU354" s="73" t="str">
        <f t="shared" ca="1" si="182"/>
        <v xml:space="preserve"> </v>
      </c>
      <c r="BW354" s="75">
        <f t="shared" ca="1" si="183"/>
        <v>54057</v>
      </c>
      <c r="BX354" s="74">
        <f t="shared" ca="1" si="184"/>
        <v>12</v>
      </c>
      <c r="BY354" s="74">
        <f t="shared" ca="1" si="193"/>
        <v>0</v>
      </c>
      <c r="BZ354" s="73" t="str">
        <f t="shared" ca="1" si="185"/>
        <v xml:space="preserve"> </v>
      </c>
      <c r="CB354" s="75">
        <f t="shared" ca="1" si="199"/>
        <v>54057</v>
      </c>
      <c r="CC354" s="74">
        <f t="shared" ca="1" si="186"/>
        <v>12</v>
      </c>
      <c r="CD354" s="74">
        <f t="shared" ca="1" si="194"/>
        <v>0</v>
      </c>
      <c r="CE354" s="73" t="str">
        <f t="shared" ca="1" si="187"/>
        <v xml:space="preserve"> </v>
      </c>
    </row>
    <row r="355" spans="1:83" x14ac:dyDescent="0.2">
      <c r="A355" s="38" t="str">
        <f t="shared" si="200"/>
        <v xml:space="preserve"> </v>
      </c>
      <c r="B355" s="108"/>
      <c r="C355" s="38"/>
      <c r="D355" s="137"/>
      <c r="E355" s="137"/>
      <c r="F355" s="137"/>
      <c r="G355" s="122"/>
      <c r="H355" s="137"/>
      <c r="I355" s="50"/>
      <c r="J355" s="50"/>
      <c r="K355" s="50"/>
      <c r="L355" s="38"/>
      <c r="M355" s="38"/>
      <c r="N355" s="38"/>
      <c r="O355" s="50"/>
      <c r="P355" s="218"/>
      <c r="Q355" s="50"/>
      <c r="R355" s="50"/>
      <c r="S355" s="38"/>
      <c r="T355" s="51"/>
      <c r="U355" s="65"/>
      <c r="V355" s="105"/>
      <c r="W355" s="66"/>
      <c r="X355" s="66"/>
      <c r="Y355" s="38"/>
      <c r="Z355" s="66">
        <f t="shared" si="188"/>
        <v>0</v>
      </c>
      <c r="AA355" s="67"/>
      <c r="AC355" s="41" t="e">
        <f>VLOOKUP(A355,'Input Sheet'!$A$2:$B$232,2,0)</f>
        <v>#N/A</v>
      </c>
      <c r="AD355" s="70"/>
      <c r="AI355" s="68"/>
      <c r="AL355" s="107">
        <f t="shared" ca="1" si="170"/>
        <v>0</v>
      </c>
      <c r="AM355" s="49">
        <f t="shared" ca="1" si="195"/>
        <v>54088</v>
      </c>
      <c r="AN355" s="137" t="str">
        <f t="shared" ca="1" si="171"/>
        <v xml:space="preserve"> </v>
      </c>
      <c r="AO355" s="107">
        <f t="shared" ca="1" si="191"/>
        <v>0</v>
      </c>
      <c r="AP355" s="143">
        <f t="shared" ca="1" si="189"/>
        <v>0</v>
      </c>
      <c r="AQ355" s="143">
        <f t="shared" ca="1" si="172"/>
        <v>0</v>
      </c>
      <c r="AR355" s="49" t="str">
        <f t="shared" ca="1" si="173"/>
        <v xml:space="preserve"> </v>
      </c>
      <c r="AS355" s="107">
        <f t="shared" ca="1" si="174"/>
        <v>0</v>
      </c>
      <c r="AT355" s="107">
        <f t="shared" ca="1" si="190"/>
        <v>0</v>
      </c>
      <c r="AU355" s="107"/>
      <c r="AV355" s="107">
        <f ca="1">MAX(SUM($AQ$6:AQ355)-SUM($AT$6:AT355),0)</f>
        <v>0</v>
      </c>
      <c r="AW355" s="107">
        <f t="shared" ca="1" si="196"/>
        <v>0</v>
      </c>
      <c r="AX355" s="107">
        <v>0</v>
      </c>
      <c r="AY355" s="138" t="str">
        <f t="shared" ca="1" si="175"/>
        <v xml:space="preserve"> </v>
      </c>
      <c r="AZ355" s="107">
        <f t="shared" ca="1" si="176"/>
        <v>0</v>
      </c>
      <c r="BA355" s="107">
        <f ca="1">IF(AZ355=1,(SUM($AW$6:AW355,$AX$6:AX355)-SUM($BA$6:BA354)),0)</f>
        <v>0</v>
      </c>
      <c r="BB355" s="107"/>
      <c r="BC355" s="107">
        <f ca="1">AV355+SUM($AW$6:AW355)+SUM($AX$6:AX355)-SUM($BA$6:BA355)</f>
        <v>0</v>
      </c>
      <c r="BD355" s="107">
        <f t="shared" ca="1" si="177"/>
        <v>0</v>
      </c>
      <c r="BE355" s="51">
        <f ca="1">'PiT PD Structure'!J395</f>
        <v>1.6721185019874518E-4</v>
      </c>
      <c r="BF355" s="139">
        <f t="shared" ca="1" si="197"/>
        <v>0.45</v>
      </c>
      <c r="BG355" s="51">
        <f t="shared" ca="1" si="178"/>
        <v>1</v>
      </c>
      <c r="BH355" s="50">
        <f t="shared" ca="1" si="179"/>
        <v>0</v>
      </c>
      <c r="BI355" s="50">
        <f t="shared" ca="1" si="180"/>
        <v>3.4816594052244909E-13</v>
      </c>
      <c r="BJ355" s="140">
        <v>0</v>
      </c>
      <c r="BK355" s="140">
        <v>0</v>
      </c>
      <c r="BR355" s="75">
        <f t="shared" ca="1" si="198"/>
        <v>54088</v>
      </c>
      <c r="BS355" s="74">
        <f t="shared" ca="1" si="181"/>
        <v>1</v>
      </c>
      <c r="BT355" s="74">
        <f t="shared" ca="1" si="192"/>
        <v>0</v>
      </c>
      <c r="BU355" s="73" t="str">
        <f t="shared" ca="1" si="182"/>
        <v xml:space="preserve"> </v>
      </c>
      <c r="BW355" s="75">
        <f t="shared" ca="1" si="183"/>
        <v>54088</v>
      </c>
      <c r="BX355" s="74">
        <f t="shared" ca="1" si="184"/>
        <v>1</v>
      </c>
      <c r="BY355" s="74">
        <f t="shared" ca="1" si="193"/>
        <v>0</v>
      </c>
      <c r="BZ355" s="73" t="str">
        <f t="shared" ca="1" si="185"/>
        <v xml:space="preserve"> </v>
      </c>
      <c r="CB355" s="75">
        <f t="shared" ca="1" si="199"/>
        <v>54088</v>
      </c>
      <c r="CC355" s="74">
        <f t="shared" ca="1" si="186"/>
        <v>1</v>
      </c>
      <c r="CD355" s="74">
        <f t="shared" ca="1" si="194"/>
        <v>0</v>
      </c>
      <c r="CE355" s="73" t="str">
        <f t="shared" ca="1" si="187"/>
        <v xml:space="preserve"> </v>
      </c>
    </row>
    <row r="356" spans="1:83" x14ac:dyDescent="0.2">
      <c r="A356" s="38" t="str">
        <f t="shared" si="200"/>
        <v xml:space="preserve"> </v>
      </c>
      <c r="B356" s="108"/>
      <c r="C356" s="38"/>
      <c r="D356" s="137"/>
      <c r="E356" s="137"/>
      <c r="F356" s="137"/>
      <c r="G356" s="122"/>
      <c r="H356" s="137"/>
      <c r="I356" s="50"/>
      <c r="J356" s="50"/>
      <c r="K356" s="50"/>
      <c r="L356" s="38"/>
      <c r="M356" s="38"/>
      <c r="N356" s="38"/>
      <c r="O356" s="50"/>
      <c r="P356" s="218"/>
      <c r="Q356" s="50"/>
      <c r="R356" s="50"/>
      <c r="S356" s="38"/>
      <c r="T356" s="51"/>
      <c r="U356" s="65"/>
      <c r="V356" s="105"/>
      <c r="W356" s="66"/>
      <c r="X356" s="66"/>
      <c r="Y356" s="38"/>
      <c r="Z356" s="66">
        <f t="shared" si="188"/>
        <v>0</v>
      </c>
      <c r="AA356" s="67"/>
      <c r="AC356" s="41" t="e">
        <f>VLOOKUP(A356,'Input Sheet'!$A$2:$B$232,2,0)</f>
        <v>#N/A</v>
      </c>
      <c r="AD356" s="70"/>
      <c r="AI356" s="68"/>
      <c r="AL356" s="107">
        <f t="shared" ca="1" si="170"/>
        <v>0</v>
      </c>
      <c r="AM356" s="49">
        <f t="shared" ca="1" si="195"/>
        <v>54117</v>
      </c>
      <c r="AN356" s="137" t="str">
        <f t="shared" ca="1" si="171"/>
        <v xml:space="preserve"> </v>
      </c>
      <c r="AO356" s="107">
        <f t="shared" ca="1" si="191"/>
        <v>0</v>
      </c>
      <c r="AP356" s="143">
        <f t="shared" ca="1" si="189"/>
        <v>0</v>
      </c>
      <c r="AQ356" s="143">
        <f t="shared" ca="1" si="172"/>
        <v>0</v>
      </c>
      <c r="AR356" s="49" t="str">
        <f t="shared" ca="1" si="173"/>
        <v xml:space="preserve"> </v>
      </c>
      <c r="AS356" s="107">
        <f t="shared" ca="1" si="174"/>
        <v>0</v>
      </c>
      <c r="AT356" s="107">
        <f t="shared" ca="1" si="190"/>
        <v>0</v>
      </c>
      <c r="AU356" s="107"/>
      <c r="AV356" s="107">
        <f ca="1">MAX(SUM($AQ$6:AQ356)-SUM($AT$6:AT356),0)</f>
        <v>0</v>
      </c>
      <c r="AW356" s="107">
        <f t="shared" ca="1" si="196"/>
        <v>0</v>
      </c>
      <c r="AX356" s="107">
        <v>0</v>
      </c>
      <c r="AY356" s="138" t="str">
        <f t="shared" ca="1" si="175"/>
        <v xml:space="preserve"> </v>
      </c>
      <c r="AZ356" s="107">
        <f t="shared" ca="1" si="176"/>
        <v>0</v>
      </c>
      <c r="BA356" s="107">
        <f ca="1">IF(AZ356=1,(SUM($AW$6:AW356,$AX$6:AX356)-SUM($BA$6:BA355)),0)</f>
        <v>0</v>
      </c>
      <c r="BB356" s="107"/>
      <c r="BC356" s="107">
        <f ca="1">AV356+SUM($AW$6:AW356)+SUM($AX$6:AX356)-SUM($BA$6:BA356)</f>
        <v>0</v>
      </c>
      <c r="BD356" s="107">
        <f t="shared" ca="1" si="177"/>
        <v>0</v>
      </c>
      <c r="BE356" s="51">
        <f ca="1">'PiT PD Structure'!J396</f>
        <v>1.671811223403763E-4</v>
      </c>
      <c r="BF356" s="139">
        <f t="shared" ca="1" si="197"/>
        <v>0.45</v>
      </c>
      <c r="BG356" s="51">
        <f t="shared" ca="1" si="178"/>
        <v>1</v>
      </c>
      <c r="BH356" s="50">
        <f t="shared" ca="1" si="179"/>
        <v>0</v>
      </c>
      <c r="BI356" s="50">
        <f t="shared" ca="1" si="180"/>
        <v>3.4816594052244909E-13</v>
      </c>
      <c r="BJ356" s="140">
        <v>0</v>
      </c>
      <c r="BK356" s="140">
        <v>0</v>
      </c>
      <c r="BR356" s="75">
        <f t="shared" ca="1" si="198"/>
        <v>54117</v>
      </c>
      <c r="BS356" s="74">
        <f t="shared" ca="1" si="181"/>
        <v>2</v>
      </c>
      <c r="BT356" s="74">
        <f t="shared" ca="1" si="192"/>
        <v>0</v>
      </c>
      <c r="BU356" s="73" t="str">
        <f t="shared" ca="1" si="182"/>
        <v xml:space="preserve"> </v>
      </c>
      <c r="BW356" s="75">
        <f t="shared" ca="1" si="183"/>
        <v>54117</v>
      </c>
      <c r="BX356" s="74">
        <f t="shared" ca="1" si="184"/>
        <v>2</v>
      </c>
      <c r="BY356" s="74">
        <f t="shared" ca="1" si="193"/>
        <v>0</v>
      </c>
      <c r="BZ356" s="73" t="str">
        <f t="shared" ca="1" si="185"/>
        <v xml:space="preserve"> </v>
      </c>
      <c r="CB356" s="75">
        <f t="shared" ca="1" si="199"/>
        <v>54117</v>
      </c>
      <c r="CC356" s="74">
        <f t="shared" ca="1" si="186"/>
        <v>2</v>
      </c>
      <c r="CD356" s="74">
        <f t="shared" ca="1" si="194"/>
        <v>0</v>
      </c>
      <c r="CE356" s="73" t="str">
        <f t="shared" ca="1" si="187"/>
        <v xml:space="preserve"> </v>
      </c>
    </row>
    <row r="357" spans="1:83" x14ac:dyDescent="0.2">
      <c r="A357" s="38" t="str">
        <f t="shared" si="200"/>
        <v xml:space="preserve"> </v>
      </c>
      <c r="B357" s="108"/>
      <c r="C357" s="38"/>
      <c r="D357" s="137"/>
      <c r="E357" s="137"/>
      <c r="F357" s="137"/>
      <c r="G357" s="122"/>
      <c r="H357" s="137"/>
      <c r="I357" s="50"/>
      <c r="J357" s="50"/>
      <c r="K357" s="50"/>
      <c r="L357" s="38"/>
      <c r="M357" s="38"/>
      <c r="N357" s="38"/>
      <c r="O357" s="50"/>
      <c r="P357" s="218"/>
      <c r="Q357" s="50"/>
      <c r="R357" s="50"/>
      <c r="S357" s="38"/>
      <c r="T357" s="51"/>
      <c r="U357" s="65"/>
      <c r="V357" s="105"/>
      <c r="W357" s="66"/>
      <c r="X357" s="66"/>
      <c r="Y357" s="38"/>
      <c r="Z357" s="66">
        <f t="shared" si="188"/>
        <v>0</v>
      </c>
      <c r="AA357" s="67"/>
      <c r="AC357" s="41" t="e">
        <f>VLOOKUP(A357,'Input Sheet'!$A$2:$B$232,2,0)</f>
        <v>#N/A</v>
      </c>
      <c r="AD357" s="70"/>
      <c r="AI357" s="68"/>
      <c r="AL357" s="107">
        <f t="shared" ca="1" si="170"/>
        <v>0</v>
      </c>
      <c r="AM357" s="49">
        <f t="shared" ca="1" si="195"/>
        <v>54148</v>
      </c>
      <c r="AN357" s="137" t="str">
        <f t="shared" ca="1" si="171"/>
        <v xml:space="preserve"> </v>
      </c>
      <c r="AO357" s="107">
        <f t="shared" ca="1" si="191"/>
        <v>0</v>
      </c>
      <c r="AP357" s="143">
        <f t="shared" ca="1" si="189"/>
        <v>0</v>
      </c>
      <c r="AQ357" s="143">
        <f t="shared" ca="1" si="172"/>
        <v>0</v>
      </c>
      <c r="AR357" s="49" t="str">
        <f t="shared" ca="1" si="173"/>
        <v xml:space="preserve"> </v>
      </c>
      <c r="AS357" s="107">
        <f t="shared" ca="1" si="174"/>
        <v>0</v>
      </c>
      <c r="AT357" s="107">
        <f t="shared" ca="1" si="190"/>
        <v>0</v>
      </c>
      <c r="AU357" s="107"/>
      <c r="AV357" s="107">
        <f ca="1">MAX(SUM($AQ$6:AQ357)-SUM($AT$6:AT357),0)</f>
        <v>0</v>
      </c>
      <c r="AW357" s="107">
        <f t="shared" ca="1" si="196"/>
        <v>0</v>
      </c>
      <c r="AX357" s="107">
        <v>0</v>
      </c>
      <c r="AY357" s="138" t="str">
        <f t="shared" ca="1" si="175"/>
        <v xml:space="preserve"> </v>
      </c>
      <c r="AZ357" s="107">
        <f t="shared" ca="1" si="176"/>
        <v>0</v>
      </c>
      <c r="BA357" s="107">
        <f ca="1">IF(AZ357=1,(SUM($AW$6:AW357,$AX$6:AX357)-SUM($BA$6:BA356)),0)</f>
        <v>0</v>
      </c>
      <c r="BB357" s="107"/>
      <c r="BC357" s="107">
        <f ca="1">AV357+SUM($AW$6:AW357)+SUM($AX$6:AX357)-SUM($BA$6:BA357)</f>
        <v>0</v>
      </c>
      <c r="BD357" s="107">
        <f t="shared" ca="1" si="177"/>
        <v>0</v>
      </c>
      <c r="BE357" s="51">
        <f ca="1">'PiT PD Structure'!J397</f>
        <v>1.6715040012893478E-4</v>
      </c>
      <c r="BF357" s="139">
        <f t="shared" ca="1" si="197"/>
        <v>0.45</v>
      </c>
      <c r="BG357" s="51">
        <f t="shared" ca="1" si="178"/>
        <v>1</v>
      </c>
      <c r="BH357" s="50">
        <f t="shared" ca="1" si="179"/>
        <v>0</v>
      </c>
      <c r="BI357" s="50">
        <f t="shared" ca="1" si="180"/>
        <v>3.4816594052244909E-13</v>
      </c>
      <c r="BJ357" s="140">
        <v>0</v>
      </c>
      <c r="BK357" s="140">
        <v>0</v>
      </c>
      <c r="BR357" s="75">
        <f t="shared" ca="1" si="198"/>
        <v>54148</v>
      </c>
      <c r="BS357" s="74">
        <f t="shared" ca="1" si="181"/>
        <v>3</v>
      </c>
      <c r="BT357" s="74">
        <f t="shared" ca="1" si="192"/>
        <v>0</v>
      </c>
      <c r="BU357" s="73" t="str">
        <f t="shared" ca="1" si="182"/>
        <v xml:space="preserve"> </v>
      </c>
      <c r="BW357" s="75">
        <f t="shared" ca="1" si="183"/>
        <v>54148</v>
      </c>
      <c r="BX357" s="74">
        <f t="shared" ca="1" si="184"/>
        <v>3</v>
      </c>
      <c r="BY357" s="74">
        <f t="shared" ca="1" si="193"/>
        <v>0</v>
      </c>
      <c r="BZ357" s="73" t="str">
        <f t="shared" ca="1" si="185"/>
        <v xml:space="preserve"> </v>
      </c>
      <c r="CB357" s="75">
        <f t="shared" ca="1" si="199"/>
        <v>54148</v>
      </c>
      <c r="CC357" s="74">
        <f t="shared" ca="1" si="186"/>
        <v>3</v>
      </c>
      <c r="CD357" s="74">
        <f t="shared" ca="1" si="194"/>
        <v>0</v>
      </c>
      <c r="CE357" s="73" t="str">
        <f t="shared" ca="1" si="187"/>
        <v xml:space="preserve"> </v>
      </c>
    </row>
    <row r="358" spans="1:83" x14ac:dyDescent="0.2">
      <c r="A358" s="38" t="str">
        <f t="shared" si="200"/>
        <v xml:space="preserve"> </v>
      </c>
      <c r="B358" s="108"/>
      <c r="C358" s="38"/>
      <c r="D358" s="137"/>
      <c r="E358" s="137"/>
      <c r="F358" s="137"/>
      <c r="G358" s="122"/>
      <c r="H358" s="137"/>
      <c r="I358" s="50"/>
      <c r="J358" s="50"/>
      <c r="K358" s="50"/>
      <c r="L358" s="38"/>
      <c r="M358" s="38"/>
      <c r="N358" s="38"/>
      <c r="O358" s="50"/>
      <c r="P358" s="218"/>
      <c r="Q358" s="50"/>
      <c r="R358" s="50"/>
      <c r="S358" s="38"/>
      <c r="T358" s="51"/>
      <c r="U358" s="65"/>
      <c r="V358" s="105"/>
      <c r="W358" s="66"/>
      <c r="X358" s="66"/>
      <c r="Y358" s="38"/>
      <c r="Z358" s="66">
        <f t="shared" si="188"/>
        <v>0</v>
      </c>
      <c r="AA358" s="67"/>
      <c r="AC358" s="41" t="e">
        <f>VLOOKUP(A358,'Input Sheet'!$A$2:$B$232,2,0)</f>
        <v>#N/A</v>
      </c>
      <c r="AD358" s="70"/>
      <c r="AI358" s="68"/>
      <c r="AL358" s="107">
        <f t="shared" ref="AL358:AL421" ca="1" si="201">IF(AM358&lt;=$AR$2,AL357+1,0)</f>
        <v>0</v>
      </c>
      <c r="AM358" s="49">
        <f t="shared" ca="1" si="195"/>
        <v>54178</v>
      </c>
      <c r="AN358" s="137" t="str">
        <f t="shared" ref="AN358:AN421" ca="1" si="202">CE358</f>
        <v xml:space="preserve"> </v>
      </c>
      <c r="AO358" s="107">
        <f t="shared" ca="1" si="191"/>
        <v>0</v>
      </c>
      <c r="AP358" s="143">
        <f t="shared" ca="1" si="189"/>
        <v>0</v>
      </c>
      <c r="AQ358" s="143">
        <f t="shared" ref="AQ358:AQ421" ca="1" si="203">IF(AND(AP358&gt;0,AM358&lt;=$AR$2),AQ357+AP358,0)</f>
        <v>0</v>
      </c>
      <c r="AR358" s="49" t="str">
        <f t="shared" ref="AR358:AR421" ca="1" si="204">BU358</f>
        <v xml:space="preserve"> </v>
      </c>
      <c r="AS358" s="107">
        <f t="shared" ref="AS358:AS421" ca="1" si="205">BT358</f>
        <v>0</v>
      </c>
      <c r="AT358" s="107">
        <f t="shared" ca="1" si="190"/>
        <v>0</v>
      </c>
      <c r="AU358" s="107"/>
      <c r="AV358" s="107">
        <f ca="1">MAX(SUM($AQ$6:AQ358)-SUM($AT$6:AT358),0)</f>
        <v>0</v>
      </c>
      <c r="AW358" s="107">
        <f t="shared" ca="1" si="196"/>
        <v>0</v>
      </c>
      <c r="AX358" s="107">
        <v>0</v>
      </c>
      <c r="AY358" s="138" t="str">
        <f t="shared" ref="AY358:AY421" ca="1" si="206">BZ358</f>
        <v xml:space="preserve"> </v>
      </c>
      <c r="AZ358" s="107">
        <f t="shared" ref="AZ358:AZ421" ca="1" si="207">BY358</f>
        <v>0</v>
      </c>
      <c r="BA358" s="107">
        <f ca="1">IF(AZ358=1,(SUM($AW$6:AW358,$AX$6:AX358)-SUM($BA$6:BA357)),0)</f>
        <v>0</v>
      </c>
      <c r="BB358" s="107"/>
      <c r="BC358" s="107">
        <f ca="1">AV358+SUM($AW$6:AW358)+SUM($AX$6:AX358)-SUM($BA$6:BA358)</f>
        <v>0</v>
      </c>
      <c r="BD358" s="107">
        <f t="shared" ref="BD358:BD421" ca="1" si="208">IF(AL358&gt;0,AM358-AM357,0)</f>
        <v>0</v>
      </c>
      <c r="BE358" s="51">
        <f ca="1">'PiT PD Structure'!J398</f>
        <v>1.6711968356286633E-4</v>
      </c>
      <c r="BF358" s="139">
        <f t="shared" ca="1" si="197"/>
        <v>0.45</v>
      </c>
      <c r="BG358" s="51">
        <f t="shared" ref="BG358:BG421" ca="1" si="209">1/(1+$BE$2)^(BD358/360)</f>
        <v>1</v>
      </c>
      <c r="BH358" s="50">
        <f t="shared" ref="BH358:BH421" ca="1" si="210">IF(AL358=0,0,BC358*BE358*BF358*BG358)</f>
        <v>0</v>
      </c>
      <c r="BI358" s="50">
        <f t="shared" ref="BI358:BI421" ca="1" si="211">BI357-BH357</f>
        <v>3.4816594052244909E-13</v>
      </c>
      <c r="BJ358" s="140">
        <v>0</v>
      </c>
      <c r="BK358" s="140">
        <v>0</v>
      </c>
      <c r="BR358" s="75">
        <f t="shared" ca="1" si="198"/>
        <v>54178</v>
      </c>
      <c r="BS358" s="74">
        <f t="shared" ref="BS358:BS421" ca="1" si="212">MONTH(BR358)</f>
        <v>4</v>
      </c>
      <c r="BT358" s="74">
        <f t="shared" ca="1" si="192"/>
        <v>0</v>
      </c>
      <c r="BU358" s="73" t="str">
        <f t="shared" ref="BU358:BU421" ca="1" si="213">IF(BT358=1,BR358," ")</f>
        <v xml:space="preserve"> </v>
      </c>
      <c r="BW358" s="75">
        <f t="shared" ref="BW358:BW421" ca="1" si="214">EOMONTH(BR357,1)</f>
        <v>54178</v>
      </c>
      <c r="BX358" s="74">
        <f t="shared" ref="BX358:BX421" ca="1" si="215">MONTH(BR358)</f>
        <v>4</v>
      </c>
      <c r="BY358" s="74">
        <f t="shared" ca="1" si="193"/>
        <v>0</v>
      </c>
      <c r="BZ358" s="73" t="str">
        <f t="shared" ref="BZ358:BZ421" ca="1" si="216">IF(BY358=1,BW358," ")</f>
        <v xml:space="preserve"> </v>
      </c>
      <c r="CB358" s="75">
        <f t="shared" ca="1" si="199"/>
        <v>54178</v>
      </c>
      <c r="CC358" s="74">
        <f t="shared" ref="CC358:CC421" ca="1" si="217">MONTH(CB358)</f>
        <v>4</v>
      </c>
      <c r="CD358" s="74">
        <f t="shared" ca="1" si="194"/>
        <v>0</v>
      </c>
      <c r="CE358" s="73" t="str">
        <f t="shared" ref="CE358:CE421" ca="1" si="218">IF(CD358=1,CB358," ")</f>
        <v xml:space="preserve"> </v>
      </c>
    </row>
    <row r="359" spans="1:83" x14ac:dyDescent="0.2">
      <c r="A359" s="38" t="str">
        <f t="shared" si="200"/>
        <v xml:space="preserve"> </v>
      </c>
      <c r="B359" s="108"/>
      <c r="C359" s="38"/>
      <c r="D359" s="137"/>
      <c r="E359" s="137"/>
      <c r="F359" s="137"/>
      <c r="G359" s="122"/>
      <c r="H359" s="137"/>
      <c r="I359" s="50"/>
      <c r="J359" s="50"/>
      <c r="K359" s="50"/>
      <c r="L359" s="38"/>
      <c r="M359" s="38"/>
      <c r="N359" s="38"/>
      <c r="O359" s="50"/>
      <c r="P359" s="218"/>
      <c r="Q359" s="50"/>
      <c r="R359" s="50"/>
      <c r="S359" s="38"/>
      <c r="T359" s="51"/>
      <c r="U359" s="65"/>
      <c r="V359" s="105"/>
      <c r="W359" s="66"/>
      <c r="X359" s="66"/>
      <c r="Y359" s="38"/>
      <c r="Z359" s="66">
        <f t="shared" si="188"/>
        <v>0</v>
      </c>
      <c r="AA359" s="67"/>
      <c r="AC359" s="41" t="e">
        <f>VLOOKUP(A359,'Input Sheet'!$A$2:$B$232,2,0)</f>
        <v>#N/A</v>
      </c>
      <c r="AD359" s="70"/>
      <c r="AI359" s="68"/>
      <c r="AL359" s="107">
        <f t="shared" ca="1" si="201"/>
        <v>0</v>
      </c>
      <c r="AM359" s="49">
        <f t="shared" ca="1" si="195"/>
        <v>54209</v>
      </c>
      <c r="AN359" s="137" t="str">
        <f t="shared" ca="1" si="202"/>
        <v xml:space="preserve"> </v>
      </c>
      <c r="AO359" s="107">
        <f t="shared" ca="1" si="191"/>
        <v>0</v>
      </c>
      <c r="AP359" s="143">
        <f t="shared" ca="1" si="189"/>
        <v>0</v>
      </c>
      <c r="AQ359" s="143">
        <f t="shared" ca="1" si="203"/>
        <v>0</v>
      </c>
      <c r="AR359" s="49" t="str">
        <f t="shared" ca="1" si="204"/>
        <v xml:space="preserve"> </v>
      </c>
      <c r="AS359" s="107">
        <f t="shared" ca="1" si="205"/>
        <v>0</v>
      </c>
      <c r="AT359" s="107">
        <f t="shared" ca="1" si="190"/>
        <v>0</v>
      </c>
      <c r="AU359" s="107"/>
      <c r="AV359" s="107">
        <f ca="1">MAX(SUM($AQ$6:AQ359)-SUM($AT$6:AT359),0)</f>
        <v>0</v>
      </c>
      <c r="AW359" s="107">
        <f t="shared" ca="1" si="196"/>
        <v>0</v>
      </c>
      <c r="AX359" s="107">
        <v>0</v>
      </c>
      <c r="AY359" s="138" t="str">
        <f t="shared" ca="1" si="206"/>
        <v xml:space="preserve"> </v>
      </c>
      <c r="AZ359" s="107">
        <f t="shared" ca="1" si="207"/>
        <v>0</v>
      </c>
      <c r="BA359" s="107">
        <f ca="1">IF(AZ359=1,(SUM($AW$6:AW359,$AX$6:AX359)-SUM($BA$6:BA358)),0)</f>
        <v>0</v>
      </c>
      <c r="BB359" s="107"/>
      <c r="BC359" s="107">
        <f ca="1">AV359+SUM($AW$6:AW359)+SUM($AX$6:AX359)-SUM($BA$6:BA359)</f>
        <v>0</v>
      </c>
      <c r="BD359" s="107">
        <f t="shared" ca="1" si="208"/>
        <v>0</v>
      </c>
      <c r="BE359" s="51">
        <f ca="1">'PiT PD Structure'!J399</f>
        <v>1.6708897264172684E-4</v>
      </c>
      <c r="BF359" s="139">
        <f t="shared" ca="1" si="197"/>
        <v>0.45</v>
      </c>
      <c r="BG359" s="51">
        <f t="shared" ca="1" si="209"/>
        <v>1</v>
      </c>
      <c r="BH359" s="50">
        <f t="shared" ca="1" si="210"/>
        <v>0</v>
      </c>
      <c r="BI359" s="50">
        <f t="shared" ca="1" si="211"/>
        <v>3.4816594052244909E-13</v>
      </c>
      <c r="BJ359" s="140">
        <v>0</v>
      </c>
      <c r="BK359" s="140">
        <v>0</v>
      </c>
      <c r="BR359" s="75">
        <f t="shared" ca="1" si="198"/>
        <v>54209</v>
      </c>
      <c r="BS359" s="74">
        <f t="shared" ca="1" si="212"/>
        <v>5</v>
      </c>
      <c r="BT359" s="74">
        <f t="shared" ca="1" si="192"/>
        <v>0</v>
      </c>
      <c r="BU359" s="73" t="str">
        <f t="shared" ca="1" si="213"/>
        <v xml:space="preserve"> </v>
      </c>
      <c r="BW359" s="75">
        <f t="shared" ca="1" si="214"/>
        <v>54209</v>
      </c>
      <c r="BX359" s="74">
        <f t="shared" ca="1" si="215"/>
        <v>5</v>
      </c>
      <c r="BY359" s="74">
        <f t="shared" ca="1" si="193"/>
        <v>0</v>
      </c>
      <c r="BZ359" s="73" t="str">
        <f t="shared" ca="1" si="216"/>
        <v xml:space="preserve"> </v>
      </c>
      <c r="CB359" s="75">
        <f t="shared" ca="1" si="199"/>
        <v>54209</v>
      </c>
      <c r="CC359" s="74">
        <f t="shared" ca="1" si="217"/>
        <v>5</v>
      </c>
      <c r="CD359" s="74">
        <f t="shared" ca="1" si="194"/>
        <v>0</v>
      </c>
      <c r="CE359" s="73" t="str">
        <f t="shared" ca="1" si="218"/>
        <v xml:space="preserve"> </v>
      </c>
    </row>
    <row r="360" spans="1:83" x14ac:dyDescent="0.2">
      <c r="A360" s="38" t="str">
        <f t="shared" si="200"/>
        <v xml:space="preserve"> </v>
      </c>
      <c r="B360" s="108"/>
      <c r="C360" s="38"/>
      <c r="D360" s="137"/>
      <c r="E360" s="137"/>
      <c r="F360" s="137"/>
      <c r="G360" s="122"/>
      <c r="H360" s="137"/>
      <c r="I360" s="50"/>
      <c r="J360" s="50"/>
      <c r="K360" s="50"/>
      <c r="L360" s="38"/>
      <c r="M360" s="38"/>
      <c r="N360" s="38"/>
      <c r="O360" s="50"/>
      <c r="P360" s="218"/>
      <c r="Q360" s="50"/>
      <c r="R360" s="50"/>
      <c r="S360" s="38"/>
      <c r="T360" s="51"/>
      <c r="U360" s="65"/>
      <c r="V360" s="105"/>
      <c r="W360" s="66"/>
      <c r="X360" s="66"/>
      <c r="Y360" s="38"/>
      <c r="Z360" s="66">
        <f t="shared" si="188"/>
        <v>0</v>
      </c>
      <c r="AA360" s="67"/>
      <c r="AC360" s="41" t="e">
        <f>VLOOKUP(A360,'Input Sheet'!$A$2:$B$232,2,0)</f>
        <v>#N/A</v>
      </c>
      <c r="AD360" s="70"/>
      <c r="AI360" s="68"/>
      <c r="AL360" s="107">
        <f t="shared" ca="1" si="201"/>
        <v>0</v>
      </c>
      <c r="AM360" s="49">
        <f t="shared" ca="1" si="195"/>
        <v>54239</v>
      </c>
      <c r="AN360" s="137" t="str">
        <f t="shared" ca="1" si="202"/>
        <v xml:space="preserve"> </v>
      </c>
      <c r="AO360" s="107">
        <f t="shared" ca="1" si="191"/>
        <v>0</v>
      </c>
      <c r="AP360" s="143">
        <f t="shared" ca="1" si="189"/>
        <v>0</v>
      </c>
      <c r="AQ360" s="143">
        <f t="shared" ca="1" si="203"/>
        <v>0</v>
      </c>
      <c r="AR360" s="49" t="str">
        <f t="shared" ca="1" si="204"/>
        <v xml:space="preserve"> </v>
      </c>
      <c r="AS360" s="107">
        <f t="shared" ca="1" si="205"/>
        <v>0</v>
      </c>
      <c r="AT360" s="107">
        <f t="shared" ca="1" si="190"/>
        <v>0</v>
      </c>
      <c r="AU360" s="107"/>
      <c r="AV360" s="107">
        <f ca="1">MAX(SUM($AQ$6:AQ360)-SUM($AT$6:AT360),0)</f>
        <v>0</v>
      </c>
      <c r="AW360" s="107">
        <f t="shared" ca="1" si="196"/>
        <v>0</v>
      </c>
      <c r="AX360" s="107">
        <v>0</v>
      </c>
      <c r="AY360" s="138" t="str">
        <f t="shared" ca="1" si="206"/>
        <v xml:space="preserve"> </v>
      </c>
      <c r="AZ360" s="107">
        <f t="shared" ca="1" si="207"/>
        <v>0</v>
      </c>
      <c r="BA360" s="107">
        <f ca="1">IF(AZ360=1,(SUM($AW$6:AW360,$AX$6:AX360)-SUM($BA$6:BA359)),0)</f>
        <v>0</v>
      </c>
      <c r="BB360" s="107"/>
      <c r="BC360" s="107">
        <f ca="1">AV360+SUM($AW$6:AW360)+SUM($AX$6:AX360)-SUM($BA$6:BA360)</f>
        <v>0</v>
      </c>
      <c r="BD360" s="107">
        <f t="shared" ca="1" si="208"/>
        <v>0</v>
      </c>
      <c r="BE360" s="51">
        <f ca="1">'PiT PD Structure'!J400</f>
        <v>1.6705826736418405E-4</v>
      </c>
      <c r="BF360" s="139">
        <f t="shared" ca="1" si="197"/>
        <v>0.45</v>
      </c>
      <c r="BG360" s="51">
        <f t="shared" ca="1" si="209"/>
        <v>1</v>
      </c>
      <c r="BH360" s="50">
        <f t="shared" ca="1" si="210"/>
        <v>0</v>
      </c>
      <c r="BI360" s="50">
        <f t="shared" ca="1" si="211"/>
        <v>3.4816594052244909E-13</v>
      </c>
      <c r="BJ360" s="140">
        <v>0</v>
      </c>
      <c r="BK360" s="140">
        <v>0</v>
      </c>
      <c r="BR360" s="75">
        <f t="shared" ca="1" si="198"/>
        <v>54239</v>
      </c>
      <c r="BS360" s="74">
        <f t="shared" ca="1" si="212"/>
        <v>6</v>
      </c>
      <c r="BT360" s="74">
        <f t="shared" ca="1" si="192"/>
        <v>0</v>
      </c>
      <c r="BU360" s="73" t="str">
        <f t="shared" ca="1" si="213"/>
        <v xml:space="preserve"> </v>
      </c>
      <c r="BW360" s="75">
        <f t="shared" ca="1" si="214"/>
        <v>54239</v>
      </c>
      <c r="BX360" s="74">
        <f t="shared" ca="1" si="215"/>
        <v>6</v>
      </c>
      <c r="BY360" s="74">
        <f t="shared" ca="1" si="193"/>
        <v>0</v>
      </c>
      <c r="BZ360" s="73" t="str">
        <f t="shared" ca="1" si="216"/>
        <v xml:space="preserve"> </v>
      </c>
      <c r="CB360" s="75">
        <f t="shared" ca="1" si="199"/>
        <v>54239</v>
      </c>
      <c r="CC360" s="74">
        <f t="shared" ca="1" si="217"/>
        <v>6</v>
      </c>
      <c r="CD360" s="74">
        <f t="shared" ca="1" si="194"/>
        <v>0</v>
      </c>
      <c r="CE360" s="73" t="str">
        <f t="shared" ca="1" si="218"/>
        <v xml:space="preserve"> </v>
      </c>
    </row>
    <row r="361" spans="1:83" x14ac:dyDescent="0.2">
      <c r="A361" s="38" t="str">
        <f t="shared" si="200"/>
        <v xml:space="preserve"> </v>
      </c>
      <c r="B361" s="108"/>
      <c r="C361" s="38"/>
      <c r="D361" s="137"/>
      <c r="E361" s="137"/>
      <c r="F361" s="137"/>
      <c r="G361" s="122"/>
      <c r="H361" s="137"/>
      <c r="I361" s="50"/>
      <c r="J361" s="50"/>
      <c r="K361" s="50"/>
      <c r="L361" s="38"/>
      <c r="M361" s="38"/>
      <c r="N361" s="38"/>
      <c r="O361" s="50"/>
      <c r="P361" s="218"/>
      <c r="Q361" s="50"/>
      <c r="R361" s="50"/>
      <c r="S361" s="38"/>
      <c r="T361" s="51"/>
      <c r="U361" s="65"/>
      <c r="V361" s="105"/>
      <c r="W361" s="66"/>
      <c r="X361" s="66"/>
      <c r="Y361" s="38"/>
      <c r="Z361" s="66">
        <f t="shared" si="188"/>
        <v>0</v>
      </c>
      <c r="AA361" s="67"/>
      <c r="AC361" s="41" t="e">
        <f>VLOOKUP(A361,'Input Sheet'!$A$2:$B$232,2,0)</f>
        <v>#N/A</v>
      </c>
      <c r="AD361" s="70"/>
      <c r="AI361" s="68"/>
      <c r="AL361" s="107">
        <f t="shared" ca="1" si="201"/>
        <v>0</v>
      </c>
      <c r="AM361" s="49">
        <f t="shared" ca="1" si="195"/>
        <v>54270</v>
      </c>
      <c r="AN361" s="137" t="str">
        <f t="shared" ca="1" si="202"/>
        <v xml:space="preserve"> </v>
      </c>
      <c r="AO361" s="107">
        <f t="shared" ca="1" si="191"/>
        <v>0</v>
      </c>
      <c r="AP361" s="143">
        <f t="shared" ca="1" si="189"/>
        <v>0</v>
      </c>
      <c r="AQ361" s="143">
        <f t="shared" ca="1" si="203"/>
        <v>0</v>
      </c>
      <c r="AR361" s="49" t="str">
        <f t="shared" ca="1" si="204"/>
        <v xml:space="preserve"> </v>
      </c>
      <c r="AS361" s="107">
        <f t="shared" ca="1" si="205"/>
        <v>0</v>
      </c>
      <c r="AT361" s="107">
        <f t="shared" ca="1" si="190"/>
        <v>0</v>
      </c>
      <c r="AU361" s="107"/>
      <c r="AV361" s="107">
        <f ca="1">MAX(SUM($AQ$6:AQ361)-SUM($AT$6:AT361),0)</f>
        <v>0</v>
      </c>
      <c r="AW361" s="107">
        <f t="shared" ca="1" si="196"/>
        <v>0</v>
      </c>
      <c r="AX361" s="107">
        <v>0</v>
      </c>
      <c r="AY361" s="138" t="str">
        <f t="shared" ca="1" si="206"/>
        <v xml:space="preserve"> </v>
      </c>
      <c r="AZ361" s="107">
        <f t="shared" ca="1" si="207"/>
        <v>0</v>
      </c>
      <c r="BA361" s="107">
        <f ca="1">IF(AZ361=1,(SUM($AW$6:AW361,$AX$6:AX361)-SUM($BA$6:BA360)),0)</f>
        <v>0</v>
      </c>
      <c r="BB361" s="107"/>
      <c r="BC361" s="107">
        <f ca="1">AV361+SUM($AW$6:AW361)+SUM($AX$6:AX361)-SUM($BA$6:BA361)</f>
        <v>0</v>
      </c>
      <c r="BD361" s="107">
        <f t="shared" ca="1" si="208"/>
        <v>0</v>
      </c>
      <c r="BE361" s="51">
        <f ca="1">'PiT PD Structure'!J401</f>
        <v>1.6702756772923877E-4</v>
      </c>
      <c r="BF361" s="139">
        <f t="shared" ca="1" si="197"/>
        <v>0.45</v>
      </c>
      <c r="BG361" s="51">
        <f t="shared" ca="1" si="209"/>
        <v>1</v>
      </c>
      <c r="BH361" s="50">
        <f t="shared" ca="1" si="210"/>
        <v>0</v>
      </c>
      <c r="BI361" s="50">
        <f t="shared" ca="1" si="211"/>
        <v>3.4816594052244909E-13</v>
      </c>
      <c r="BJ361" s="140">
        <v>0</v>
      </c>
      <c r="BK361" s="140">
        <v>0</v>
      </c>
      <c r="BR361" s="75">
        <f t="shared" ca="1" si="198"/>
        <v>54270</v>
      </c>
      <c r="BS361" s="74">
        <f t="shared" ca="1" si="212"/>
        <v>7</v>
      </c>
      <c r="BT361" s="74">
        <f t="shared" ca="1" si="192"/>
        <v>0</v>
      </c>
      <c r="BU361" s="73" t="str">
        <f t="shared" ca="1" si="213"/>
        <v xml:space="preserve"> </v>
      </c>
      <c r="BW361" s="75">
        <f t="shared" ca="1" si="214"/>
        <v>54270</v>
      </c>
      <c r="BX361" s="74">
        <f t="shared" ca="1" si="215"/>
        <v>7</v>
      </c>
      <c r="BY361" s="74">
        <f t="shared" ca="1" si="193"/>
        <v>0</v>
      </c>
      <c r="BZ361" s="73" t="str">
        <f t="shared" ca="1" si="216"/>
        <v xml:space="preserve"> </v>
      </c>
      <c r="CB361" s="75">
        <f t="shared" ca="1" si="199"/>
        <v>54270</v>
      </c>
      <c r="CC361" s="74">
        <f t="shared" ca="1" si="217"/>
        <v>7</v>
      </c>
      <c r="CD361" s="74">
        <f t="shared" ca="1" si="194"/>
        <v>0</v>
      </c>
      <c r="CE361" s="73" t="str">
        <f t="shared" ca="1" si="218"/>
        <v xml:space="preserve"> </v>
      </c>
    </row>
    <row r="362" spans="1:83" x14ac:dyDescent="0.2">
      <c r="A362" s="38" t="str">
        <f t="shared" si="200"/>
        <v xml:space="preserve"> </v>
      </c>
      <c r="B362" s="108"/>
      <c r="C362" s="38"/>
      <c r="D362" s="137"/>
      <c r="E362" s="137"/>
      <c r="F362" s="137"/>
      <c r="G362" s="122"/>
      <c r="H362" s="137"/>
      <c r="I362" s="50"/>
      <c r="J362" s="50"/>
      <c r="K362" s="50"/>
      <c r="L362" s="38"/>
      <c r="M362" s="38"/>
      <c r="N362" s="38"/>
      <c r="O362" s="50"/>
      <c r="P362" s="218"/>
      <c r="Q362" s="50"/>
      <c r="R362" s="50"/>
      <c r="S362" s="38"/>
      <c r="T362" s="51"/>
      <c r="U362" s="65"/>
      <c r="V362" s="105"/>
      <c r="W362" s="66"/>
      <c r="X362" s="66"/>
      <c r="Y362" s="38"/>
      <c r="Z362" s="66">
        <f t="shared" si="188"/>
        <v>0</v>
      </c>
      <c r="AA362" s="67"/>
      <c r="AC362" s="41" t="e">
        <f>VLOOKUP(A362,'Input Sheet'!$A$2:$B$232,2,0)</f>
        <v>#N/A</v>
      </c>
      <c r="AD362" s="70"/>
      <c r="AI362" s="68"/>
      <c r="AL362" s="107">
        <f t="shared" ca="1" si="201"/>
        <v>0</v>
      </c>
      <c r="AM362" s="49">
        <f t="shared" ca="1" si="195"/>
        <v>54301</v>
      </c>
      <c r="AN362" s="137" t="str">
        <f t="shared" ca="1" si="202"/>
        <v xml:space="preserve"> </v>
      </c>
      <c r="AO362" s="107">
        <f t="shared" ca="1" si="191"/>
        <v>0</v>
      </c>
      <c r="AP362" s="143">
        <f t="shared" ca="1" si="189"/>
        <v>0</v>
      </c>
      <c r="AQ362" s="143">
        <f t="shared" ca="1" si="203"/>
        <v>0</v>
      </c>
      <c r="AR362" s="49" t="str">
        <f t="shared" ca="1" si="204"/>
        <v xml:space="preserve"> </v>
      </c>
      <c r="AS362" s="107">
        <f t="shared" ca="1" si="205"/>
        <v>0</v>
      </c>
      <c r="AT362" s="107">
        <f t="shared" ca="1" si="190"/>
        <v>0</v>
      </c>
      <c r="AU362" s="107"/>
      <c r="AV362" s="107">
        <f ca="1">MAX(SUM($AQ$6:AQ362)-SUM($AT$6:AT362),0)</f>
        <v>0</v>
      </c>
      <c r="AW362" s="107">
        <f t="shared" ca="1" si="196"/>
        <v>0</v>
      </c>
      <c r="AX362" s="107">
        <v>0</v>
      </c>
      <c r="AY362" s="138" t="str">
        <f t="shared" ca="1" si="206"/>
        <v xml:space="preserve"> </v>
      </c>
      <c r="AZ362" s="107">
        <f t="shared" ca="1" si="207"/>
        <v>0</v>
      </c>
      <c r="BA362" s="107">
        <f ca="1">IF(AZ362=1,(SUM($AW$6:AW362,$AX$6:AX362)-SUM($BA$6:BA361)),0)</f>
        <v>0</v>
      </c>
      <c r="BB362" s="107"/>
      <c r="BC362" s="107">
        <f ca="1">AV362+SUM($AW$6:AW362)+SUM($AX$6:AX362)-SUM($BA$6:BA362)</f>
        <v>0</v>
      </c>
      <c r="BD362" s="107">
        <f t="shared" ca="1" si="208"/>
        <v>0</v>
      </c>
      <c r="BE362" s="51">
        <f ca="1">'PiT PD Structure'!J402</f>
        <v>1.6699687373566974E-4</v>
      </c>
      <c r="BF362" s="139">
        <f t="shared" ca="1" si="197"/>
        <v>0.45</v>
      </c>
      <c r="BG362" s="51">
        <f t="shared" ca="1" si="209"/>
        <v>1</v>
      </c>
      <c r="BH362" s="50">
        <f t="shared" ca="1" si="210"/>
        <v>0</v>
      </c>
      <c r="BI362" s="50">
        <f t="shared" ca="1" si="211"/>
        <v>3.4816594052244909E-13</v>
      </c>
      <c r="BJ362" s="140">
        <v>0</v>
      </c>
      <c r="BK362" s="140">
        <v>0</v>
      </c>
      <c r="BR362" s="75">
        <f t="shared" ca="1" si="198"/>
        <v>54301</v>
      </c>
      <c r="BS362" s="74">
        <f t="shared" ca="1" si="212"/>
        <v>8</v>
      </c>
      <c r="BT362" s="74">
        <f t="shared" ca="1" si="192"/>
        <v>0</v>
      </c>
      <c r="BU362" s="73" t="str">
        <f t="shared" ca="1" si="213"/>
        <v xml:space="preserve"> </v>
      </c>
      <c r="BW362" s="75">
        <f t="shared" ca="1" si="214"/>
        <v>54301</v>
      </c>
      <c r="BX362" s="74">
        <f t="shared" ca="1" si="215"/>
        <v>8</v>
      </c>
      <c r="BY362" s="74">
        <f t="shared" ca="1" si="193"/>
        <v>0</v>
      </c>
      <c r="BZ362" s="73" t="str">
        <f t="shared" ca="1" si="216"/>
        <v xml:space="preserve"> </v>
      </c>
      <c r="CB362" s="75">
        <f t="shared" ca="1" si="199"/>
        <v>54301</v>
      </c>
      <c r="CC362" s="74">
        <f t="shared" ca="1" si="217"/>
        <v>8</v>
      </c>
      <c r="CD362" s="74">
        <f t="shared" ca="1" si="194"/>
        <v>0</v>
      </c>
      <c r="CE362" s="73" t="str">
        <f t="shared" ca="1" si="218"/>
        <v xml:space="preserve"> </v>
      </c>
    </row>
    <row r="363" spans="1:83" x14ac:dyDescent="0.2">
      <c r="A363" s="38" t="str">
        <f t="shared" si="200"/>
        <v xml:space="preserve"> </v>
      </c>
      <c r="B363" s="108"/>
      <c r="C363" s="38"/>
      <c r="D363" s="137"/>
      <c r="E363" s="137"/>
      <c r="F363" s="137"/>
      <c r="G363" s="122"/>
      <c r="H363" s="137"/>
      <c r="I363" s="50"/>
      <c r="J363" s="50"/>
      <c r="K363" s="50"/>
      <c r="L363" s="38"/>
      <c r="M363" s="38"/>
      <c r="N363" s="38"/>
      <c r="O363" s="50"/>
      <c r="P363" s="218"/>
      <c r="Q363" s="50"/>
      <c r="R363" s="50"/>
      <c r="S363" s="38"/>
      <c r="T363" s="51"/>
      <c r="U363" s="65"/>
      <c r="V363" s="105"/>
      <c r="W363" s="66"/>
      <c r="X363" s="66"/>
      <c r="Y363" s="38"/>
      <c r="Z363" s="66">
        <f t="shared" si="188"/>
        <v>0</v>
      </c>
      <c r="AA363" s="67"/>
      <c r="AC363" s="41" t="e">
        <f>VLOOKUP(A363,'Input Sheet'!$A$2:$B$232,2,0)</f>
        <v>#N/A</v>
      </c>
      <c r="AD363" s="70"/>
      <c r="AI363" s="68"/>
      <c r="AL363" s="107">
        <f t="shared" ca="1" si="201"/>
        <v>0</v>
      </c>
      <c r="AM363" s="49">
        <f t="shared" ca="1" si="195"/>
        <v>54331</v>
      </c>
      <c r="AN363" s="137" t="str">
        <f t="shared" ca="1" si="202"/>
        <v xml:space="preserve"> </v>
      </c>
      <c r="AO363" s="107">
        <f t="shared" ca="1" si="191"/>
        <v>0</v>
      </c>
      <c r="AP363" s="143">
        <f t="shared" ca="1" si="189"/>
        <v>0</v>
      </c>
      <c r="AQ363" s="143">
        <f t="shared" ca="1" si="203"/>
        <v>0</v>
      </c>
      <c r="AR363" s="49" t="str">
        <f t="shared" ca="1" si="204"/>
        <v xml:space="preserve"> </v>
      </c>
      <c r="AS363" s="107">
        <f t="shared" ca="1" si="205"/>
        <v>0</v>
      </c>
      <c r="AT363" s="107">
        <f t="shared" ca="1" si="190"/>
        <v>0</v>
      </c>
      <c r="AU363" s="107"/>
      <c r="AV363" s="107">
        <f ca="1">MAX(SUM($AQ$6:AQ363)-SUM($AT$6:AT363),0)</f>
        <v>0</v>
      </c>
      <c r="AW363" s="107">
        <f t="shared" ca="1" si="196"/>
        <v>0</v>
      </c>
      <c r="AX363" s="107">
        <v>0</v>
      </c>
      <c r="AY363" s="138" t="str">
        <f t="shared" ca="1" si="206"/>
        <v xml:space="preserve"> </v>
      </c>
      <c r="AZ363" s="107">
        <f t="shared" ca="1" si="207"/>
        <v>0</v>
      </c>
      <c r="BA363" s="107">
        <f ca="1">IF(AZ363=1,(SUM($AW$6:AW363,$AX$6:AX363)-SUM($BA$6:BA362)),0)</f>
        <v>0</v>
      </c>
      <c r="BB363" s="107"/>
      <c r="BC363" s="107">
        <f ca="1">AV363+SUM($AW$6:AW363)+SUM($AX$6:AX363)-SUM($BA$6:BA363)</f>
        <v>0</v>
      </c>
      <c r="BD363" s="107">
        <f t="shared" ca="1" si="208"/>
        <v>0</v>
      </c>
      <c r="BE363" s="51">
        <f ca="1">'PiT PD Structure'!J403</f>
        <v>1.6696618538269981E-4</v>
      </c>
      <c r="BF363" s="139">
        <f t="shared" ca="1" si="197"/>
        <v>0.45</v>
      </c>
      <c r="BG363" s="51">
        <f t="shared" ca="1" si="209"/>
        <v>1</v>
      </c>
      <c r="BH363" s="50">
        <f t="shared" ca="1" si="210"/>
        <v>0</v>
      </c>
      <c r="BI363" s="50">
        <f t="shared" ca="1" si="211"/>
        <v>3.4816594052244909E-13</v>
      </c>
      <c r="BJ363" s="140">
        <v>0</v>
      </c>
      <c r="BK363" s="140">
        <v>0</v>
      </c>
      <c r="BR363" s="75">
        <f t="shared" ca="1" si="198"/>
        <v>54331</v>
      </c>
      <c r="BS363" s="74">
        <f t="shared" ca="1" si="212"/>
        <v>9</v>
      </c>
      <c r="BT363" s="74">
        <f t="shared" ca="1" si="192"/>
        <v>0</v>
      </c>
      <c r="BU363" s="73" t="str">
        <f t="shared" ca="1" si="213"/>
        <v xml:space="preserve"> </v>
      </c>
      <c r="BW363" s="75">
        <f t="shared" ca="1" si="214"/>
        <v>54331</v>
      </c>
      <c r="BX363" s="74">
        <f t="shared" ca="1" si="215"/>
        <v>9</v>
      </c>
      <c r="BY363" s="74">
        <f t="shared" ca="1" si="193"/>
        <v>0</v>
      </c>
      <c r="BZ363" s="73" t="str">
        <f t="shared" ca="1" si="216"/>
        <v xml:space="preserve"> </v>
      </c>
      <c r="CB363" s="75">
        <f t="shared" ca="1" si="199"/>
        <v>54331</v>
      </c>
      <c r="CC363" s="74">
        <f t="shared" ca="1" si="217"/>
        <v>9</v>
      </c>
      <c r="CD363" s="74">
        <f t="shared" ca="1" si="194"/>
        <v>0</v>
      </c>
      <c r="CE363" s="73" t="str">
        <f t="shared" ca="1" si="218"/>
        <v xml:space="preserve"> </v>
      </c>
    </row>
    <row r="364" spans="1:83" x14ac:dyDescent="0.2">
      <c r="A364" s="38" t="str">
        <f t="shared" si="200"/>
        <v xml:space="preserve"> </v>
      </c>
      <c r="B364" s="108"/>
      <c r="C364" s="38"/>
      <c r="D364" s="137"/>
      <c r="E364" s="137"/>
      <c r="F364" s="137"/>
      <c r="G364" s="122"/>
      <c r="H364" s="137"/>
      <c r="I364" s="50"/>
      <c r="J364" s="50"/>
      <c r="K364" s="50"/>
      <c r="L364" s="38"/>
      <c r="M364" s="38"/>
      <c r="N364" s="38"/>
      <c r="O364" s="50"/>
      <c r="P364" s="218"/>
      <c r="Q364" s="50"/>
      <c r="R364" s="50"/>
      <c r="S364" s="38"/>
      <c r="T364" s="51"/>
      <c r="U364" s="65"/>
      <c r="V364" s="105"/>
      <c r="W364" s="66"/>
      <c r="X364" s="66"/>
      <c r="Y364" s="38"/>
      <c r="Z364" s="66">
        <f t="shared" si="188"/>
        <v>0</v>
      </c>
      <c r="AA364" s="67"/>
      <c r="AC364" s="41" t="e">
        <f>VLOOKUP(A364,'Input Sheet'!$A$2:$B$232,2,0)</f>
        <v>#N/A</v>
      </c>
      <c r="AD364" s="70"/>
      <c r="AI364" s="68"/>
      <c r="AL364" s="107">
        <f t="shared" ca="1" si="201"/>
        <v>0</v>
      </c>
      <c r="AM364" s="49">
        <f t="shared" ca="1" si="195"/>
        <v>54362</v>
      </c>
      <c r="AN364" s="137" t="str">
        <f t="shared" ca="1" si="202"/>
        <v xml:space="preserve"> </v>
      </c>
      <c r="AO364" s="107">
        <f t="shared" ca="1" si="191"/>
        <v>0</v>
      </c>
      <c r="AP364" s="143">
        <f t="shared" ca="1" si="189"/>
        <v>0</v>
      </c>
      <c r="AQ364" s="143">
        <f t="shared" ca="1" si="203"/>
        <v>0</v>
      </c>
      <c r="AR364" s="49" t="str">
        <f t="shared" ca="1" si="204"/>
        <v xml:space="preserve"> </v>
      </c>
      <c r="AS364" s="107">
        <f t="shared" ca="1" si="205"/>
        <v>0</v>
      </c>
      <c r="AT364" s="107">
        <f t="shared" ca="1" si="190"/>
        <v>0</v>
      </c>
      <c r="AU364" s="107"/>
      <c r="AV364" s="107">
        <f ca="1">MAX(SUM($AQ$6:AQ364)-SUM($AT$6:AT364),0)</f>
        <v>0</v>
      </c>
      <c r="AW364" s="107">
        <f t="shared" ca="1" si="196"/>
        <v>0</v>
      </c>
      <c r="AX364" s="107">
        <v>0</v>
      </c>
      <c r="AY364" s="138" t="str">
        <f t="shared" ca="1" si="206"/>
        <v xml:space="preserve"> </v>
      </c>
      <c r="AZ364" s="107">
        <f t="shared" ca="1" si="207"/>
        <v>0</v>
      </c>
      <c r="BA364" s="107">
        <f ca="1">IF(AZ364=1,(SUM($AW$6:AW364,$AX$6:AX364)-SUM($BA$6:BA363)),0)</f>
        <v>0</v>
      </c>
      <c r="BB364" s="107"/>
      <c r="BC364" s="107">
        <f ca="1">AV364+SUM($AW$6:AW364)+SUM($AX$6:AX364)-SUM($BA$6:BA364)</f>
        <v>0</v>
      </c>
      <c r="BD364" s="107">
        <f t="shared" ca="1" si="208"/>
        <v>0</v>
      </c>
      <c r="BE364" s="51">
        <f ca="1">'PiT PD Structure'!J404</f>
        <v>1.6693550266944079E-4</v>
      </c>
      <c r="BF364" s="139">
        <f t="shared" ca="1" si="197"/>
        <v>0.45</v>
      </c>
      <c r="BG364" s="51">
        <f t="shared" ca="1" si="209"/>
        <v>1</v>
      </c>
      <c r="BH364" s="50">
        <f t="shared" ca="1" si="210"/>
        <v>0</v>
      </c>
      <c r="BI364" s="50">
        <f t="shared" ca="1" si="211"/>
        <v>3.4816594052244909E-13</v>
      </c>
      <c r="BJ364" s="140">
        <v>0</v>
      </c>
      <c r="BK364" s="140">
        <v>0</v>
      </c>
      <c r="BR364" s="75">
        <f t="shared" ca="1" si="198"/>
        <v>54362</v>
      </c>
      <c r="BS364" s="74">
        <f t="shared" ca="1" si="212"/>
        <v>10</v>
      </c>
      <c r="BT364" s="74">
        <f t="shared" ca="1" si="192"/>
        <v>0</v>
      </c>
      <c r="BU364" s="73" t="str">
        <f t="shared" ca="1" si="213"/>
        <v xml:space="preserve"> </v>
      </c>
      <c r="BW364" s="75">
        <f t="shared" ca="1" si="214"/>
        <v>54362</v>
      </c>
      <c r="BX364" s="74">
        <f t="shared" ca="1" si="215"/>
        <v>10</v>
      </c>
      <c r="BY364" s="74">
        <f t="shared" ca="1" si="193"/>
        <v>0</v>
      </c>
      <c r="BZ364" s="73" t="str">
        <f t="shared" ca="1" si="216"/>
        <v xml:space="preserve"> </v>
      </c>
      <c r="CB364" s="75">
        <f t="shared" ca="1" si="199"/>
        <v>54362</v>
      </c>
      <c r="CC364" s="74">
        <f t="shared" ca="1" si="217"/>
        <v>10</v>
      </c>
      <c r="CD364" s="74">
        <f t="shared" ca="1" si="194"/>
        <v>0</v>
      </c>
      <c r="CE364" s="73" t="str">
        <f t="shared" ca="1" si="218"/>
        <v xml:space="preserve"> </v>
      </c>
    </row>
    <row r="365" spans="1:83" x14ac:dyDescent="0.2">
      <c r="A365" s="38" t="str">
        <f t="shared" si="200"/>
        <v xml:space="preserve"> </v>
      </c>
      <c r="B365" s="108"/>
      <c r="C365" s="38"/>
      <c r="D365" s="137"/>
      <c r="E365" s="137"/>
      <c r="F365" s="137"/>
      <c r="G365" s="122"/>
      <c r="H365" s="137"/>
      <c r="I365" s="50"/>
      <c r="J365" s="50"/>
      <c r="K365" s="50"/>
      <c r="L365" s="38"/>
      <c r="M365" s="38"/>
      <c r="N365" s="38"/>
      <c r="O365" s="50"/>
      <c r="P365" s="218"/>
      <c r="Q365" s="50"/>
      <c r="R365" s="50"/>
      <c r="S365" s="38"/>
      <c r="T365" s="51"/>
      <c r="U365" s="65"/>
      <c r="V365" s="105"/>
      <c r="W365" s="66"/>
      <c r="X365" s="66"/>
      <c r="Y365" s="38"/>
      <c r="Z365" s="66">
        <f t="shared" si="188"/>
        <v>0</v>
      </c>
      <c r="AA365" s="67"/>
      <c r="AC365" s="41" t="e">
        <f>VLOOKUP(A365,'Input Sheet'!$A$2:$B$232,2,0)</f>
        <v>#N/A</v>
      </c>
      <c r="AD365" s="70"/>
      <c r="AI365" s="68"/>
      <c r="AL365" s="107">
        <f t="shared" ca="1" si="201"/>
        <v>0</v>
      </c>
      <c r="AM365" s="49">
        <f t="shared" ca="1" si="195"/>
        <v>54392</v>
      </c>
      <c r="AN365" s="137" t="str">
        <f t="shared" ca="1" si="202"/>
        <v xml:space="preserve"> </v>
      </c>
      <c r="AO365" s="107">
        <f t="shared" ca="1" si="191"/>
        <v>0</v>
      </c>
      <c r="AP365" s="143">
        <f t="shared" ca="1" si="189"/>
        <v>0</v>
      </c>
      <c r="AQ365" s="143">
        <f t="shared" ca="1" si="203"/>
        <v>0</v>
      </c>
      <c r="AR365" s="49" t="str">
        <f t="shared" ca="1" si="204"/>
        <v xml:space="preserve"> </v>
      </c>
      <c r="AS365" s="107">
        <f t="shared" ca="1" si="205"/>
        <v>0</v>
      </c>
      <c r="AT365" s="107">
        <f t="shared" ca="1" si="190"/>
        <v>0</v>
      </c>
      <c r="AU365" s="107"/>
      <c r="AV365" s="107">
        <f ca="1">MAX(SUM($AQ$6:AQ365)-SUM($AT$6:AT365),0)</f>
        <v>0</v>
      </c>
      <c r="AW365" s="107">
        <f t="shared" ca="1" si="196"/>
        <v>0</v>
      </c>
      <c r="AX365" s="107">
        <v>0</v>
      </c>
      <c r="AY365" s="138" t="str">
        <f t="shared" ca="1" si="206"/>
        <v xml:space="preserve"> </v>
      </c>
      <c r="AZ365" s="107">
        <f t="shared" ca="1" si="207"/>
        <v>0</v>
      </c>
      <c r="BA365" s="107">
        <f ca="1">IF(AZ365=1,(SUM($AW$6:AW365,$AX$6:AX365)-SUM($BA$6:BA364)),0)</f>
        <v>0</v>
      </c>
      <c r="BB365" s="107"/>
      <c r="BC365" s="107">
        <f ca="1">AV365+SUM($AW$6:AW365)+SUM($AX$6:AX365)-SUM($BA$6:BA365)</f>
        <v>0</v>
      </c>
      <c r="BD365" s="107">
        <f t="shared" ca="1" si="208"/>
        <v>0</v>
      </c>
      <c r="BE365" s="51">
        <f ca="1">'PiT PD Structure'!J405</f>
        <v>1.6690482559333919E-4</v>
      </c>
      <c r="BF365" s="139">
        <f t="shared" ca="1" si="197"/>
        <v>0.45</v>
      </c>
      <c r="BG365" s="51">
        <f t="shared" ca="1" si="209"/>
        <v>1</v>
      </c>
      <c r="BH365" s="50">
        <f t="shared" ca="1" si="210"/>
        <v>0</v>
      </c>
      <c r="BI365" s="50">
        <f t="shared" ca="1" si="211"/>
        <v>3.4816594052244909E-13</v>
      </c>
      <c r="BJ365" s="140">
        <v>0</v>
      </c>
      <c r="BK365" s="140">
        <v>0</v>
      </c>
      <c r="BR365" s="75">
        <f t="shared" ca="1" si="198"/>
        <v>54392</v>
      </c>
      <c r="BS365" s="74">
        <f t="shared" ca="1" si="212"/>
        <v>11</v>
      </c>
      <c r="BT365" s="74">
        <f t="shared" ca="1" si="192"/>
        <v>0</v>
      </c>
      <c r="BU365" s="73" t="str">
        <f t="shared" ca="1" si="213"/>
        <v xml:space="preserve"> </v>
      </c>
      <c r="BW365" s="75">
        <f t="shared" ca="1" si="214"/>
        <v>54392</v>
      </c>
      <c r="BX365" s="74">
        <f t="shared" ca="1" si="215"/>
        <v>11</v>
      </c>
      <c r="BY365" s="74">
        <f t="shared" ca="1" si="193"/>
        <v>0</v>
      </c>
      <c r="BZ365" s="73" t="str">
        <f t="shared" ca="1" si="216"/>
        <v xml:space="preserve"> </v>
      </c>
      <c r="CB365" s="75">
        <f t="shared" ca="1" si="199"/>
        <v>54392</v>
      </c>
      <c r="CC365" s="74">
        <f t="shared" ca="1" si="217"/>
        <v>11</v>
      </c>
      <c r="CD365" s="74">
        <f t="shared" ca="1" si="194"/>
        <v>0</v>
      </c>
      <c r="CE365" s="73" t="str">
        <f t="shared" ca="1" si="218"/>
        <v xml:space="preserve"> </v>
      </c>
    </row>
    <row r="366" spans="1:83" x14ac:dyDescent="0.2">
      <c r="A366" s="38" t="str">
        <f t="shared" si="200"/>
        <v xml:space="preserve"> </v>
      </c>
      <c r="B366" s="108"/>
      <c r="C366" s="38"/>
      <c r="D366" s="137"/>
      <c r="E366" s="137"/>
      <c r="F366" s="137"/>
      <c r="G366" s="122"/>
      <c r="H366" s="137"/>
      <c r="I366" s="50"/>
      <c r="J366" s="50"/>
      <c r="K366" s="50"/>
      <c r="L366" s="38"/>
      <c r="M366" s="38"/>
      <c r="N366" s="38"/>
      <c r="O366" s="50"/>
      <c r="P366" s="218"/>
      <c r="Q366" s="50"/>
      <c r="R366" s="50"/>
      <c r="S366" s="38"/>
      <c r="T366" s="51"/>
      <c r="U366" s="65"/>
      <c r="V366" s="105"/>
      <c r="W366" s="66"/>
      <c r="X366" s="66"/>
      <c r="Y366" s="38"/>
      <c r="Z366" s="66">
        <f t="shared" si="188"/>
        <v>0</v>
      </c>
      <c r="AA366" s="67"/>
      <c r="AC366" s="41" t="e">
        <f>VLOOKUP(A366,'Input Sheet'!$A$2:$B$232,2,0)</f>
        <v>#N/A</v>
      </c>
      <c r="AD366" s="70"/>
      <c r="AI366" s="68"/>
      <c r="AL366" s="107">
        <f t="shared" ca="1" si="201"/>
        <v>0</v>
      </c>
      <c r="AM366" s="49">
        <f t="shared" ca="1" si="195"/>
        <v>54423</v>
      </c>
      <c r="AN366" s="137" t="str">
        <f t="shared" ca="1" si="202"/>
        <v xml:space="preserve"> </v>
      </c>
      <c r="AO366" s="107">
        <f t="shared" ca="1" si="191"/>
        <v>0</v>
      </c>
      <c r="AP366" s="143">
        <f t="shared" ca="1" si="189"/>
        <v>0</v>
      </c>
      <c r="AQ366" s="143">
        <f t="shared" ca="1" si="203"/>
        <v>0</v>
      </c>
      <c r="AR366" s="49" t="str">
        <f t="shared" ca="1" si="204"/>
        <v xml:space="preserve"> </v>
      </c>
      <c r="AS366" s="107">
        <f t="shared" ca="1" si="205"/>
        <v>0</v>
      </c>
      <c r="AT366" s="107">
        <f t="shared" ca="1" si="190"/>
        <v>0</v>
      </c>
      <c r="AU366" s="107"/>
      <c r="AV366" s="107">
        <f ca="1">MAX(SUM($AQ$6:AQ366)-SUM($AT$6:AT366),0)</f>
        <v>0</v>
      </c>
      <c r="AW366" s="107">
        <f t="shared" ca="1" si="196"/>
        <v>0</v>
      </c>
      <c r="AX366" s="107">
        <v>0</v>
      </c>
      <c r="AY366" s="138" t="str">
        <f t="shared" ca="1" si="206"/>
        <v xml:space="preserve"> </v>
      </c>
      <c r="AZ366" s="107">
        <f t="shared" ca="1" si="207"/>
        <v>0</v>
      </c>
      <c r="BA366" s="107">
        <f ca="1">IF(AZ366=1,(SUM($AW$6:AW366,$AX$6:AX366)-SUM($BA$6:BA365)),0)</f>
        <v>0</v>
      </c>
      <c r="BB366" s="107"/>
      <c r="BC366" s="107">
        <f ca="1">AV366+SUM($AW$6:AW366)+SUM($AX$6:AX366)-SUM($BA$6:BA366)</f>
        <v>0</v>
      </c>
      <c r="BD366" s="107">
        <f t="shared" ca="1" si="208"/>
        <v>0</v>
      </c>
      <c r="BE366" s="51">
        <f>'PiT PD Structure'!J406</f>
        <v>0</v>
      </c>
      <c r="BF366" s="139">
        <f t="shared" ca="1" si="197"/>
        <v>0.45</v>
      </c>
      <c r="BG366" s="51">
        <f t="shared" ca="1" si="209"/>
        <v>1</v>
      </c>
      <c r="BH366" s="50">
        <f t="shared" ca="1" si="210"/>
        <v>0</v>
      </c>
      <c r="BI366" s="50">
        <f t="shared" ca="1" si="211"/>
        <v>3.4816594052244909E-13</v>
      </c>
      <c r="BJ366" s="140">
        <v>0</v>
      </c>
      <c r="BK366" s="140">
        <v>0</v>
      </c>
      <c r="BR366" s="75">
        <f t="shared" ca="1" si="198"/>
        <v>54423</v>
      </c>
      <c r="BS366" s="74">
        <f t="shared" ca="1" si="212"/>
        <v>12</v>
      </c>
      <c r="BT366" s="74">
        <f t="shared" ca="1" si="192"/>
        <v>0</v>
      </c>
      <c r="BU366" s="73" t="str">
        <f t="shared" ca="1" si="213"/>
        <v xml:space="preserve"> </v>
      </c>
      <c r="BW366" s="75">
        <f t="shared" ca="1" si="214"/>
        <v>54423</v>
      </c>
      <c r="BX366" s="74">
        <f t="shared" ca="1" si="215"/>
        <v>12</v>
      </c>
      <c r="BY366" s="74">
        <f t="shared" ca="1" si="193"/>
        <v>0</v>
      </c>
      <c r="BZ366" s="73" t="str">
        <f t="shared" ca="1" si="216"/>
        <v xml:space="preserve"> </v>
      </c>
      <c r="CB366" s="75">
        <f t="shared" ca="1" si="199"/>
        <v>54423</v>
      </c>
      <c r="CC366" s="74">
        <f t="shared" ca="1" si="217"/>
        <v>12</v>
      </c>
      <c r="CD366" s="74">
        <f t="shared" ca="1" si="194"/>
        <v>0</v>
      </c>
      <c r="CE366" s="73" t="str">
        <f t="shared" ca="1" si="218"/>
        <v xml:space="preserve"> </v>
      </c>
    </row>
    <row r="367" spans="1:83" x14ac:dyDescent="0.2">
      <c r="A367" s="38" t="str">
        <f t="shared" si="200"/>
        <v xml:space="preserve"> </v>
      </c>
      <c r="B367" s="108"/>
      <c r="C367" s="38"/>
      <c r="D367" s="137"/>
      <c r="E367" s="137"/>
      <c r="F367" s="137"/>
      <c r="G367" s="122"/>
      <c r="H367" s="137"/>
      <c r="I367" s="50"/>
      <c r="J367" s="50"/>
      <c r="K367" s="50"/>
      <c r="L367" s="38"/>
      <c r="M367" s="38"/>
      <c r="N367" s="38"/>
      <c r="O367" s="50"/>
      <c r="P367" s="218"/>
      <c r="Q367" s="50"/>
      <c r="R367" s="50"/>
      <c r="S367" s="38"/>
      <c r="T367" s="51"/>
      <c r="U367" s="65"/>
      <c r="V367" s="105"/>
      <c r="W367" s="66"/>
      <c r="X367" s="66"/>
      <c r="Y367" s="38"/>
      <c r="Z367" s="66">
        <f t="shared" si="188"/>
        <v>0</v>
      </c>
      <c r="AA367" s="67"/>
      <c r="AC367" s="41" t="e">
        <f>VLOOKUP(A367,'Input Sheet'!$A$2:$B$232,2,0)</f>
        <v>#N/A</v>
      </c>
      <c r="AD367" s="70"/>
      <c r="AI367" s="68"/>
      <c r="AL367" s="107">
        <f t="shared" ca="1" si="201"/>
        <v>0</v>
      </c>
      <c r="AM367" s="49">
        <f t="shared" ca="1" si="195"/>
        <v>54454</v>
      </c>
      <c r="AN367" s="137" t="str">
        <f t="shared" ca="1" si="202"/>
        <v xml:space="preserve"> </v>
      </c>
      <c r="AO367" s="107">
        <f t="shared" ca="1" si="191"/>
        <v>0</v>
      </c>
      <c r="AP367" s="143">
        <f t="shared" ca="1" si="189"/>
        <v>0</v>
      </c>
      <c r="AQ367" s="143">
        <f t="shared" ca="1" si="203"/>
        <v>0</v>
      </c>
      <c r="AR367" s="49" t="str">
        <f t="shared" ca="1" si="204"/>
        <v xml:space="preserve"> </v>
      </c>
      <c r="AS367" s="107">
        <f t="shared" ca="1" si="205"/>
        <v>0</v>
      </c>
      <c r="AT367" s="107">
        <f t="shared" ca="1" si="190"/>
        <v>0</v>
      </c>
      <c r="AU367" s="107"/>
      <c r="AV367" s="107">
        <f ca="1">MAX(SUM($AQ$6:AQ367)-SUM($AT$6:AT367),0)</f>
        <v>0</v>
      </c>
      <c r="AW367" s="107">
        <f t="shared" ca="1" si="196"/>
        <v>0</v>
      </c>
      <c r="AX367" s="107">
        <v>0</v>
      </c>
      <c r="AY367" s="138" t="str">
        <f t="shared" ca="1" si="206"/>
        <v xml:space="preserve"> </v>
      </c>
      <c r="AZ367" s="107">
        <f t="shared" ca="1" si="207"/>
        <v>0</v>
      </c>
      <c r="BA367" s="107">
        <f ca="1">IF(AZ367=1,(SUM($AW$6:AW367,$AX$6:AX367)-SUM($BA$6:BA366)),0)</f>
        <v>0</v>
      </c>
      <c r="BB367" s="107"/>
      <c r="BC367" s="107">
        <f ca="1">AV367+SUM($AW$6:AW367)+SUM($AX$6:AX367)-SUM($BA$6:BA367)</f>
        <v>0</v>
      </c>
      <c r="BD367" s="107">
        <f t="shared" ca="1" si="208"/>
        <v>0</v>
      </c>
      <c r="BE367" s="51">
        <f>'PiT PD Structure'!J407</f>
        <v>0</v>
      </c>
      <c r="BF367" s="139">
        <f t="shared" ca="1" si="197"/>
        <v>0.45</v>
      </c>
      <c r="BG367" s="51">
        <f t="shared" ca="1" si="209"/>
        <v>1</v>
      </c>
      <c r="BH367" s="50">
        <f t="shared" ca="1" si="210"/>
        <v>0</v>
      </c>
      <c r="BI367" s="50">
        <f t="shared" ca="1" si="211"/>
        <v>3.4816594052244909E-13</v>
      </c>
      <c r="BJ367" s="140">
        <v>0</v>
      </c>
      <c r="BK367" s="140">
        <v>0</v>
      </c>
      <c r="BR367" s="75">
        <f t="shared" ca="1" si="198"/>
        <v>54454</v>
      </c>
      <c r="BS367" s="74">
        <f t="shared" ca="1" si="212"/>
        <v>1</v>
      </c>
      <c r="BT367" s="74">
        <f t="shared" ca="1" si="192"/>
        <v>0</v>
      </c>
      <c r="BU367" s="73" t="str">
        <f t="shared" ca="1" si="213"/>
        <v xml:space="preserve"> </v>
      </c>
      <c r="BW367" s="75">
        <f t="shared" ca="1" si="214"/>
        <v>54454</v>
      </c>
      <c r="BX367" s="74">
        <f t="shared" ca="1" si="215"/>
        <v>1</v>
      </c>
      <c r="BY367" s="74">
        <f t="shared" ca="1" si="193"/>
        <v>0</v>
      </c>
      <c r="BZ367" s="73" t="str">
        <f t="shared" ca="1" si="216"/>
        <v xml:space="preserve"> </v>
      </c>
      <c r="CB367" s="75">
        <f t="shared" ca="1" si="199"/>
        <v>54454</v>
      </c>
      <c r="CC367" s="74">
        <f t="shared" ca="1" si="217"/>
        <v>1</v>
      </c>
      <c r="CD367" s="74">
        <f t="shared" ca="1" si="194"/>
        <v>0</v>
      </c>
      <c r="CE367" s="73" t="str">
        <f t="shared" ca="1" si="218"/>
        <v xml:space="preserve"> </v>
      </c>
    </row>
    <row r="368" spans="1:83" x14ac:dyDescent="0.2">
      <c r="A368" s="38" t="str">
        <f t="shared" si="200"/>
        <v xml:space="preserve"> </v>
      </c>
      <c r="B368" s="108"/>
      <c r="C368" s="38"/>
      <c r="D368" s="137"/>
      <c r="E368" s="137"/>
      <c r="F368" s="137"/>
      <c r="G368" s="122"/>
      <c r="H368" s="137"/>
      <c r="I368" s="50"/>
      <c r="J368" s="50"/>
      <c r="K368" s="50"/>
      <c r="L368" s="38"/>
      <c r="M368" s="38"/>
      <c r="N368" s="38"/>
      <c r="O368" s="50"/>
      <c r="P368" s="218"/>
      <c r="Q368" s="50"/>
      <c r="R368" s="50"/>
      <c r="S368" s="38"/>
      <c r="T368" s="51"/>
      <c r="U368" s="65"/>
      <c r="V368" s="105"/>
      <c r="W368" s="66"/>
      <c r="X368" s="66"/>
      <c r="Y368" s="38"/>
      <c r="Z368" s="66">
        <f t="shared" si="188"/>
        <v>0</v>
      </c>
      <c r="AA368" s="67"/>
      <c r="AC368" s="41" t="e">
        <f>VLOOKUP(A368,'Input Sheet'!$A$2:$B$232,2,0)</f>
        <v>#N/A</v>
      </c>
      <c r="AD368" s="70"/>
      <c r="AI368" s="68"/>
      <c r="AL368" s="107">
        <f t="shared" ca="1" si="201"/>
        <v>0</v>
      </c>
      <c r="AM368" s="49">
        <f t="shared" ca="1" si="195"/>
        <v>54482</v>
      </c>
      <c r="AN368" s="137" t="str">
        <f t="shared" ca="1" si="202"/>
        <v xml:space="preserve"> </v>
      </c>
      <c r="AO368" s="107">
        <f t="shared" ca="1" si="191"/>
        <v>0</v>
      </c>
      <c r="AP368" s="143">
        <f t="shared" ca="1" si="189"/>
        <v>0</v>
      </c>
      <c r="AQ368" s="143">
        <f t="shared" ca="1" si="203"/>
        <v>0</v>
      </c>
      <c r="AR368" s="49" t="str">
        <f t="shared" ca="1" si="204"/>
        <v xml:space="preserve"> </v>
      </c>
      <c r="AS368" s="107">
        <f t="shared" ca="1" si="205"/>
        <v>0</v>
      </c>
      <c r="AT368" s="107">
        <f t="shared" ca="1" si="190"/>
        <v>0</v>
      </c>
      <c r="AU368" s="107"/>
      <c r="AV368" s="107">
        <f ca="1">MAX(SUM($AQ$6:AQ368)-SUM($AT$6:AT368),0)</f>
        <v>0</v>
      </c>
      <c r="AW368" s="107">
        <f t="shared" ca="1" si="196"/>
        <v>0</v>
      </c>
      <c r="AX368" s="107">
        <v>0</v>
      </c>
      <c r="AY368" s="138" t="str">
        <f t="shared" ca="1" si="206"/>
        <v xml:space="preserve"> </v>
      </c>
      <c r="AZ368" s="107">
        <f t="shared" ca="1" si="207"/>
        <v>0</v>
      </c>
      <c r="BA368" s="107">
        <f ca="1">IF(AZ368=1,(SUM($AW$6:AW368,$AX$6:AX368)-SUM($BA$6:BA367)),0)</f>
        <v>0</v>
      </c>
      <c r="BB368" s="107"/>
      <c r="BC368" s="107">
        <f ca="1">AV368+SUM($AW$6:AW368)+SUM($AX$6:AX368)-SUM($BA$6:BA368)</f>
        <v>0</v>
      </c>
      <c r="BD368" s="107">
        <f t="shared" ca="1" si="208"/>
        <v>0</v>
      </c>
      <c r="BE368" s="51">
        <f>'PiT PD Structure'!J408</f>
        <v>0</v>
      </c>
      <c r="BF368" s="139">
        <f t="shared" ca="1" si="197"/>
        <v>0.45</v>
      </c>
      <c r="BG368" s="51">
        <f t="shared" ca="1" si="209"/>
        <v>1</v>
      </c>
      <c r="BH368" s="50">
        <f t="shared" ca="1" si="210"/>
        <v>0</v>
      </c>
      <c r="BI368" s="50">
        <f t="shared" ca="1" si="211"/>
        <v>3.4816594052244909E-13</v>
      </c>
      <c r="BJ368" s="140">
        <v>0</v>
      </c>
      <c r="BK368" s="140">
        <v>0</v>
      </c>
      <c r="BR368" s="75">
        <f t="shared" ca="1" si="198"/>
        <v>54482</v>
      </c>
      <c r="BS368" s="74">
        <f t="shared" ca="1" si="212"/>
        <v>2</v>
      </c>
      <c r="BT368" s="74">
        <f t="shared" ca="1" si="192"/>
        <v>0</v>
      </c>
      <c r="BU368" s="73" t="str">
        <f t="shared" ca="1" si="213"/>
        <v xml:space="preserve"> </v>
      </c>
      <c r="BW368" s="75">
        <f t="shared" ca="1" si="214"/>
        <v>54482</v>
      </c>
      <c r="BX368" s="74">
        <f t="shared" ca="1" si="215"/>
        <v>2</v>
      </c>
      <c r="BY368" s="74">
        <f t="shared" ca="1" si="193"/>
        <v>0</v>
      </c>
      <c r="BZ368" s="73" t="str">
        <f t="shared" ca="1" si="216"/>
        <v xml:space="preserve"> </v>
      </c>
      <c r="CB368" s="75">
        <f t="shared" ca="1" si="199"/>
        <v>54482</v>
      </c>
      <c r="CC368" s="74">
        <f t="shared" ca="1" si="217"/>
        <v>2</v>
      </c>
      <c r="CD368" s="74">
        <f t="shared" ca="1" si="194"/>
        <v>0</v>
      </c>
      <c r="CE368" s="73" t="str">
        <f t="shared" ca="1" si="218"/>
        <v xml:space="preserve"> </v>
      </c>
    </row>
    <row r="369" spans="1:83" x14ac:dyDescent="0.2">
      <c r="A369" s="38" t="str">
        <f t="shared" si="200"/>
        <v xml:space="preserve"> </v>
      </c>
      <c r="B369" s="108"/>
      <c r="C369" s="38"/>
      <c r="D369" s="137"/>
      <c r="E369" s="137"/>
      <c r="F369" s="137"/>
      <c r="G369" s="122"/>
      <c r="H369" s="137"/>
      <c r="I369" s="50"/>
      <c r="J369" s="50"/>
      <c r="K369" s="50"/>
      <c r="L369" s="38"/>
      <c r="M369" s="38"/>
      <c r="N369" s="38"/>
      <c r="O369" s="50"/>
      <c r="P369" s="218"/>
      <c r="Q369" s="50"/>
      <c r="R369" s="50"/>
      <c r="S369" s="38"/>
      <c r="T369" s="51"/>
      <c r="U369" s="65"/>
      <c r="V369" s="105"/>
      <c r="W369" s="66"/>
      <c r="X369" s="66"/>
      <c r="Y369" s="38"/>
      <c r="Z369" s="66">
        <f t="shared" si="188"/>
        <v>0</v>
      </c>
      <c r="AA369" s="67"/>
      <c r="AC369" s="41" t="e">
        <f>VLOOKUP(A369,'Input Sheet'!$A$2:$B$232,2,0)</f>
        <v>#N/A</v>
      </c>
      <c r="AD369" s="70"/>
      <c r="AI369" s="68"/>
      <c r="AL369" s="107">
        <f t="shared" ca="1" si="201"/>
        <v>0</v>
      </c>
      <c r="AM369" s="49">
        <f t="shared" ca="1" si="195"/>
        <v>54513</v>
      </c>
      <c r="AN369" s="137" t="str">
        <f t="shared" ca="1" si="202"/>
        <v xml:space="preserve"> </v>
      </c>
      <c r="AO369" s="107">
        <f t="shared" ca="1" si="191"/>
        <v>0</v>
      </c>
      <c r="AP369" s="143">
        <f t="shared" ca="1" si="189"/>
        <v>0</v>
      </c>
      <c r="AQ369" s="143">
        <f t="shared" ca="1" si="203"/>
        <v>0</v>
      </c>
      <c r="AR369" s="49" t="str">
        <f t="shared" ca="1" si="204"/>
        <v xml:space="preserve"> </v>
      </c>
      <c r="AS369" s="107">
        <f t="shared" ca="1" si="205"/>
        <v>0</v>
      </c>
      <c r="AT369" s="107">
        <f t="shared" ca="1" si="190"/>
        <v>0</v>
      </c>
      <c r="AU369" s="107"/>
      <c r="AV369" s="107">
        <f ca="1">MAX(SUM($AQ$6:AQ369)-SUM($AT$6:AT369),0)</f>
        <v>0</v>
      </c>
      <c r="AW369" s="107">
        <f t="shared" ca="1" si="196"/>
        <v>0</v>
      </c>
      <c r="AX369" s="107">
        <v>0</v>
      </c>
      <c r="AY369" s="138" t="str">
        <f t="shared" ca="1" si="206"/>
        <v xml:space="preserve"> </v>
      </c>
      <c r="AZ369" s="107">
        <f t="shared" ca="1" si="207"/>
        <v>0</v>
      </c>
      <c r="BA369" s="107">
        <f ca="1">IF(AZ369=1,(SUM($AW$6:AW369,$AX$6:AX369)-SUM($BA$6:BA368)),0)</f>
        <v>0</v>
      </c>
      <c r="BB369" s="107"/>
      <c r="BC369" s="107">
        <f ca="1">AV369+SUM($AW$6:AW369)+SUM($AX$6:AX369)-SUM($BA$6:BA369)</f>
        <v>0</v>
      </c>
      <c r="BD369" s="107">
        <f t="shared" ca="1" si="208"/>
        <v>0</v>
      </c>
      <c r="BE369" s="51">
        <f>'PiT PD Structure'!J409</f>
        <v>0</v>
      </c>
      <c r="BF369" s="139">
        <f t="shared" ca="1" si="197"/>
        <v>0.45</v>
      </c>
      <c r="BG369" s="51">
        <f t="shared" ca="1" si="209"/>
        <v>1</v>
      </c>
      <c r="BH369" s="50">
        <f t="shared" ca="1" si="210"/>
        <v>0</v>
      </c>
      <c r="BI369" s="50">
        <f t="shared" ca="1" si="211"/>
        <v>3.4816594052244909E-13</v>
      </c>
      <c r="BJ369" s="140">
        <v>0</v>
      </c>
      <c r="BK369" s="140">
        <v>0</v>
      </c>
      <c r="BR369" s="75">
        <f t="shared" ca="1" si="198"/>
        <v>54513</v>
      </c>
      <c r="BS369" s="74">
        <f t="shared" ca="1" si="212"/>
        <v>3</v>
      </c>
      <c r="BT369" s="74">
        <f t="shared" ca="1" si="192"/>
        <v>0</v>
      </c>
      <c r="BU369" s="73" t="str">
        <f t="shared" ca="1" si="213"/>
        <v xml:space="preserve"> </v>
      </c>
      <c r="BW369" s="75">
        <f t="shared" ca="1" si="214"/>
        <v>54513</v>
      </c>
      <c r="BX369" s="74">
        <f t="shared" ca="1" si="215"/>
        <v>3</v>
      </c>
      <c r="BY369" s="74">
        <f t="shared" ca="1" si="193"/>
        <v>0</v>
      </c>
      <c r="BZ369" s="73" t="str">
        <f t="shared" ca="1" si="216"/>
        <v xml:space="preserve"> </v>
      </c>
      <c r="CB369" s="75">
        <f t="shared" ca="1" si="199"/>
        <v>54513</v>
      </c>
      <c r="CC369" s="74">
        <f t="shared" ca="1" si="217"/>
        <v>3</v>
      </c>
      <c r="CD369" s="74">
        <f t="shared" ca="1" si="194"/>
        <v>0</v>
      </c>
      <c r="CE369" s="73" t="str">
        <f t="shared" ca="1" si="218"/>
        <v xml:space="preserve"> </v>
      </c>
    </row>
    <row r="370" spans="1:83" x14ac:dyDescent="0.2">
      <c r="A370" s="38" t="str">
        <f t="shared" si="200"/>
        <v xml:space="preserve"> </v>
      </c>
      <c r="B370" s="108"/>
      <c r="C370" s="38"/>
      <c r="D370" s="137"/>
      <c r="E370" s="137"/>
      <c r="F370" s="137"/>
      <c r="G370" s="122"/>
      <c r="H370" s="137"/>
      <c r="I370" s="50"/>
      <c r="J370" s="50"/>
      <c r="K370" s="50"/>
      <c r="L370" s="38"/>
      <c r="M370" s="38"/>
      <c r="N370" s="38"/>
      <c r="O370" s="50"/>
      <c r="P370" s="218"/>
      <c r="Q370" s="50"/>
      <c r="R370" s="50"/>
      <c r="S370" s="38"/>
      <c r="T370" s="51"/>
      <c r="U370" s="65"/>
      <c r="V370" s="105"/>
      <c r="W370" s="66"/>
      <c r="X370" s="66"/>
      <c r="Y370" s="38"/>
      <c r="Z370" s="66">
        <f t="shared" si="188"/>
        <v>0</v>
      </c>
      <c r="AA370" s="67"/>
      <c r="AC370" s="41" t="e">
        <f>VLOOKUP(A370,'Input Sheet'!$A$2:$B$232,2,0)</f>
        <v>#N/A</v>
      </c>
      <c r="AD370" s="70"/>
      <c r="AI370" s="68"/>
      <c r="AL370" s="107">
        <f t="shared" ca="1" si="201"/>
        <v>0</v>
      </c>
      <c r="AM370" s="49">
        <f t="shared" ca="1" si="195"/>
        <v>54543</v>
      </c>
      <c r="AN370" s="137" t="str">
        <f t="shared" ca="1" si="202"/>
        <v xml:space="preserve"> </v>
      </c>
      <c r="AO370" s="107">
        <f t="shared" ca="1" si="191"/>
        <v>0</v>
      </c>
      <c r="AP370" s="143">
        <f t="shared" ca="1" si="189"/>
        <v>0</v>
      </c>
      <c r="AQ370" s="143">
        <f t="shared" ca="1" si="203"/>
        <v>0</v>
      </c>
      <c r="AR370" s="49" t="str">
        <f t="shared" ca="1" si="204"/>
        <v xml:space="preserve"> </v>
      </c>
      <c r="AS370" s="107">
        <f t="shared" ca="1" si="205"/>
        <v>0</v>
      </c>
      <c r="AT370" s="107">
        <f t="shared" ca="1" si="190"/>
        <v>0</v>
      </c>
      <c r="AU370" s="107"/>
      <c r="AV370" s="107">
        <f ca="1">MAX(SUM($AQ$6:AQ370)-SUM($AT$6:AT370),0)</f>
        <v>0</v>
      </c>
      <c r="AW370" s="107">
        <f t="shared" ca="1" si="196"/>
        <v>0</v>
      </c>
      <c r="AX370" s="107">
        <v>0</v>
      </c>
      <c r="AY370" s="138" t="str">
        <f t="shared" ca="1" si="206"/>
        <v xml:space="preserve"> </v>
      </c>
      <c r="AZ370" s="107">
        <f t="shared" ca="1" si="207"/>
        <v>0</v>
      </c>
      <c r="BA370" s="107">
        <f ca="1">IF(AZ370=1,(SUM($AW$6:AW370,$AX$6:AX370)-SUM($BA$6:BA369)),0)</f>
        <v>0</v>
      </c>
      <c r="BB370" s="107"/>
      <c r="BC370" s="107">
        <f ca="1">AV370+SUM($AW$6:AW370)+SUM($AX$6:AX370)-SUM($BA$6:BA370)</f>
        <v>0</v>
      </c>
      <c r="BD370" s="107">
        <f t="shared" ca="1" si="208"/>
        <v>0</v>
      </c>
      <c r="BE370" s="51">
        <f>'PiT PD Structure'!J410</f>
        <v>0</v>
      </c>
      <c r="BF370" s="139">
        <f t="shared" ca="1" si="197"/>
        <v>0.45</v>
      </c>
      <c r="BG370" s="51">
        <f t="shared" ca="1" si="209"/>
        <v>1</v>
      </c>
      <c r="BH370" s="50">
        <f t="shared" ca="1" si="210"/>
        <v>0</v>
      </c>
      <c r="BI370" s="50">
        <f t="shared" ca="1" si="211"/>
        <v>3.4816594052244909E-13</v>
      </c>
      <c r="BJ370" s="140">
        <v>0</v>
      </c>
      <c r="BK370" s="140">
        <v>0</v>
      </c>
      <c r="BR370" s="75">
        <f t="shared" ca="1" si="198"/>
        <v>54543</v>
      </c>
      <c r="BS370" s="74">
        <f t="shared" ca="1" si="212"/>
        <v>4</v>
      </c>
      <c r="BT370" s="74">
        <f t="shared" ca="1" si="192"/>
        <v>0</v>
      </c>
      <c r="BU370" s="73" t="str">
        <f t="shared" ca="1" si="213"/>
        <v xml:space="preserve"> </v>
      </c>
      <c r="BW370" s="75">
        <f t="shared" ca="1" si="214"/>
        <v>54543</v>
      </c>
      <c r="BX370" s="74">
        <f t="shared" ca="1" si="215"/>
        <v>4</v>
      </c>
      <c r="BY370" s="74">
        <f t="shared" ca="1" si="193"/>
        <v>0</v>
      </c>
      <c r="BZ370" s="73" t="str">
        <f t="shared" ca="1" si="216"/>
        <v xml:space="preserve"> </v>
      </c>
      <c r="CB370" s="75">
        <f t="shared" ca="1" si="199"/>
        <v>54543</v>
      </c>
      <c r="CC370" s="74">
        <f t="shared" ca="1" si="217"/>
        <v>4</v>
      </c>
      <c r="CD370" s="74">
        <f t="shared" ca="1" si="194"/>
        <v>0</v>
      </c>
      <c r="CE370" s="73" t="str">
        <f t="shared" ca="1" si="218"/>
        <v xml:space="preserve"> </v>
      </c>
    </row>
    <row r="371" spans="1:83" x14ac:dyDescent="0.2">
      <c r="A371" s="38" t="str">
        <f t="shared" si="200"/>
        <v xml:space="preserve"> </v>
      </c>
      <c r="B371" s="108"/>
      <c r="C371" s="38"/>
      <c r="D371" s="137"/>
      <c r="E371" s="137"/>
      <c r="F371" s="137"/>
      <c r="G371" s="122"/>
      <c r="H371" s="137"/>
      <c r="I371" s="50"/>
      <c r="J371" s="50"/>
      <c r="K371" s="50"/>
      <c r="L371" s="38"/>
      <c r="M371" s="38"/>
      <c r="N371" s="38"/>
      <c r="O371" s="50"/>
      <c r="P371" s="218"/>
      <c r="Q371" s="50"/>
      <c r="R371" s="50"/>
      <c r="S371" s="38"/>
      <c r="T371" s="51"/>
      <c r="U371" s="65"/>
      <c r="V371" s="105"/>
      <c r="W371" s="66"/>
      <c r="X371" s="66"/>
      <c r="Y371" s="38"/>
      <c r="Z371" s="66">
        <f t="shared" si="188"/>
        <v>0</v>
      </c>
      <c r="AA371" s="67"/>
      <c r="AC371" s="41" t="e">
        <f>VLOOKUP(A371,'Input Sheet'!$A$2:$B$232,2,0)</f>
        <v>#N/A</v>
      </c>
      <c r="AD371" s="70"/>
      <c r="AI371" s="68"/>
      <c r="AL371" s="107">
        <f t="shared" ca="1" si="201"/>
        <v>0</v>
      </c>
      <c r="AM371" s="49">
        <f t="shared" ca="1" si="195"/>
        <v>54574</v>
      </c>
      <c r="AN371" s="137" t="str">
        <f t="shared" ca="1" si="202"/>
        <v xml:space="preserve"> </v>
      </c>
      <c r="AO371" s="107">
        <f t="shared" ca="1" si="191"/>
        <v>0</v>
      </c>
      <c r="AP371" s="143">
        <f t="shared" ca="1" si="189"/>
        <v>0</v>
      </c>
      <c r="AQ371" s="143">
        <f t="shared" ca="1" si="203"/>
        <v>0</v>
      </c>
      <c r="AR371" s="49" t="str">
        <f t="shared" ca="1" si="204"/>
        <v xml:space="preserve"> </v>
      </c>
      <c r="AS371" s="107">
        <f t="shared" ca="1" si="205"/>
        <v>0</v>
      </c>
      <c r="AT371" s="107">
        <f t="shared" ca="1" si="190"/>
        <v>0</v>
      </c>
      <c r="AU371" s="107"/>
      <c r="AV371" s="107">
        <f ca="1">MAX(SUM($AQ$6:AQ371)-SUM($AT$6:AT371),0)</f>
        <v>0</v>
      </c>
      <c r="AW371" s="107">
        <f t="shared" ca="1" si="196"/>
        <v>0</v>
      </c>
      <c r="AX371" s="107">
        <v>0</v>
      </c>
      <c r="AY371" s="138" t="str">
        <f t="shared" ca="1" si="206"/>
        <v xml:space="preserve"> </v>
      </c>
      <c r="AZ371" s="107">
        <f t="shared" ca="1" si="207"/>
        <v>0</v>
      </c>
      <c r="BA371" s="107">
        <f ca="1">IF(AZ371=1,(SUM($AW$6:AW371,$AX$6:AX371)-SUM($BA$6:BA370)),0)</f>
        <v>0</v>
      </c>
      <c r="BB371" s="107"/>
      <c r="BC371" s="107">
        <f ca="1">AV371+SUM($AW$6:AW371)+SUM($AX$6:AX371)-SUM($BA$6:BA371)</f>
        <v>0</v>
      </c>
      <c r="BD371" s="107">
        <f t="shared" ca="1" si="208"/>
        <v>0</v>
      </c>
      <c r="BE371" s="51">
        <f>'PiT PD Structure'!J411</f>
        <v>0</v>
      </c>
      <c r="BF371" s="139">
        <f t="shared" ca="1" si="197"/>
        <v>0.45</v>
      </c>
      <c r="BG371" s="51">
        <f t="shared" ca="1" si="209"/>
        <v>1</v>
      </c>
      <c r="BH371" s="50">
        <f t="shared" ca="1" si="210"/>
        <v>0</v>
      </c>
      <c r="BI371" s="50">
        <f t="shared" ca="1" si="211"/>
        <v>3.4816594052244909E-13</v>
      </c>
      <c r="BJ371" s="140">
        <v>0</v>
      </c>
      <c r="BK371" s="140">
        <v>0</v>
      </c>
      <c r="BR371" s="75">
        <f t="shared" ca="1" si="198"/>
        <v>54574</v>
      </c>
      <c r="BS371" s="74">
        <f t="shared" ca="1" si="212"/>
        <v>5</v>
      </c>
      <c r="BT371" s="74">
        <f t="shared" ca="1" si="192"/>
        <v>0</v>
      </c>
      <c r="BU371" s="73" t="str">
        <f t="shared" ca="1" si="213"/>
        <v xml:space="preserve"> </v>
      </c>
      <c r="BW371" s="75">
        <f t="shared" ca="1" si="214"/>
        <v>54574</v>
      </c>
      <c r="BX371" s="74">
        <f t="shared" ca="1" si="215"/>
        <v>5</v>
      </c>
      <c r="BY371" s="74">
        <f t="shared" ca="1" si="193"/>
        <v>0</v>
      </c>
      <c r="BZ371" s="73" t="str">
        <f t="shared" ca="1" si="216"/>
        <v xml:space="preserve"> </v>
      </c>
      <c r="CB371" s="75">
        <f t="shared" ca="1" si="199"/>
        <v>54574</v>
      </c>
      <c r="CC371" s="74">
        <f t="shared" ca="1" si="217"/>
        <v>5</v>
      </c>
      <c r="CD371" s="74">
        <f t="shared" ca="1" si="194"/>
        <v>0</v>
      </c>
      <c r="CE371" s="73" t="str">
        <f t="shared" ca="1" si="218"/>
        <v xml:space="preserve"> </v>
      </c>
    </row>
    <row r="372" spans="1:83" x14ac:dyDescent="0.2">
      <c r="A372" s="38" t="str">
        <f t="shared" si="200"/>
        <v xml:space="preserve"> </v>
      </c>
      <c r="B372" s="108"/>
      <c r="C372" s="38"/>
      <c r="D372" s="137"/>
      <c r="E372" s="137"/>
      <c r="F372" s="137"/>
      <c r="G372" s="122"/>
      <c r="H372" s="137"/>
      <c r="I372" s="50"/>
      <c r="J372" s="50"/>
      <c r="K372" s="50"/>
      <c r="L372" s="38"/>
      <c r="M372" s="38"/>
      <c r="N372" s="38"/>
      <c r="O372" s="50"/>
      <c r="P372" s="218"/>
      <c r="Q372" s="50"/>
      <c r="R372" s="50"/>
      <c r="S372" s="38"/>
      <c r="T372" s="51"/>
      <c r="U372" s="65"/>
      <c r="V372" s="105"/>
      <c r="W372" s="66"/>
      <c r="X372" s="66"/>
      <c r="Y372" s="38"/>
      <c r="Z372" s="66">
        <f t="shared" si="188"/>
        <v>0</v>
      </c>
      <c r="AA372" s="67"/>
      <c r="AC372" s="41" t="e">
        <f>VLOOKUP(A372,'Input Sheet'!$A$2:$B$232,2,0)</f>
        <v>#N/A</v>
      </c>
      <c r="AD372" s="70"/>
      <c r="AI372" s="68"/>
      <c r="AL372" s="107">
        <f t="shared" ca="1" si="201"/>
        <v>0</v>
      </c>
      <c r="AM372" s="49">
        <f t="shared" ca="1" si="195"/>
        <v>54604</v>
      </c>
      <c r="AN372" s="137" t="str">
        <f t="shared" ca="1" si="202"/>
        <v xml:space="preserve"> </v>
      </c>
      <c r="AO372" s="107">
        <f t="shared" ca="1" si="191"/>
        <v>0</v>
      </c>
      <c r="AP372" s="143">
        <f t="shared" ca="1" si="189"/>
        <v>0</v>
      </c>
      <c r="AQ372" s="143">
        <f t="shared" ca="1" si="203"/>
        <v>0</v>
      </c>
      <c r="AR372" s="49" t="str">
        <f t="shared" ca="1" si="204"/>
        <v xml:space="preserve"> </v>
      </c>
      <c r="AS372" s="107">
        <f t="shared" ca="1" si="205"/>
        <v>0</v>
      </c>
      <c r="AT372" s="107">
        <f t="shared" ca="1" si="190"/>
        <v>0</v>
      </c>
      <c r="AU372" s="107"/>
      <c r="AV372" s="107">
        <f ca="1">MAX(SUM($AQ$6:AQ372)-SUM($AT$6:AT372),0)</f>
        <v>0</v>
      </c>
      <c r="AW372" s="107">
        <f t="shared" ca="1" si="196"/>
        <v>0</v>
      </c>
      <c r="AX372" s="107">
        <v>0</v>
      </c>
      <c r="AY372" s="138" t="str">
        <f t="shared" ca="1" si="206"/>
        <v xml:space="preserve"> </v>
      </c>
      <c r="AZ372" s="107">
        <f t="shared" ca="1" si="207"/>
        <v>0</v>
      </c>
      <c r="BA372" s="107">
        <f ca="1">IF(AZ372=1,(SUM($AW$6:AW372,$AX$6:AX372)-SUM($BA$6:BA371)),0)</f>
        <v>0</v>
      </c>
      <c r="BB372" s="107"/>
      <c r="BC372" s="107">
        <f ca="1">AV372+SUM($AW$6:AW372)+SUM($AX$6:AX372)-SUM($BA$6:BA372)</f>
        <v>0</v>
      </c>
      <c r="BD372" s="107">
        <f t="shared" ca="1" si="208"/>
        <v>0</v>
      </c>
      <c r="BE372" s="51">
        <f>'PiT PD Structure'!J412</f>
        <v>0</v>
      </c>
      <c r="BF372" s="139">
        <f t="shared" ca="1" si="197"/>
        <v>0.45</v>
      </c>
      <c r="BG372" s="51">
        <f t="shared" ca="1" si="209"/>
        <v>1</v>
      </c>
      <c r="BH372" s="50">
        <f t="shared" ca="1" si="210"/>
        <v>0</v>
      </c>
      <c r="BI372" s="50">
        <f t="shared" ca="1" si="211"/>
        <v>3.4816594052244909E-13</v>
      </c>
      <c r="BJ372" s="140">
        <v>0</v>
      </c>
      <c r="BK372" s="140">
        <v>0</v>
      </c>
      <c r="BR372" s="75">
        <f t="shared" ca="1" si="198"/>
        <v>54604</v>
      </c>
      <c r="BS372" s="74">
        <f t="shared" ca="1" si="212"/>
        <v>6</v>
      </c>
      <c r="BT372" s="74">
        <f t="shared" ca="1" si="192"/>
        <v>0</v>
      </c>
      <c r="BU372" s="73" t="str">
        <f t="shared" ca="1" si="213"/>
        <v xml:space="preserve"> </v>
      </c>
      <c r="BW372" s="75">
        <f t="shared" ca="1" si="214"/>
        <v>54604</v>
      </c>
      <c r="BX372" s="74">
        <f t="shared" ca="1" si="215"/>
        <v>6</v>
      </c>
      <c r="BY372" s="74">
        <f t="shared" ca="1" si="193"/>
        <v>0</v>
      </c>
      <c r="BZ372" s="73" t="str">
        <f t="shared" ca="1" si="216"/>
        <v xml:space="preserve"> </v>
      </c>
      <c r="CB372" s="75">
        <f t="shared" ca="1" si="199"/>
        <v>54604</v>
      </c>
      <c r="CC372" s="74">
        <f t="shared" ca="1" si="217"/>
        <v>6</v>
      </c>
      <c r="CD372" s="74">
        <f t="shared" ca="1" si="194"/>
        <v>0</v>
      </c>
      <c r="CE372" s="73" t="str">
        <f t="shared" ca="1" si="218"/>
        <v xml:space="preserve"> </v>
      </c>
    </row>
    <row r="373" spans="1:83" x14ac:dyDescent="0.2">
      <c r="A373" s="38" t="str">
        <f t="shared" si="200"/>
        <v xml:space="preserve"> </v>
      </c>
      <c r="B373" s="108"/>
      <c r="C373" s="38"/>
      <c r="D373" s="137"/>
      <c r="E373" s="137"/>
      <c r="F373" s="137"/>
      <c r="G373" s="122"/>
      <c r="H373" s="137"/>
      <c r="I373" s="50"/>
      <c r="J373" s="50"/>
      <c r="K373" s="50"/>
      <c r="L373" s="38"/>
      <c r="M373" s="38"/>
      <c r="N373" s="38"/>
      <c r="O373" s="50"/>
      <c r="P373" s="218"/>
      <c r="Q373" s="50"/>
      <c r="R373" s="50"/>
      <c r="S373" s="38"/>
      <c r="T373" s="51"/>
      <c r="U373" s="65"/>
      <c r="V373" s="105"/>
      <c r="W373" s="66"/>
      <c r="X373" s="66"/>
      <c r="Y373" s="38"/>
      <c r="Z373" s="66">
        <f t="shared" si="188"/>
        <v>0</v>
      </c>
      <c r="AA373" s="67"/>
      <c r="AC373" s="41" t="e">
        <f>VLOOKUP(A373,'Input Sheet'!$A$2:$B$232,2,0)</f>
        <v>#N/A</v>
      </c>
      <c r="AD373" s="70"/>
      <c r="AI373" s="68"/>
      <c r="AL373" s="107">
        <f t="shared" ca="1" si="201"/>
        <v>0</v>
      </c>
      <c r="AM373" s="49">
        <f t="shared" ca="1" si="195"/>
        <v>54635</v>
      </c>
      <c r="AN373" s="137" t="str">
        <f t="shared" ca="1" si="202"/>
        <v xml:space="preserve"> </v>
      </c>
      <c r="AO373" s="107">
        <f t="shared" ca="1" si="191"/>
        <v>0</v>
      </c>
      <c r="AP373" s="143">
        <f t="shared" ca="1" si="189"/>
        <v>0</v>
      </c>
      <c r="AQ373" s="143">
        <f t="shared" ca="1" si="203"/>
        <v>0</v>
      </c>
      <c r="AR373" s="49" t="str">
        <f t="shared" ca="1" si="204"/>
        <v xml:space="preserve"> </v>
      </c>
      <c r="AS373" s="107">
        <f t="shared" ca="1" si="205"/>
        <v>0</v>
      </c>
      <c r="AT373" s="107">
        <f t="shared" ca="1" si="190"/>
        <v>0</v>
      </c>
      <c r="AU373" s="107"/>
      <c r="AV373" s="107">
        <f ca="1">MAX(SUM($AQ$6:AQ373)-SUM($AT$6:AT373),0)</f>
        <v>0</v>
      </c>
      <c r="AW373" s="107">
        <f t="shared" ca="1" si="196"/>
        <v>0</v>
      </c>
      <c r="AX373" s="107">
        <v>0</v>
      </c>
      <c r="AY373" s="138" t="str">
        <f t="shared" ca="1" si="206"/>
        <v xml:space="preserve"> </v>
      </c>
      <c r="AZ373" s="107">
        <f t="shared" ca="1" si="207"/>
        <v>0</v>
      </c>
      <c r="BA373" s="107">
        <f ca="1">IF(AZ373=1,(SUM($AW$6:AW373,$AX$6:AX373)-SUM($BA$6:BA372)),0)</f>
        <v>0</v>
      </c>
      <c r="BB373" s="107"/>
      <c r="BC373" s="107">
        <f ca="1">AV373+SUM($AW$6:AW373)+SUM($AX$6:AX373)-SUM($BA$6:BA373)</f>
        <v>0</v>
      </c>
      <c r="BD373" s="107">
        <f t="shared" ca="1" si="208"/>
        <v>0</v>
      </c>
      <c r="BE373" s="51">
        <f>'PiT PD Structure'!J413</f>
        <v>0</v>
      </c>
      <c r="BF373" s="139">
        <f t="shared" ca="1" si="197"/>
        <v>0.45</v>
      </c>
      <c r="BG373" s="51">
        <f t="shared" ca="1" si="209"/>
        <v>1</v>
      </c>
      <c r="BH373" s="50">
        <f t="shared" ca="1" si="210"/>
        <v>0</v>
      </c>
      <c r="BI373" s="50">
        <f t="shared" ca="1" si="211"/>
        <v>3.4816594052244909E-13</v>
      </c>
      <c r="BJ373" s="140">
        <v>0</v>
      </c>
      <c r="BK373" s="140">
        <v>0</v>
      </c>
      <c r="BR373" s="75">
        <f t="shared" ca="1" si="198"/>
        <v>54635</v>
      </c>
      <c r="BS373" s="74">
        <f t="shared" ca="1" si="212"/>
        <v>7</v>
      </c>
      <c r="BT373" s="74">
        <f t="shared" ca="1" si="192"/>
        <v>0</v>
      </c>
      <c r="BU373" s="73" t="str">
        <f t="shared" ca="1" si="213"/>
        <v xml:space="preserve"> </v>
      </c>
      <c r="BW373" s="75">
        <f t="shared" ca="1" si="214"/>
        <v>54635</v>
      </c>
      <c r="BX373" s="74">
        <f t="shared" ca="1" si="215"/>
        <v>7</v>
      </c>
      <c r="BY373" s="74">
        <f t="shared" ca="1" si="193"/>
        <v>0</v>
      </c>
      <c r="BZ373" s="73" t="str">
        <f t="shared" ca="1" si="216"/>
        <v xml:space="preserve"> </v>
      </c>
      <c r="CB373" s="75">
        <f t="shared" ca="1" si="199"/>
        <v>54635</v>
      </c>
      <c r="CC373" s="74">
        <f t="shared" ca="1" si="217"/>
        <v>7</v>
      </c>
      <c r="CD373" s="74">
        <f t="shared" ca="1" si="194"/>
        <v>0</v>
      </c>
      <c r="CE373" s="73" t="str">
        <f t="shared" ca="1" si="218"/>
        <v xml:space="preserve"> </v>
      </c>
    </row>
    <row r="374" spans="1:83" x14ac:dyDescent="0.2">
      <c r="A374" s="38" t="str">
        <f t="shared" si="200"/>
        <v xml:space="preserve"> </v>
      </c>
      <c r="B374" s="108"/>
      <c r="C374" s="38"/>
      <c r="D374" s="137"/>
      <c r="E374" s="137"/>
      <c r="F374" s="137"/>
      <c r="G374" s="122"/>
      <c r="H374" s="137"/>
      <c r="I374" s="50"/>
      <c r="J374" s="50"/>
      <c r="K374" s="50"/>
      <c r="L374" s="38"/>
      <c r="M374" s="38"/>
      <c r="N374" s="38"/>
      <c r="O374" s="50"/>
      <c r="P374" s="218"/>
      <c r="Q374" s="50"/>
      <c r="R374" s="50"/>
      <c r="S374" s="38"/>
      <c r="T374" s="51"/>
      <c r="U374" s="65"/>
      <c r="V374" s="105"/>
      <c r="W374" s="66"/>
      <c r="X374" s="66"/>
      <c r="Y374" s="38"/>
      <c r="Z374" s="66">
        <f t="shared" si="188"/>
        <v>0</v>
      </c>
      <c r="AA374" s="67"/>
      <c r="AC374" s="41" t="e">
        <f>VLOOKUP(A374,'Input Sheet'!$A$2:$B$232,2,0)</f>
        <v>#N/A</v>
      </c>
      <c r="AD374" s="70"/>
      <c r="AI374" s="68"/>
      <c r="AL374" s="107">
        <f t="shared" ca="1" si="201"/>
        <v>0</v>
      </c>
      <c r="AM374" s="49">
        <f t="shared" ca="1" si="195"/>
        <v>54666</v>
      </c>
      <c r="AN374" s="137" t="str">
        <f t="shared" ca="1" si="202"/>
        <v xml:space="preserve"> </v>
      </c>
      <c r="AO374" s="107">
        <f t="shared" ca="1" si="191"/>
        <v>0</v>
      </c>
      <c r="AP374" s="143">
        <f t="shared" ca="1" si="189"/>
        <v>0</v>
      </c>
      <c r="AQ374" s="143">
        <f t="shared" ca="1" si="203"/>
        <v>0</v>
      </c>
      <c r="AR374" s="49" t="str">
        <f t="shared" ca="1" si="204"/>
        <v xml:space="preserve"> </v>
      </c>
      <c r="AS374" s="107">
        <f t="shared" ca="1" si="205"/>
        <v>0</v>
      </c>
      <c r="AT374" s="107">
        <f t="shared" ca="1" si="190"/>
        <v>0</v>
      </c>
      <c r="AU374" s="107"/>
      <c r="AV374" s="107">
        <f ca="1">MAX(SUM($AQ$6:AQ374)-SUM($AT$6:AT374),0)</f>
        <v>0</v>
      </c>
      <c r="AW374" s="107">
        <f t="shared" ca="1" si="196"/>
        <v>0</v>
      </c>
      <c r="AX374" s="107">
        <v>0</v>
      </c>
      <c r="AY374" s="138" t="str">
        <f t="shared" ca="1" si="206"/>
        <v xml:space="preserve"> </v>
      </c>
      <c r="AZ374" s="107">
        <f t="shared" ca="1" si="207"/>
        <v>0</v>
      </c>
      <c r="BA374" s="107">
        <f ca="1">IF(AZ374=1,(SUM($AW$6:AW374,$AX$6:AX374)-SUM($BA$6:BA373)),0)</f>
        <v>0</v>
      </c>
      <c r="BB374" s="107"/>
      <c r="BC374" s="107">
        <f ca="1">AV374+SUM($AW$6:AW374)+SUM($AX$6:AX374)-SUM($BA$6:BA374)</f>
        <v>0</v>
      </c>
      <c r="BD374" s="107">
        <f t="shared" ca="1" si="208"/>
        <v>0</v>
      </c>
      <c r="BE374" s="51">
        <f>'PiT PD Structure'!J414</f>
        <v>0</v>
      </c>
      <c r="BF374" s="139">
        <f t="shared" ca="1" si="197"/>
        <v>0.45</v>
      </c>
      <c r="BG374" s="51">
        <f t="shared" ca="1" si="209"/>
        <v>1</v>
      </c>
      <c r="BH374" s="50">
        <f t="shared" ca="1" si="210"/>
        <v>0</v>
      </c>
      <c r="BI374" s="50">
        <f t="shared" ca="1" si="211"/>
        <v>3.4816594052244909E-13</v>
      </c>
      <c r="BJ374" s="140">
        <v>0</v>
      </c>
      <c r="BK374" s="140">
        <v>0</v>
      </c>
      <c r="BR374" s="75">
        <f t="shared" ca="1" si="198"/>
        <v>54666</v>
      </c>
      <c r="BS374" s="74">
        <f t="shared" ca="1" si="212"/>
        <v>8</v>
      </c>
      <c r="BT374" s="74">
        <f t="shared" ca="1" si="192"/>
        <v>0</v>
      </c>
      <c r="BU374" s="73" t="str">
        <f t="shared" ca="1" si="213"/>
        <v xml:space="preserve"> </v>
      </c>
      <c r="BW374" s="75">
        <f t="shared" ca="1" si="214"/>
        <v>54666</v>
      </c>
      <c r="BX374" s="74">
        <f t="shared" ca="1" si="215"/>
        <v>8</v>
      </c>
      <c r="BY374" s="74">
        <f t="shared" ca="1" si="193"/>
        <v>0</v>
      </c>
      <c r="BZ374" s="73" t="str">
        <f t="shared" ca="1" si="216"/>
        <v xml:space="preserve"> </v>
      </c>
      <c r="CB374" s="75">
        <f t="shared" ca="1" si="199"/>
        <v>54666</v>
      </c>
      <c r="CC374" s="74">
        <f t="shared" ca="1" si="217"/>
        <v>8</v>
      </c>
      <c r="CD374" s="74">
        <f t="shared" ca="1" si="194"/>
        <v>0</v>
      </c>
      <c r="CE374" s="73" t="str">
        <f t="shared" ca="1" si="218"/>
        <v xml:space="preserve"> </v>
      </c>
    </row>
    <row r="375" spans="1:83" x14ac:dyDescent="0.2">
      <c r="A375" s="38" t="str">
        <f t="shared" si="200"/>
        <v xml:space="preserve"> </v>
      </c>
      <c r="B375" s="108"/>
      <c r="C375" s="38"/>
      <c r="D375" s="137"/>
      <c r="E375" s="137"/>
      <c r="F375" s="137"/>
      <c r="G375" s="122"/>
      <c r="H375" s="137"/>
      <c r="I375" s="50"/>
      <c r="J375" s="50"/>
      <c r="K375" s="50"/>
      <c r="L375" s="38"/>
      <c r="M375" s="38"/>
      <c r="N375" s="38"/>
      <c r="O375" s="50"/>
      <c r="P375" s="218"/>
      <c r="Q375" s="50"/>
      <c r="R375" s="50"/>
      <c r="S375" s="38"/>
      <c r="T375" s="51"/>
      <c r="U375" s="65"/>
      <c r="V375" s="105"/>
      <c r="W375" s="66"/>
      <c r="X375" s="66"/>
      <c r="Y375" s="38"/>
      <c r="Z375" s="66">
        <f t="shared" si="188"/>
        <v>0</v>
      </c>
      <c r="AA375" s="67"/>
      <c r="AC375" s="41" t="e">
        <f>VLOOKUP(A375,'Input Sheet'!$A$2:$B$232,2,0)</f>
        <v>#N/A</v>
      </c>
      <c r="AD375" s="70"/>
      <c r="AI375" s="68"/>
      <c r="AL375" s="107">
        <f t="shared" ca="1" si="201"/>
        <v>0</v>
      </c>
      <c r="AM375" s="49">
        <f t="shared" ca="1" si="195"/>
        <v>54696</v>
      </c>
      <c r="AN375" s="137" t="str">
        <f t="shared" ca="1" si="202"/>
        <v xml:space="preserve"> </v>
      </c>
      <c r="AO375" s="107">
        <f t="shared" ca="1" si="191"/>
        <v>0</v>
      </c>
      <c r="AP375" s="143">
        <f t="shared" ca="1" si="189"/>
        <v>0</v>
      </c>
      <c r="AQ375" s="143">
        <f t="shared" ca="1" si="203"/>
        <v>0</v>
      </c>
      <c r="AR375" s="49" t="str">
        <f t="shared" ca="1" si="204"/>
        <v xml:space="preserve"> </v>
      </c>
      <c r="AS375" s="107">
        <f t="shared" ca="1" si="205"/>
        <v>0</v>
      </c>
      <c r="AT375" s="107">
        <f t="shared" ca="1" si="190"/>
        <v>0</v>
      </c>
      <c r="AU375" s="107"/>
      <c r="AV375" s="107">
        <f ca="1">MAX(SUM($AQ$6:AQ375)-SUM($AT$6:AT375),0)</f>
        <v>0</v>
      </c>
      <c r="AW375" s="107">
        <f t="shared" ca="1" si="196"/>
        <v>0</v>
      </c>
      <c r="AX375" s="107">
        <v>0</v>
      </c>
      <c r="AY375" s="138" t="str">
        <f t="shared" ca="1" si="206"/>
        <v xml:space="preserve"> </v>
      </c>
      <c r="AZ375" s="107">
        <f t="shared" ca="1" si="207"/>
        <v>0</v>
      </c>
      <c r="BA375" s="107">
        <f ca="1">IF(AZ375=1,(SUM($AW$6:AW375,$AX$6:AX375)-SUM($BA$6:BA374)),0)</f>
        <v>0</v>
      </c>
      <c r="BB375" s="107"/>
      <c r="BC375" s="107">
        <f ca="1">AV375+SUM($AW$6:AW375)+SUM($AX$6:AX375)-SUM($BA$6:BA375)</f>
        <v>0</v>
      </c>
      <c r="BD375" s="107">
        <f t="shared" ca="1" si="208"/>
        <v>0</v>
      </c>
      <c r="BE375" s="51">
        <f>'PiT PD Structure'!J415</f>
        <v>0</v>
      </c>
      <c r="BF375" s="139">
        <f t="shared" ca="1" si="197"/>
        <v>0.45</v>
      </c>
      <c r="BG375" s="51">
        <f t="shared" ca="1" si="209"/>
        <v>1</v>
      </c>
      <c r="BH375" s="50">
        <f t="shared" ca="1" si="210"/>
        <v>0</v>
      </c>
      <c r="BI375" s="50">
        <f t="shared" ca="1" si="211"/>
        <v>3.4816594052244909E-13</v>
      </c>
      <c r="BJ375" s="140">
        <v>0</v>
      </c>
      <c r="BK375" s="140">
        <v>0</v>
      </c>
      <c r="BR375" s="75">
        <f t="shared" ca="1" si="198"/>
        <v>54696</v>
      </c>
      <c r="BS375" s="74">
        <f t="shared" ca="1" si="212"/>
        <v>9</v>
      </c>
      <c r="BT375" s="74">
        <f t="shared" ca="1" si="192"/>
        <v>0</v>
      </c>
      <c r="BU375" s="73" t="str">
        <f t="shared" ca="1" si="213"/>
        <v xml:space="preserve"> </v>
      </c>
      <c r="BW375" s="75">
        <f t="shared" ca="1" si="214"/>
        <v>54696</v>
      </c>
      <c r="BX375" s="74">
        <f t="shared" ca="1" si="215"/>
        <v>9</v>
      </c>
      <c r="BY375" s="74">
        <f t="shared" ca="1" si="193"/>
        <v>0</v>
      </c>
      <c r="BZ375" s="73" t="str">
        <f t="shared" ca="1" si="216"/>
        <v xml:space="preserve"> </v>
      </c>
      <c r="CB375" s="75">
        <f t="shared" ca="1" si="199"/>
        <v>54696</v>
      </c>
      <c r="CC375" s="74">
        <f t="shared" ca="1" si="217"/>
        <v>9</v>
      </c>
      <c r="CD375" s="74">
        <f t="shared" ca="1" si="194"/>
        <v>0</v>
      </c>
      <c r="CE375" s="73" t="str">
        <f t="shared" ca="1" si="218"/>
        <v xml:space="preserve"> </v>
      </c>
    </row>
    <row r="376" spans="1:83" x14ac:dyDescent="0.2">
      <c r="A376" s="38" t="str">
        <f t="shared" si="200"/>
        <v xml:space="preserve"> </v>
      </c>
      <c r="B376" s="108"/>
      <c r="C376" s="38"/>
      <c r="D376" s="137"/>
      <c r="E376" s="137"/>
      <c r="F376" s="137"/>
      <c r="G376" s="122"/>
      <c r="H376" s="137"/>
      <c r="I376" s="50"/>
      <c r="J376" s="50"/>
      <c r="K376" s="50"/>
      <c r="L376" s="38"/>
      <c r="M376" s="38"/>
      <c r="N376" s="38"/>
      <c r="O376" s="50"/>
      <c r="P376" s="218"/>
      <c r="Q376" s="50"/>
      <c r="R376" s="50"/>
      <c r="S376" s="38"/>
      <c r="T376" s="51"/>
      <c r="U376" s="65"/>
      <c r="V376" s="105"/>
      <c r="W376" s="66"/>
      <c r="X376" s="66"/>
      <c r="Y376" s="38"/>
      <c r="Z376" s="66">
        <f t="shared" si="188"/>
        <v>0</v>
      </c>
      <c r="AA376" s="67"/>
      <c r="AC376" s="41" t="e">
        <f>VLOOKUP(A376,'Input Sheet'!$A$2:$B$232,2,0)</f>
        <v>#N/A</v>
      </c>
      <c r="AD376" s="70"/>
      <c r="AI376" s="68"/>
      <c r="AL376" s="107">
        <f t="shared" ca="1" si="201"/>
        <v>0</v>
      </c>
      <c r="AM376" s="49">
        <f t="shared" ca="1" si="195"/>
        <v>54727</v>
      </c>
      <c r="AN376" s="137" t="str">
        <f t="shared" ca="1" si="202"/>
        <v xml:space="preserve"> </v>
      </c>
      <c r="AO376" s="107">
        <f t="shared" ca="1" si="191"/>
        <v>0</v>
      </c>
      <c r="AP376" s="143">
        <f t="shared" ca="1" si="189"/>
        <v>0</v>
      </c>
      <c r="AQ376" s="143">
        <f t="shared" ca="1" si="203"/>
        <v>0</v>
      </c>
      <c r="AR376" s="49" t="str">
        <f t="shared" ca="1" si="204"/>
        <v xml:space="preserve"> </v>
      </c>
      <c r="AS376" s="107">
        <f t="shared" ca="1" si="205"/>
        <v>0</v>
      </c>
      <c r="AT376" s="107">
        <f t="shared" ca="1" si="190"/>
        <v>0</v>
      </c>
      <c r="AU376" s="107"/>
      <c r="AV376" s="107">
        <f ca="1">MAX(SUM($AQ$6:AQ376)-SUM($AT$6:AT376),0)</f>
        <v>0</v>
      </c>
      <c r="AW376" s="107">
        <f t="shared" ca="1" si="196"/>
        <v>0</v>
      </c>
      <c r="AX376" s="107">
        <v>0</v>
      </c>
      <c r="AY376" s="138" t="str">
        <f t="shared" ca="1" si="206"/>
        <v xml:space="preserve"> </v>
      </c>
      <c r="AZ376" s="107">
        <f t="shared" ca="1" si="207"/>
        <v>0</v>
      </c>
      <c r="BA376" s="107">
        <f ca="1">IF(AZ376=1,(SUM($AW$6:AW376,$AX$6:AX376)-SUM($BA$6:BA375)),0)</f>
        <v>0</v>
      </c>
      <c r="BB376" s="107"/>
      <c r="BC376" s="107">
        <f ca="1">AV376+SUM($AW$6:AW376)+SUM($AX$6:AX376)-SUM($BA$6:BA376)</f>
        <v>0</v>
      </c>
      <c r="BD376" s="107">
        <f t="shared" ca="1" si="208"/>
        <v>0</v>
      </c>
      <c r="BE376" s="51">
        <f>'PiT PD Structure'!J416</f>
        <v>0</v>
      </c>
      <c r="BF376" s="139">
        <f t="shared" ca="1" si="197"/>
        <v>0.45</v>
      </c>
      <c r="BG376" s="51">
        <f t="shared" ca="1" si="209"/>
        <v>1</v>
      </c>
      <c r="BH376" s="50">
        <f t="shared" ca="1" si="210"/>
        <v>0</v>
      </c>
      <c r="BI376" s="50">
        <f t="shared" ca="1" si="211"/>
        <v>3.4816594052244909E-13</v>
      </c>
      <c r="BJ376" s="140">
        <v>0</v>
      </c>
      <c r="BK376" s="140">
        <v>0</v>
      </c>
      <c r="BR376" s="75">
        <f t="shared" ca="1" si="198"/>
        <v>54727</v>
      </c>
      <c r="BS376" s="74">
        <f t="shared" ca="1" si="212"/>
        <v>10</v>
      </c>
      <c r="BT376" s="74">
        <f t="shared" ca="1" si="192"/>
        <v>0</v>
      </c>
      <c r="BU376" s="73" t="str">
        <f t="shared" ca="1" si="213"/>
        <v xml:space="preserve"> </v>
      </c>
      <c r="BW376" s="75">
        <f t="shared" ca="1" si="214"/>
        <v>54727</v>
      </c>
      <c r="BX376" s="74">
        <f t="shared" ca="1" si="215"/>
        <v>10</v>
      </c>
      <c r="BY376" s="74">
        <f t="shared" ca="1" si="193"/>
        <v>0</v>
      </c>
      <c r="BZ376" s="73" t="str">
        <f t="shared" ca="1" si="216"/>
        <v xml:space="preserve"> </v>
      </c>
      <c r="CB376" s="75">
        <f t="shared" ca="1" si="199"/>
        <v>54727</v>
      </c>
      <c r="CC376" s="74">
        <f t="shared" ca="1" si="217"/>
        <v>10</v>
      </c>
      <c r="CD376" s="74">
        <f t="shared" ca="1" si="194"/>
        <v>0</v>
      </c>
      <c r="CE376" s="73" t="str">
        <f t="shared" ca="1" si="218"/>
        <v xml:space="preserve"> </v>
      </c>
    </row>
    <row r="377" spans="1:83" x14ac:dyDescent="0.2">
      <c r="A377" s="38" t="str">
        <f t="shared" si="200"/>
        <v xml:space="preserve"> </v>
      </c>
      <c r="B377" s="108"/>
      <c r="C377" s="38"/>
      <c r="D377" s="137"/>
      <c r="E377" s="137"/>
      <c r="F377" s="137"/>
      <c r="G377" s="122"/>
      <c r="H377" s="137"/>
      <c r="I377" s="50"/>
      <c r="J377" s="50"/>
      <c r="K377" s="50"/>
      <c r="L377" s="38"/>
      <c r="M377" s="38"/>
      <c r="N377" s="38"/>
      <c r="O377" s="50"/>
      <c r="P377" s="218"/>
      <c r="Q377" s="50"/>
      <c r="R377" s="50"/>
      <c r="S377" s="38"/>
      <c r="T377" s="51"/>
      <c r="U377" s="65"/>
      <c r="V377" s="105"/>
      <c r="W377" s="66"/>
      <c r="X377" s="66"/>
      <c r="Y377" s="38"/>
      <c r="Z377" s="66">
        <f t="shared" si="188"/>
        <v>0</v>
      </c>
      <c r="AA377" s="67"/>
      <c r="AC377" s="41" t="e">
        <f>VLOOKUP(A377,'Input Sheet'!$A$2:$B$232,2,0)</f>
        <v>#N/A</v>
      </c>
      <c r="AD377" s="70"/>
      <c r="AI377" s="68"/>
      <c r="AL377" s="107">
        <f t="shared" ca="1" si="201"/>
        <v>0</v>
      </c>
      <c r="AM377" s="49">
        <f t="shared" ca="1" si="195"/>
        <v>54757</v>
      </c>
      <c r="AN377" s="137" t="str">
        <f t="shared" ca="1" si="202"/>
        <v xml:space="preserve"> </v>
      </c>
      <c r="AO377" s="107">
        <f t="shared" ca="1" si="191"/>
        <v>0</v>
      </c>
      <c r="AP377" s="143">
        <f t="shared" ca="1" si="189"/>
        <v>0</v>
      </c>
      <c r="AQ377" s="143">
        <f t="shared" ca="1" si="203"/>
        <v>0</v>
      </c>
      <c r="AR377" s="49" t="str">
        <f t="shared" ca="1" si="204"/>
        <v xml:space="preserve"> </v>
      </c>
      <c r="AS377" s="107">
        <f t="shared" ca="1" si="205"/>
        <v>0</v>
      </c>
      <c r="AT377" s="107">
        <f t="shared" ca="1" si="190"/>
        <v>0</v>
      </c>
      <c r="AU377" s="107"/>
      <c r="AV377" s="107">
        <f ca="1">MAX(SUM($AQ$6:AQ377)-SUM($AT$6:AT377),0)</f>
        <v>0</v>
      </c>
      <c r="AW377" s="107">
        <f t="shared" ca="1" si="196"/>
        <v>0</v>
      </c>
      <c r="AX377" s="107">
        <v>0</v>
      </c>
      <c r="AY377" s="138" t="str">
        <f t="shared" ca="1" si="206"/>
        <v xml:space="preserve"> </v>
      </c>
      <c r="AZ377" s="107">
        <f t="shared" ca="1" si="207"/>
        <v>0</v>
      </c>
      <c r="BA377" s="107">
        <f ca="1">IF(AZ377=1,(SUM($AW$6:AW377,$AX$6:AX377)-SUM($BA$6:BA376)),0)</f>
        <v>0</v>
      </c>
      <c r="BB377" s="107"/>
      <c r="BC377" s="107">
        <f ca="1">AV377+SUM($AW$6:AW377)+SUM($AX$6:AX377)-SUM($BA$6:BA377)</f>
        <v>0</v>
      </c>
      <c r="BD377" s="107">
        <f t="shared" ca="1" si="208"/>
        <v>0</v>
      </c>
      <c r="BE377" s="51">
        <f>'PiT PD Structure'!J417</f>
        <v>0</v>
      </c>
      <c r="BF377" s="139">
        <f t="shared" ca="1" si="197"/>
        <v>0.45</v>
      </c>
      <c r="BG377" s="51">
        <f t="shared" ca="1" si="209"/>
        <v>1</v>
      </c>
      <c r="BH377" s="50">
        <f t="shared" ca="1" si="210"/>
        <v>0</v>
      </c>
      <c r="BI377" s="50">
        <f t="shared" ca="1" si="211"/>
        <v>3.4816594052244909E-13</v>
      </c>
      <c r="BJ377" s="140">
        <v>0</v>
      </c>
      <c r="BK377" s="140">
        <v>0</v>
      </c>
      <c r="BR377" s="75">
        <f t="shared" ca="1" si="198"/>
        <v>54757</v>
      </c>
      <c r="BS377" s="74">
        <f t="shared" ca="1" si="212"/>
        <v>11</v>
      </c>
      <c r="BT377" s="74">
        <f t="shared" ca="1" si="192"/>
        <v>0</v>
      </c>
      <c r="BU377" s="73" t="str">
        <f t="shared" ca="1" si="213"/>
        <v xml:space="preserve"> </v>
      </c>
      <c r="BW377" s="75">
        <f t="shared" ca="1" si="214"/>
        <v>54757</v>
      </c>
      <c r="BX377" s="74">
        <f t="shared" ca="1" si="215"/>
        <v>11</v>
      </c>
      <c r="BY377" s="74">
        <f t="shared" ca="1" si="193"/>
        <v>0</v>
      </c>
      <c r="BZ377" s="73" t="str">
        <f t="shared" ca="1" si="216"/>
        <v xml:space="preserve"> </v>
      </c>
      <c r="CB377" s="75">
        <f t="shared" ca="1" si="199"/>
        <v>54757</v>
      </c>
      <c r="CC377" s="74">
        <f t="shared" ca="1" si="217"/>
        <v>11</v>
      </c>
      <c r="CD377" s="74">
        <f t="shared" ca="1" si="194"/>
        <v>0</v>
      </c>
      <c r="CE377" s="73" t="str">
        <f t="shared" ca="1" si="218"/>
        <v xml:space="preserve"> </v>
      </c>
    </row>
    <row r="378" spans="1:83" x14ac:dyDescent="0.2">
      <c r="A378" s="38" t="str">
        <f t="shared" si="200"/>
        <v xml:space="preserve"> </v>
      </c>
      <c r="B378" s="108"/>
      <c r="C378" s="38"/>
      <c r="D378" s="137"/>
      <c r="E378" s="137"/>
      <c r="F378" s="137"/>
      <c r="G378" s="122"/>
      <c r="H378" s="137"/>
      <c r="I378" s="50"/>
      <c r="J378" s="50"/>
      <c r="K378" s="50"/>
      <c r="L378" s="38"/>
      <c r="M378" s="38"/>
      <c r="N378" s="38"/>
      <c r="O378" s="50"/>
      <c r="P378" s="218"/>
      <c r="Q378" s="50"/>
      <c r="R378" s="50"/>
      <c r="S378" s="38"/>
      <c r="T378" s="51"/>
      <c r="U378" s="65"/>
      <c r="V378" s="105"/>
      <c r="W378" s="66"/>
      <c r="X378" s="66"/>
      <c r="Y378" s="38"/>
      <c r="Z378" s="66">
        <f t="shared" si="188"/>
        <v>0</v>
      </c>
      <c r="AA378" s="67"/>
      <c r="AC378" s="41" t="e">
        <f>VLOOKUP(A378,'Input Sheet'!$A$2:$B$232,2,0)</f>
        <v>#N/A</v>
      </c>
      <c r="AD378" s="70"/>
      <c r="AI378" s="68"/>
      <c r="AL378" s="107">
        <f t="shared" ca="1" si="201"/>
        <v>0</v>
      </c>
      <c r="AM378" s="49">
        <f t="shared" ca="1" si="195"/>
        <v>54788</v>
      </c>
      <c r="AN378" s="137" t="str">
        <f t="shared" ca="1" si="202"/>
        <v xml:space="preserve"> </v>
      </c>
      <c r="AO378" s="107">
        <f t="shared" ca="1" si="191"/>
        <v>0</v>
      </c>
      <c r="AP378" s="143">
        <f t="shared" ca="1" si="189"/>
        <v>0</v>
      </c>
      <c r="AQ378" s="143">
        <f t="shared" ca="1" si="203"/>
        <v>0</v>
      </c>
      <c r="AR378" s="49" t="str">
        <f t="shared" ca="1" si="204"/>
        <v xml:space="preserve"> </v>
      </c>
      <c r="AS378" s="107">
        <f t="shared" ca="1" si="205"/>
        <v>0</v>
      </c>
      <c r="AT378" s="107">
        <f t="shared" ca="1" si="190"/>
        <v>0</v>
      </c>
      <c r="AU378" s="107"/>
      <c r="AV378" s="107">
        <f ca="1">MAX(SUM($AQ$6:AQ378)-SUM($AT$6:AT378),0)</f>
        <v>0</v>
      </c>
      <c r="AW378" s="107">
        <f t="shared" ca="1" si="196"/>
        <v>0</v>
      </c>
      <c r="AX378" s="107">
        <v>0</v>
      </c>
      <c r="AY378" s="138" t="str">
        <f t="shared" ca="1" si="206"/>
        <v xml:space="preserve"> </v>
      </c>
      <c r="AZ378" s="107">
        <f t="shared" ca="1" si="207"/>
        <v>0</v>
      </c>
      <c r="BA378" s="107">
        <f ca="1">IF(AZ378=1,(SUM($AW$6:AW378,$AX$6:AX378)-SUM($BA$6:BA377)),0)</f>
        <v>0</v>
      </c>
      <c r="BB378" s="107"/>
      <c r="BC378" s="107">
        <f ca="1">AV378+SUM($AW$6:AW378)+SUM($AX$6:AX378)-SUM($BA$6:BA378)</f>
        <v>0</v>
      </c>
      <c r="BD378" s="107">
        <f t="shared" ca="1" si="208"/>
        <v>0</v>
      </c>
      <c r="BE378" s="51">
        <f>'PiT PD Structure'!J418</f>
        <v>0</v>
      </c>
      <c r="BF378" s="139">
        <f t="shared" ca="1" si="197"/>
        <v>0.45</v>
      </c>
      <c r="BG378" s="51">
        <f t="shared" ca="1" si="209"/>
        <v>1</v>
      </c>
      <c r="BH378" s="50">
        <f t="shared" ca="1" si="210"/>
        <v>0</v>
      </c>
      <c r="BI378" s="50">
        <f t="shared" ca="1" si="211"/>
        <v>3.4816594052244909E-13</v>
      </c>
      <c r="BJ378" s="140">
        <v>0</v>
      </c>
      <c r="BK378" s="140">
        <v>0</v>
      </c>
      <c r="BR378" s="75">
        <f t="shared" ca="1" si="198"/>
        <v>54788</v>
      </c>
      <c r="BS378" s="74">
        <f t="shared" ca="1" si="212"/>
        <v>12</v>
      </c>
      <c r="BT378" s="74">
        <f t="shared" ca="1" si="192"/>
        <v>0</v>
      </c>
      <c r="BU378" s="73" t="str">
        <f t="shared" ca="1" si="213"/>
        <v xml:space="preserve"> </v>
      </c>
      <c r="BW378" s="75">
        <f t="shared" ca="1" si="214"/>
        <v>54788</v>
      </c>
      <c r="BX378" s="74">
        <f t="shared" ca="1" si="215"/>
        <v>12</v>
      </c>
      <c r="BY378" s="74">
        <f t="shared" ca="1" si="193"/>
        <v>0</v>
      </c>
      <c r="BZ378" s="73" t="str">
        <f t="shared" ca="1" si="216"/>
        <v xml:space="preserve"> </v>
      </c>
      <c r="CB378" s="75">
        <f t="shared" ca="1" si="199"/>
        <v>54788</v>
      </c>
      <c r="CC378" s="74">
        <f t="shared" ca="1" si="217"/>
        <v>12</v>
      </c>
      <c r="CD378" s="74">
        <f t="shared" ca="1" si="194"/>
        <v>0</v>
      </c>
      <c r="CE378" s="73" t="str">
        <f t="shared" ca="1" si="218"/>
        <v xml:space="preserve"> </v>
      </c>
    </row>
    <row r="379" spans="1:83" x14ac:dyDescent="0.2">
      <c r="A379" s="38" t="str">
        <f t="shared" si="200"/>
        <v xml:space="preserve"> </v>
      </c>
      <c r="B379" s="108"/>
      <c r="C379" s="38"/>
      <c r="D379" s="137"/>
      <c r="E379" s="137"/>
      <c r="F379" s="137"/>
      <c r="G379" s="122"/>
      <c r="H379" s="137"/>
      <c r="I379" s="50"/>
      <c r="J379" s="50"/>
      <c r="K379" s="50"/>
      <c r="L379" s="38"/>
      <c r="M379" s="38"/>
      <c r="N379" s="38"/>
      <c r="O379" s="50"/>
      <c r="P379" s="218"/>
      <c r="Q379" s="50"/>
      <c r="R379" s="50"/>
      <c r="S379" s="38"/>
      <c r="T379" s="51"/>
      <c r="U379" s="65"/>
      <c r="V379" s="105"/>
      <c r="W379" s="66"/>
      <c r="X379" s="66"/>
      <c r="Y379" s="38"/>
      <c r="Z379" s="66">
        <f t="shared" si="188"/>
        <v>0</v>
      </c>
      <c r="AA379" s="67"/>
      <c r="AC379" s="41" t="e">
        <f>VLOOKUP(A379,'Input Sheet'!$A$2:$B$232,2,0)</f>
        <v>#N/A</v>
      </c>
      <c r="AD379" s="70"/>
      <c r="AI379" s="68"/>
      <c r="AL379" s="107">
        <f t="shared" ca="1" si="201"/>
        <v>0</v>
      </c>
      <c r="AM379" s="49">
        <f t="shared" ca="1" si="195"/>
        <v>54819</v>
      </c>
      <c r="AN379" s="137" t="str">
        <f t="shared" ca="1" si="202"/>
        <v xml:space="preserve"> </v>
      </c>
      <c r="AO379" s="107">
        <f t="shared" ca="1" si="191"/>
        <v>0</v>
      </c>
      <c r="AP379" s="143">
        <f t="shared" ca="1" si="189"/>
        <v>0</v>
      </c>
      <c r="AQ379" s="143">
        <f t="shared" ca="1" si="203"/>
        <v>0</v>
      </c>
      <c r="AR379" s="49" t="str">
        <f t="shared" ca="1" si="204"/>
        <v xml:space="preserve"> </v>
      </c>
      <c r="AS379" s="107">
        <f t="shared" ca="1" si="205"/>
        <v>0</v>
      </c>
      <c r="AT379" s="107">
        <f t="shared" ca="1" si="190"/>
        <v>0</v>
      </c>
      <c r="AU379" s="107"/>
      <c r="AV379" s="107">
        <f ca="1">MAX(SUM($AQ$6:AQ379)-SUM($AT$6:AT379),0)</f>
        <v>0</v>
      </c>
      <c r="AW379" s="107">
        <f t="shared" ca="1" si="196"/>
        <v>0</v>
      </c>
      <c r="AX379" s="107">
        <v>0</v>
      </c>
      <c r="AY379" s="138" t="str">
        <f t="shared" ca="1" si="206"/>
        <v xml:space="preserve"> </v>
      </c>
      <c r="AZ379" s="107">
        <f t="shared" ca="1" si="207"/>
        <v>0</v>
      </c>
      <c r="BA379" s="107">
        <f ca="1">IF(AZ379=1,(SUM($AW$6:AW379,$AX$6:AX379)-SUM($BA$6:BA378)),0)</f>
        <v>0</v>
      </c>
      <c r="BB379" s="107"/>
      <c r="BC379" s="107">
        <f ca="1">AV379+SUM($AW$6:AW379)+SUM($AX$6:AX379)-SUM($BA$6:BA379)</f>
        <v>0</v>
      </c>
      <c r="BD379" s="107">
        <f t="shared" ca="1" si="208"/>
        <v>0</v>
      </c>
      <c r="BE379" s="51">
        <f>'PiT PD Structure'!J419</f>
        <v>0</v>
      </c>
      <c r="BF379" s="139">
        <f t="shared" ca="1" si="197"/>
        <v>0.45</v>
      </c>
      <c r="BG379" s="51">
        <f t="shared" ca="1" si="209"/>
        <v>1</v>
      </c>
      <c r="BH379" s="50">
        <f t="shared" ca="1" si="210"/>
        <v>0</v>
      </c>
      <c r="BI379" s="50">
        <f t="shared" ca="1" si="211"/>
        <v>3.4816594052244909E-13</v>
      </c>
      <c r="BJ379" s="140">
        <v>0</v>
      </c>
      <c r="BK379" s="140">
        <v>0</v>
      </c>
      <c r="BR379" s="75">
        <f t="shared" ca="1" si="198"/>
        <v>54819</v>
      </c>
      <c r="BS379" s="74">
        <f t="shared" ca="1" si="212"/>
        <v>1</v>
      </c>
      <c r="BT379" s="74">
        <f t="shared" ca="1" si="192"/>
        <v>0</v>
      </c>
      <c r="BU379" s="73" t="str">
        <f t="shared" ca="1" si="213"/>
        <v xml:space="preserve"> </v>
      </c>
      <c r="BW379" s="75">
        <f t="shared" ca="1" si="214"/>
        <v>54819</v>
      </c>
      <c r="BX379" s="74">
        <f t="shared" ca="1" si="215"/>
        <v>1</v>
      </c>
      <c r="BY379" s="74">
        <f t="shared" ca="1" si="193"/>
        <v>0</v>
      </c>
      <c r="BZ379" s="73" t="str">
        <f t="shared" ca="1" si="216"/>
        <v xml:space="preserve"> </v>
      </c>
      <c r="CB379" s="75">
        <f t="shared" ca="1" si="199"/>
        <v>54819</v>
      </c>
      <c r="CC379" s="74">
        <f t="shared" ca="1" si="217"/>
        <v>1</v>
      </c>
      <c r="CD379" s="74">
        <f t="shared" ca="1" si="194"/>
        <v>0</v>
      </c>
      <c r="CE379" s="73" t="str">
        <f t="shared" ca="1" si="218"/>
        <v xml:space="preserve"> </v>
      </c>
    </row>
    <row r="380" spans="1:83" x14ac:dyDescent="0.2">
      <c r="A380" s="38" t="str">
        <f t="shared" si="200"/>
        <v xml:space="preserve"> </v>
      </c>
      <c r="B380" s="108"/>
      <c r="C380" s="38"/>
      <c r="D380" s="137"/>
      <c r="E380" s="137"/>
      <c r="F380" s="137"/>
      <c r="G380" s="122"/>
      <c r="H380" s="137"/>
      <c r="I380" s="50"/>
      <c r="J380" s="50"/>
      <c r="K380" s="50"/>
      <c r="L380" s="38"/>
      <c r="M380" s="38"/>
      <c r="N380" s="38"/>
      <c r="O380" s="50"/>
      <c r="P380" s="218"/>
      <c r="Q380" s="50"/>
      <c r="R380" s="50"/>
      <c r="S380" s="38"/>
      <c r="T380" s="51"/>
      <c r="U380" s="65"/>
      <c r="V380" s="105"/>
      <c r="W380" s="66"/>
      <c r="X380" s="66"/>
      <c r="Y380" s="38"/>
      <c r="Z380" s="66">
        <f t="shared" si="188"/>
        <v>0</v>
      </c>
      <c r="AA380" s="67"/>
      <c r="AC380" s="41" t="e">
        <f>VLOOKUP(A380,'Input Sheet'!$A$2:$B$232,2,0)</f>
        <v>#N/A</v>
      </c>
      <c r="AD380" s="70"/>
      <c r="AI380" s="68"/>
      <c r="AL380" s="107">
        <f t="shared" ca="1" si="201"/>
        <v>0</v>
      </c>
      <c r="AM380" s="49">
        <f t="shared" ca="1" si="195"/>
        <v>54847</v>
      </c>
      <c r="AN380" s="137" t="str">
        <f t="shared" ca="1" si="202"/>
        <v xml:space="preserve"> </v>
      </c>
      <c r="AO380" s="107">
        <f t="shared" ca="1" si="191"/>
        <v>0</v>
      </c>
      <c r="AP380" s="143">
        <f t="shared" ca="1" si="189"/>
        <v>0</v>
      </c>
      <c r="AQ380" s="143">
        <f t="shared" ca="1" si="203"/>
        <v>0</v>
      </c>
      <c r="AR380" s="49" t="str">
        <f t="shared" ca="1" si="204"/>
        <v xml:space="preserve"> </v>
      </c>
      <c r="AS380" s="107">
        <f t="shared" ca="1" si="205"/>
        <v>0</v>
      </c>
      <c r="AT380" s="107">
        <f t="shared" ca="1" si="190"/>
        <v>0</v>
      </c>
      <c r="AU380" s="107"/>
      <c r="AV380" s="107">
        <f ca="1">MAX(SUM($AQ$6:AQ380)-SUM($AT$6:AT380),0)</f>
        <v>0</v>
      </c>
      <c r="AW380" s="107">
        <f t="shared" ca="1" si="196"/>
        <v>0</v>
      </c>
      <c r="AX380" s="107">
        <v>0</v>
      </c>
      <c r="AY380" s="138" t="str">
        <f t="shared" ca="1" si="206"/>
        <v xml:space="preserve"> </v>
      </c>
      <c r="AZ380" s="107">
        <f t="shared" ca="1" si="207"/>
        <v>0</v>
      </c>
      <c r="BA380" s="107">
        <f ca="1">IF(AZ380=1,(SUM($AW$6:AW380,$AX$6:AX380)-SUM($BA$6:BA379)),0)</f>
        <v>0</v>
      </c>
      <c r="BB380" s="107"/>
      <c r="BC380" s="107">
        <f ca="1">AV380+SUM($AW$6:AW380)+SUM($AX$6:AX380)-SUM($BA$6:BA380)</f>
        <v>0</v>
      </c>
      <c r="BD380" s="107">
        <f t="shared" ca="1" si="208"/>
        <v>0</v>
      </c>
      <c r="BE380" s="51">
        <f>'PiT PD Structure'!J420</f>
        <v>0</v>
      </c>
      <c r="BF380" s="139">
        <f t="shared" ca="1" si="197"/>
        <v>0.45</v>
      </c>
      <c r="BG380" s="51">
        <f t="shared" ca="1" si="209"/>
        <v>1</v>
      </c>
      <c r="BH380" s="50">
        <f t="shared" ca="1" si="210"/>
        <v>0</v>
      </c>
      <c r="BI380" s="50">
        <f t="shared" ca="1" si="211"/>
        <v>3.4816594052244909E-13</v>
      </c>
      <c r="BJ380" s="140">
        <v>0</v>
      </c>
      <c r="BK380" s="140">
        <v>0</v>
      </c>
      <c r="BR380" s="75">
        <f t="shared" ca="1" si="198"/>
        <v>54847</v>
      </c>
      <c r="BS380" s="74">
        <f t="shared" ca="1" si="212"/>
        <v>2</v>
      </c>
      <c r="BT380" s="74">
        <f t="shared" ca="1" si="192"/>
        <v>0</v>
      </c>
      <c r="BU380" s="73" t="str">
        <f t="shared" ca="1" si="213"/>
        <v xml:space="preserve"> </v>
      </c>
      <c r="BW380" s="75">
        <f t="shared" ca="1" si="214"/>
        <v>54847</v>
      </c>
      <c r="BX380" s="74">
        <f t="shared" ca="1" si="215"/>
        <v>2</v>
      </c>
      <c r="BY380" s="74">
        <f t="shared" ca="1" si="193"/>
        <v>0</v>
      </c>
      <c r="BZ380" s="73" t="str">
        <f t="shared" ca="1" si="216"/>
        <v xml:space="preserve"> </v>
      </c>
      <c r="CB380" s="75">
        <f t="shared" ca="1" si="199"/>
        <v>54847</v>
      </c>
      <c r="CC380" s="74">
        <f t="shared" ca="1" si="217"/>
        <v>2</v>
      </c>
      <c r="CD380" s="74">
        <f t="shared" ca="1" si="194"/>
        <v>0</v>
      </c>
      <c r="CE380" s="73" t="str">
        <f t="shared" ca="1" si="218"/>
        <v xml:space="preserve"> </v>
      </c>
    </row>
    <row r="381" spans="1:83" x14ac:dyDescent="0.2">
      <c r="A381" s="38" t="str">
        <f t="shared" si="200"/>
        <v xml:space="preserve"> </v>
      </c>
      <c r="B381" s="108"/>
      <c r="C381" s="38"/>
      <c r="D381" s="137"/>
      <c r="E381" s="137"/>
      <c r="F381" s="137"/>
      <c r="G381" s="122"/>
      <c r="H381" s="137"/>
      <c r="I381" s="50"/>
      <c r="J381" s="50"/>
      <c r="K381" s="50"/>
      <c r="L381" s="38"/>
      <c r="M381" s="38"/>
      <c r="N381" s="38"/>
      <c r="O381" s="50"/>
      <c r="P381" s="218"/>
      <c r="Q381" s="50"/>
      <c r="R381" s="50"/>
      <c r="S381" s="38"/>
      <c r="T381" s="51"/>
      <c r="U381" s="65"/>
      <c r="V381" s="105"/>
      <c r="W381" s="66"/>
      <c r="X381" s="66"/>
      <c r="Y381" s="38"/>
      <c r="Z381" s="66">
        <f t="shared" si="188"/>
        <v>0</v>
      </c>
      <c r="AA381" s="67"/>
      <c r="AC381" s="41" t="e">
        <f>VLOOKUP(A381,'Input Sheet'!$A$2:$B$232,2,0)</f>
        <v>#N/A</v>
      </c>
      <c r="AD381" s="70"/>
      <c r="AI381" s="68"/>
      <c r="AL381" s="107">
        <f t="shared" ca="1" si="201"/>
        <v>0</v>
      </c>
      <c r="AM381" s="49">
        <f t="shared" ca="1" si="195"/>
        <v>54878</v>
      </c>
      <c r="AN381" s="137" t="str">
        <f t="shared" ca="1" si="202"/>
        <v xml:space="preserve"> </v>
      </c>
      <c r="AO381" s="107">
        <f t="shared" ca="1" si="191"/>
        <v>0</v>
      </c>
      <c r="AP381" s="143">
        <f t="shared" ca="1" si="189"/>
        <v>0</v>
      </c>
      <c r="AQ381" s="143">
        <f t="shared" ca="1" si="203"/>
        <v>0</v>
      </c>
      <c r="AR381" s="49" t="str">
        <f t="shared" ca="1" si="204"/>
        <v xml:space="preserve"> </v>
      </c>
      <c r="AS381" s="107">
        <f t="shared" ca="1" si="205"/>
        <v>0</v>
      </c>
      <c r="AT381" s="107">
        <f t="shared" ca="1" si="190"/>
        <v>0</v>
      </c>
      <c r="AU381" s="107"/>
      <c r="AV381" s="107">
        <f ca="1">MAX(SUM($AQ$6:AQ381)-SUM($AT$6:AT381),0)</f>
        <v>0</v>
      </c>
      <c r="AW381" s="107">
        <f t="shared" ca="1" si="196"/>
        <v>0</v>
      </c>
      <c r="AX381" s="107">
        <v>0</v>
      </c>
      <c r="AY381" s="138" t="str">
        <f t="shared" ca="1" si="206"/>
        <v xml:space="preserve"> </v>
      </c>
      <c r="AZ381" s="107">
        <f t="shared" ca="1" si="207"/>
        <v>0</v>
      </c>
      <c r="BA381" s="107">
        <f ca="1">IF(AZ381=1,(SUM($AW$6:AW381,$AX$6:AX381)-SUM($BA$6:BA380)),0)</f>
        <v>0</v>
      </c>
      <c r="BB381" s="107"/>
      <c r="BC381" s="107">
        <f ca="1">AV381+SUM($AW$6:AW381)+SUM($AX$6:AX381)-SUM($BA$6:BA381)</f>
        <v>0</v>
      </c>
      <c r="BD381" s="107">
        <f t="shared" ca="1" si="208"/>
        <v>0</v>
      </c>
      <c r="BE381" s="51">
        <f>'PiT PD Structure'!J421</f>
        <v>0</v>
      </c>
      <c r="BF381" s="139">
        <f t="shared" ca="1" si="197"/>
        <v>0.45</v>
      </c>
      <c r="BG381" s="51">
        <f t="shared" ca="1" si="209"/>
        <v>1</v>
      </c>
      <c r="BH381" s="50">
        <f t="shared" ca="1" si="210"/>
        <v>0</v>
      </c>
      <c r="BI381" s="50">
        <f t="shared" ca="1" si="211"/>
        <v>3.4816594052244909E-13</v>
      </c>
      <c r="BJ381" s="140">
        <v>0</v>
      </c>
      <c r="BK381" s="140">
        <v>0</v>
      </c>
      <c r="BR381" s="75">
        <f t="shared" ca="1" si="198"/>
        <v>54878</v>
      </c>
      <c r="BS381" s="74">
        <f t="shared" ca="1" si="212"/>
        <v>3</v>
      </c>
      <c r="BT381" s="74">
        <f t="shared" ca="1" si="192"/>
        <v>0</v>
      </c>
      <c r="BU381" s="73" t="str">
        <f t="shared" ca="1" si="213"/>
        <v xml:space="preserve"> </v>
      </c>
      <c r="BW381" s="75">
        <f t="shared" ca="1" si="214"/>
        <v>54878</v>
      </c>
      <c r="BX381" s="74">
        <f t="shared" ca="1" si="215"/>
        <v>3</v>
      </c>
      <c r="BY381" s="74">
        <f t="shared" ca="1" si="193"/>
        <v>0</v>
      </c>
      <c r="BZ381" s="73" t="str">
        <f t="shared" ca="1" si="216"/>
        <v xml:space="preserve"> </v>
      </c>
      <c r="CB381" s="75">
        <f t="shared" ca="1" si="199"/>
        <v>54878</v>
      </c>
      <c r="CC381" s="74">
        <f t="shared" ca="1" si="217"/>
        <v>3</v>
      </c>
      <c r="CD381" s="74">
        <f t="shared" ca="1" si="194"/>
        <v>0</v>
      </c>
      <c r="CE381" s="73" t="str">
        <f t="shared" ca="1" si="218"/>
        <v xml:space="preserve"> </v>
      </c>
    </row>
    <row r="382" spans="1:83" x14ac:dyDescent="0.2">
      <c r="A382" s="38" t="str">
        <f t="shared" si="200"/>
        <v xml:space="preserve"> </v>
      </c>
      <c r="B382" s="108"/>
      <c r="C382" s="38"/>
      <c r="D382" s="137"/>
      <c r="E382" s="137"/>
      <c r="F382" s="137"/>
      <c r="G382" s="122"/>
      <c r="H382" s="137"/>
      <c r="I382" s="50"/>
      <c r="J382" s="50"/>
      <c r="K382" s="50"/>
      <c r="L382" s="38"/>
      <c r="M382" s="38"/>
      <c r="N382" s="38"/>
      <c r="O382" s="50"/>
      <c r="P382" s="218"/>
      <c r="Q382" s="50"/>
      <c r="R382" s="50"/>
      <c r="S382" s="38"/>
      <c r="T382" s="51"/>
      <c r="U382" s="65"/>
      <c r="V382" s="105"/>
      <c r="W382" s="66"/>
      <c r="X382" s="66"/>
      <c r="Y382" s="38"/>
      <c r="Z382" s="66">
        <f t="shared" si="188"/>
        <v>0</v>
      </c>
      <c r="AA382" s="67"/>
      <c r="AC382" s="41" t="e">
        <f>VLOOKUP(A382,'Input Sheet'!$A$2:$B$232,2,0)</f>
        <v>#N/A</v>
      </c>
      <c r="AD382" s="70"/>
      <c r="AI382" s="68"/>
      <c r="AL382" s="107">
        <f t="shared" ca="1" si="201"/>
        <v>0</v>
      </c>
      <c r="AM382" s="49">
        <f t="shared" ca="1" si="195"/>
        <v>54908</v>
      </c>
      <c r="AN382" s="137" t="str">
        <f t="shared" ca="1" si="202"/>
        <v xml:space="preserve"> </v>
      </c>
      <c r="AO382" s="107">
        <f t="shared" ca="1" si="191"/>
        <v>0</v>
      </c>
      <c r="AP382" s="143">
        <f t="shared" ca="1" si="189"/>
        <v>0</v>
      </c>
      <c r="AQ382" s="143">
        <f t="shared" ca="1" si="203"/>
        <v>0</v>
      </c>
      <c r="AR382" s="49" t="str">
        <f t="shared" ca="1" si="204"/>
        <v xml:space="preserve"> </v>
      </c>
      <c r="AS382" s="107">
        <f t="shared" ca="1" si="205"/>
        <v>0</v>
      </c>
      <c r="AT382" s="107">
        <f t="shared" ca="1" si="190"/>
        <v>0</v>
      </c>
      <c r="AU382" s="107"/>
      <c r="AV382" s="107">
        <f ca="1">MAX(SUM($AQ$6:AQ382)-SUM($AT$6:AT382),0)</f>
        <v>0</v>
      </c>
      <c r="AW382" s="107">
        <f t="shared" ca="1" si="196"/>
        <v>0</v>
      </c>
      <c r="AX382" s="107">
        <v>0</v>
      </c>
      <c r="AY382" s="138" t="str">
        <f t="shared" ca="1" si="206"/>
        <v xml:space="preserve"> </v>
      </c>
      <c r="AZ382" s="107">
        <f t="shared" ca="1" si="207"/>
        <v>0</v>
      </c>
      <c r="BA382" s="107">
        <f ca="1">IF(AZ382=1,(SUM($AW$6:AW382,$AX$6:AX382)-SUM($BA$6:BA381)),0)</f>
        <v>0</v>
      </c>
      <c r="BB382" s="107"/>
      <c r="BC382" s="107">
        <f ca="1">AV382+SUM($AW$6:AW382)+SUM($AX$6:AX382)-SUM($BA$6:BA382)</f>
        <v>0</v>
      </c>
      <c r="BD382" s="107">
        <f t="shared" ca="1" si="208"/>
        <v>0</v>
      </c>
      <c r="BE382" s="51">
        <f>'PiT PD Structure'!J422</f>
        <v>0</v>
      </c>
      <c r="BF382" s="139">
        <f t="shared" ca="1" si="197"/>
        <v>0.45</v>
      </c>
      <c r="BG382" s="51">
        <f t="shared" ca="1" si="209"/>
        <v>1</v>
      </c>
      <c r="BH382" s="50">
        <f t="shared" ca="1" si="210"/>
        <v>0</v>
      </c>
      <c r="BI382" s="50">
        <f t="shared" ca="1" si="211"/>
        <v>3.4816594052244909E-13</v>
      </c>
      <c r="BJ382" s="140">
        <v>0</v>
      </c>
      <c r="BK382" s="140">
        <v>0</v>
      </c>
      <c r="BR382" s="75">
        <f t="shared" ca="1" si="198"/>
        <v>54908</v>
      </c>
      <c r="BS382" s="74">
        <f t="shared" ca="1" si="212"/>
        <v>4</v>
      </c>
      <c r="BT382" s="74">
        <f t="shared" ca="1" si="192"/>
        <v>0</v>
      </c>
      <c r="BU382" s="73" t="str">
        <f t="shared" ca="1" si="213"/>
        <v xml:space="preserve"> </v>
      </c>
      <c r="BW382" s="75">
        <f t="shared" ca="1" si="214"/>
        <v>54908</v>
      </c>
      <c r="BX382" s="74">
        <f t="shared" ca="1" si="215"/>
        <v>4</v>
      </c>
      <c r="BY382" s="74">
        <f t="shared" ca="1" si="193"/>
        <v>0</v>
      </c>
      <c r="BZ382" s="73" t="str">
        <f t="shared" ca="1" si="216"/>
        <v xml:space="preserve"> </v>
      </c>
      <c r="CB382" s="75">
        <f t="shared" ca="1" si="199"/>
        <v>54908</v>
      </c>
      <c r="CC382" s="74">
        <f t="shared" ca="1" si="217"/>
        <v>4</v>
      </c>
      <c r="CD382" s="74">
        <f t="shared" ca="1" si="194"/>
        <v>0</v>
      </c>
      <c r="CE382" s="73" t="str">
        <f t="shared" ca="1" si="218"/>
        <v xml:space="preserve"> </v>
      </c>
    </row>
    <row r="383" spans="1:83" x14ac:dyDescent="0.2">
      <c r="A383" s="38" t="str">
        <f t="shared" si="200"/>
        <v xml:space="preserve"> </v>
      </c>
      <c r="B383" s="108"/>
      <c r="C383" s="38"/>
      <c r="D383" s="137"/>
      <c r="E383" s="137"/>
      <c r="F383" s="137"/>
      <c r="G383" s="122"/>
      <c r="H383" s="137"/>
      <c r="I383" s="50"/>
      <c r="J383" s="50"/>
      <c r="K383" s="50"/>
      <c r="L383" s="38"/>
      <c r="M383" s="38"/>
      <c r="N383" s="38"/>
      <c r="O383" s="50"/>
      <c r="P383" s="218"/>
      <c r="Q383" s="50"/>
      <c r="R383" s="50"/>
      <c r="S383" s="38"/>
      <c r="T383" s="51"/>
      <c r="U383" s="65"/>
      <c r="V383" s="105"/>
      <c r="W383" s="66"/>
      <c r="X383" s="66"/>
      <c r="Y383" s="38"/>
      <c r="Z383" s="66">
        <f t="shared" si="188"/>
        <v>0</v>
      </c>
      <c r="AA383" s="67"/>
      <c r="AC383" s="41" t="e">
        <f>VLOOKUP(A383,'Input Sheet'!$A$2:$B$232,2,0)</f>
        <v>#N/A</v>
      </c>
      <c r="AD383" s="70"/>
      <c r="AI383" s="68"/>
      <c r="AL383" s="107">
        <f t="shared" ca="1" si="201"/>
        <v>0</v>
      </c>
      <c r="AM383" s="49">
        <f t="shared" ca="1" si="195"/>
        <v>54939</v>
      </c>
      <c r="AN383" s="137" t="str">
        <f t="shared" ca="1" si="202"/>
        <v xml:space="preserve"> </v>
      </c>
      <c r="AO383" s="107">
        <f t="shared" ca="1" si="191"/>
        <v>0</v>
      </c>
      <c r="AP383" s="143">
        <f t="shared" ca="1" si="189"/>
        <v>0</v>
      </c>
      <c r="AQ383" s="143">
        <f t="shared" ca="1" si="203"/>
        <v>0</v>
      </c>
      <c r="AR383" s="49" t="str">
        <f t="shared" ca="1" si="204"/>
        <v xml:space="preserve"> </v>
      </c>
      <c r="AS383" s="107">
        <f t="shared" ca="1" si="205"/>
        <v>0</v>
      </c>
      <c r="AT383" s="107">
        <f t="shared" ca="1" si="190"/>
        <v>0</v>
      </c>
      <c r="AU383" s="107"/>
      <c r="AV383" s="107">
        <f ca="1">MAX(SUM($AQ$6:AQ383)-SUM($AT$6:AT383),0)</f>
        <v>0</v>
      </c>
      <c r="AW383" s="107">
        <f t="shared" ca="1" si="196"/>
        <v>0</v>
      </c>
      <c r="AX383" s="107">
        <v>0</v>
      </c>
      <c r="AY383" s="138" t="str">
        <f t="shared" ca="1" si="206"/>
        <v xml:space="preserve"> </v>
      </c>
      <c r="AZ383" s="107">
        <f t="shared" ca="1" si="207"/>
        <v>0</v>
      </c>
      <c r="BA383" s="107">
        <f ca="1">IF(AZ383=1,(SUM($AW$6:AW383,$AX$6:AX383)-SUM($BA$6:BA382)),0)</f>
        <v>0</v>
      </c>
      <c r="BB383" s="107"/>
      <c r="BC383" s="107">
        <f ca="1">AV383+SUM($AW$6:AW383)+SUM($AX$6:AX383)-SUM($BA$6:BA383)</f>
        <v>0</v>
      </c>
      <c r="BD383" s="107">
        <f t="shared" ca="1" si="208"/>
        <v>0</v>
      </c>
      <c r="BE383" s="51">
        <f>'PiT PD Structure'!J423</f>
        <v>0</v>
      </c>
      <c r="BF383" s="139">
        <f t="shared" ca="1" si="197"/>
        <v>0.45</v>
      </c>
      <c r="BG383" s="51">
        <f t="shared" ca="1" si="209"/>
        <v>1</v>
      </c>
      <c r="BH383" s="50">
        <f t="shared" ca="1" si="210"/>
        <v>0</v>
      </c>
      <c r="BI383" s="50">
        <f t="shared" ca="1" si="211"/>
        <v>3.4816594052244909E-13</v>
      </c>
      <c r="BJ383" s="140">
        <v>0</v>
      </c>
      <c r="BK383" s="140">
        <v>0</v>
      </c>
      <c r="BR383" s="75">
        <f t="shared" ca="1" si="198"/>
        <v>54939</v>
      </c>
      <c r="BS383" s="74">
        <f t="shared" ca="1" si="212"/>
        <v>5</v>
      </c>
      <c r="BT383" s="74">
        <f t="shared" ca="1" si="192"/>
        <v>0</v>
      </c>
      <c r="BU383" s="73" t="str">
        <f t="shared" ca="1" si="213"/>
        <v xml:space="preserve"> </v>
      </c>
      <c r="BW383" s="75">
        <f t="shared" ca="1" si="214"/>
        <v>54939</v>
      </c>
      <c r="BX383" s="74">
        <f t="shared" ca="1" si="215"/>
        <v>5</v>
      </c>
      <c r="BY383" s="74">
        <f t="shared" ca="1" si="193"/>
        <v>0</v>
      </c>
      <c r="BZ383" s="73" t="str">
        <f t="shared" ca="1" si="216"/>
        <v xml:space="preserve"> </v>
      </c>
      <c r="CB383" s="75">
        <f t="shared" ca="1" si="199"/>
        <v>54939</v>
      </c>
      <c r="CC383" s="74">
        <f t="shared" ca="1" si="217"/>
        <v>5</v>
      </c>
      <c r="CD383" s="74">
        <f t="shared" ca="1" si="194"/>
        <v>0</v>
      </c>
      <c r="CE383" s="73" t="str">
        <f t="shared" ca="1" si="218"/>
        <v xml:space="preserve"> </v>
      </c>
    </row>
    <row r="384" spans="1:83" x14ac:dyDescent="0.2">
      <c r="A384" s="38" t="str">
        <f t="shared" si="200"/>
        <v xml:space="preserve"> </v>
      </c>
      <c r="B384" s="108"/>
      <c r="C384" s="38"/>
      <c r="D384" s="137"/>
      <c r="E384" s="137"/>
      <c r="F384" s="137"/>
      <c r="G384" s="122"/>
      <c r="H384" s="137"/>
      <c r="I384" s="50"/>
      <c r="J384" s="50"/>
      <c r="K384" s="50"/>
      <c r="L384" s="38"/>
      <c r="M384" s="38"/>
      <c r="N384" s="38"/>
      <c r="O384" s="50"/>
      <c r="P384" s="218"/>
      <c r="Q384" s="50"/>
      <c r="R384" s="50"/>
      <c r="S384" s="38"/>
      <c r="T384" s="51"/>
      <c r="U384" s="65"/>
      <c r="V384" s="105"/>
      <c r="W384" s="66"/>
      <c r="X384" s="66"/>
      <c r="Y384" s="38"/>
      <c r="Z384" s="66">
        <f t="shared" si="188"/>
        <v>0</v>
      </c>
      <c r="AA384" s="67"/>
      <c r="AC384" s="41" t="e">
        <f>VLOOKUP(A384,'Input Sheet'!$A$2:$B$232,2,0)</f>
        <v>#N/A</v>
      </c>
      <c r="AD384" s="70"/>
      <c r="AI384" s="68"/>
      <c r="AL384" s="107">
        <f t="shared" ca="1" si="201"/>
        <v>0</v>
      </c>
      <c r="AM384" s="49">
        <f t="shared" ca="1" si="195"/>
        <v>54969</v>
      </c>
      <c r="AN384" s="137" t="str">
        <f t="shared" ca="1" si="202"/>
        <v xml:space="preserve"> </v>
      </c>
      <c r="AO384" s="107">
        <f t="shared" ca="1" si="191"/>
        <v>0</v>
      </c>
      <c r="AP384" s="143">
        <f t="shared" ca="1" si="189"/>
        <v>0</v>
      </c>
      <c r="AQ384" s="143">
        <f t="shared" ca="1" si="203"/>
        <v>0</v>
      </c>
      <c r="AR384" s="49" t="str">
        <f t="shared" ca="1" si="204"/>
        <v xml:space="preserve"> </v>
      </c>
      <c r="AS384" s="107">
        <f t="shared" ca="1" si="205"/>
        <v>0</v>
      </c>
      <c r="AT384" s="107">
        <f t="shared" ca="1" si="190"/>
        <v>0</v>
      </c>
      <c r="AU384" s="107"/>
      <c r="AV384" s="107">
        <f ca="1">MAX(SUM($AQ$6:AQ384)-SUM($AT$6:AT384),0)</f>
        <v>0</v>
      </c>
      <c r="AW384" s="107">
        <f t="shared" ca="1" si="196"/>
        <v>0</v>
      </c>
      <c r="AX384" s="107">
        <v>0</v>
      </c>
      <c r="AY384" s="138" t="str">
        <f t="shared" ca="1" si="206"/>
        <v xml:space="preserve"> </v>
      </c>
      <c r="AZ384" s="107">
        <f t="shared" ca="1" si="207"/>
        <v>0</v>
      </c>
      <c r="BA384" s="107">
        <f ca="1">IF(AZ384=1,(SUM($AW$6:AW384,$AX$6:AX384)-SUM($BA$6:BA383)),0)</f>
        <v>0</v>
      </c>
      <c r="BB384" s="107"/>
      <c r="BC384" s="107">
        <f ca="1">AV384+SUM($AW$6:AW384)+SUM($AX$6:AX384)-SUM($BA$6:BA384)</f>
        <v>0</v>
      </c>
      <c r="BD384" s="107">
        <f t="shared" ca="1" si="208"/>
        <v>0</v>
      </c>
      <c r="BE384" s="51">
        <f>'PiT PD Structure'!J424</f>
        <v>0</v>
      </c>
      <c r="BF384" s="139">
        <f t="shared" ca="1" si="197"/>
        <v>0.45</v>
      </c>
      <c r="BG384" s="51">
        <f t="shared" ca="1" si="209"/>
        <v>1</v>
      </c>
      <c r="BH384" s="50">
        <f t="shared" ca="1" si="210"/>
        <v>0</v>
      </c>
      <c r="BI384" s="50">
        <f t="shared" ca="1" si="211"/>
        <v>3.4816594052244909E-13</v>
      </c>
      <c r="BJ384" s="140">
        <v>0</v>
      </c>
      <c r="BK384" s="140">
        <v>0</v>
      </c>
      <c r="BR384" s="75">
        <f t="shared" ca="1" si="198"/>
        <v>54969</v>
      </c>
      <c r="BS384" s="74">
        <f t="shared" ca="1" si="212"/>
        <v>6</v>
      </c>
      <c r="BT384" s="74">
        <f t="shared" ca="1" si="192"/>
        <v>0</v>
      </c>
      <c r="BU384" s="73" t="str">
        <f t="shared" ca="1" si="213"/>
        <v xml:space="preserve"> </v>
      </c>
      <c r="BW384" s="75">
        <f t="shared" ca="1" si="214"/>
        <v>54969</v>
      </c>
      <c r="BX384" s="74">
        <f t="shared" ca="1" si="215"/>
        <v>6</v>
      </c>
      <c r="BY384" s="74">
        <f t="shared" ca="1" si="193"/>
        <v>0</v>
      </c>
      <c r="BZ384" s="73" t="str">
        <f t="shared" ca="1" si="216"/>
        <v xml:space="preserve"> </v>
      </c>
      <c r="CB384" s="75">
        <f t="shared" ca="1" si="199"/>
        <v>54969</v>
      </c>
      <c r="CC384" s="74">
        <f t="shared" ca="1" si="217"/>
        <v>6</v>
      </c>
      <c r="CD384" s="74">
        <f t="shared" ca="1" si="194"/>
        <v>0</v>
      </c>
      <c r="CE384" s="73" t="str">
        <f t="shared" ca="1" si="218"/>
        <v xml:space="preserve"> </v>
      </c>
    </row>
    <row r="385" spans="1:83" x14ac:dyDescent="0.2">
      <c r="A385" s="38" t="str">
        <f t="shared" si="200"/>
        <v xml:space="preserve"> </v>
      </c>
      <c r="B385" s="108"/>
      <c r="C385" s="38"/>
      <c r="D385" s="137"/>
      <c r="E385" s="137"/>
      <c r="F385" s="137"/>
      <c r="G385" s="122"/>
      <c r="H385" s="137"/>
      <c r="I385" s="50"/>
      <c r="J385" s="50"/>
      <c r="K385" s="50"/>
      <c r="L385" s="38"/>
      <c r="M385" s="38"/>
      <c r="N385" s="38"/>
      <c r="O385" s="50"/>
      <c r="P385" s="218"/>
      <c r="Q385" s="50"/>
      <c r="R385" s="50"/>
      <c r="S385" s="38"/>
      <c r="T385" s="51"/>
      <c r="U385" s="65"/>
      <c r="V385" s="105"/>
      <c r="W385" s="66"/>
      <c r="X385" s="66"/>
      <c r="Y385" s="38"/>
      <c r="Z385" s="66">
        <f t="shared" si="188"/>
        <v>0</v>
      </c>
      <c r="AA385" s="67"/>
      <c r="AC385" s="41" t="e">
        <f>VLOOKUP(A385,'Input Sheet'!$A$2:$B$232,2,0)</f>
        <v>#N/A</v>
      </c>
      <c r="AD385" s="70"/>
      <c r="AI385" s="68"/>
      <c r="AL385" s="107">
        <f t="shared" ca="1" si="201"/>
        <v>0</v>
      </c>
      <c r="AM385" s="49">
        <f t="shared" ca="1" si="195"/>
        <v>55000</v>
      </c>
      <c r="AN385" s="137" t="str">
        <f t="shared" ca="1" si="202"/>
        <v xml:space="preserve"> </v>
      </c>
      <c r="AO385" s="107">
        <f t="shared" ca="1" si="191"/>
        <v>0</v>
      </c>
      <c r="AP385" s="143">
        <f t="shared" ca="1" si="189"/>
        <v>0</v>
      </c>
      <c r="AQ385" s="143">
        <f t="shared" ca="1" si="203"/>
        <v>0</v>
      </c>
      <c r="AR385" s="49" t="str">
        <f t="shared" ca="1" si="204"/>
        <v xml:space="preserve"> </v>
      </c>
      <c r="AS385" s="107">
        <f t="shared" ca="1" si="205"/>
        <v>0</v>
      </c>
      <c r="AT385" s="107">
        <f t="shared" ca="1" si="190"/>
        <v>0</v>
      </c>
      <c r="AU385" s="107"/>
      <c r="AV385" s="107">
        <f ca="1">MAX(SUM($AQ$6:AQ385)-SUM($AT$6:AT385),0)</f>
        <v>0</v>
      </c>
      <c r="AW385" s="107">
        <f t="shared" ca="1" si="196"/>
        <v>0</v>
      </c>
      <c r="AX385" s="107">
        <v>0</v>
      </c>
      <c r="AY385" s="138" t="str">
        <f t="shared" ca="1" si="206"/>
        <v xml:space="preserve"> </v>
      </c>
      <c r="AZ385" s="107">
        <f t="shared" ca="1" si="207"/>
        <v>0</v>
      </c>
      <c r="BA385" s="107">
        <f ca="1">IF(AZ385=1,(SUM($AW$6:AW385,$AX$6:AX385)-SUM($BA$6:BA384)),0)</f>
        <v>0</v>
      </c>
      <c r="BB385" s="107"/>
      <c r="BC385" s="107">
        <f ca="1">AV385+SUM($AW$6:AW385)+SUM($AX$6:AX385)-SUM($BA$6:BA385)</f>
        <v>0</v>
      </c>
      <c r="BD385" s="107">
        <f t="shared" ca="1" si="208"/>
        <v>0</v>
      </c>
      <c r="BE385" s="51">
        <f>'PiT PD Structure'!J425</f>
        <v>0</v>
      </c>
      <c r="BF385" s="139">
        <f t="shared" ca="1" si="197"/>
        <v>0.45</v>
      </c>
      <c r="BG385" s="51">
        <f t="shared" ca="1" si="209"/>
        <v>1</v>
      </c>
      <c r="BH385" s="50">
        <f t="shared" ca="1" si="210"/>
        <v>0</v>
      </c>
      <c r="BI385" s="50">
        <f t="shared" ca="1" si="211"/>
        <v>3.4816594052244909E-13</v>
      </c>
      <c r="BJ385" s="140">
        <v>0</v>
      </c>
      <c r="BK385" s="140">
        <v>0</v>
      </c>
      <c r="BR385" s="75">
        <f t="shared" ca="1" si="198"/>
        <v>55000</v>
      </c>
      <c r="BS385" s="74">
        <f t="shared" ca="1" si="212"/>
        <v>7</v>
      </c>
      <c r="BT385" s="74">
        <f t="shared" ca="1" si="192"/>
        <v>0</v>
      </c>
      <c r="BU385" s="73" t="str">
        <f t="shared" ca="1" si="213"/>
        <v xml:space="preserve"> </v>
      </c>
      <c r="BW385" s="75">
        <f t="shared" ca="1" si="214"/>
        <v>55000</v>
      </c>
      <c r="BX385" s="74">
        <f t="shared" ca="1" si="215"/>
        <v>7</v>
      </c>
      <c r="BY385" s="74">
        <f t="shared" ca="1" si="193"/>
        <v>0</v>
      </c>
      <c r="BZ385" s="73" t="str">
        <f t="shared" ca="1" si="216"/>
        <v xml:space="preserve"> </v>
      </c>
      <c r="CB385" s="75">
        <f t="shared" ca="1" si="199"/>
        <v>55000</v>
      </c>
      <c r="CC385" s="74">
        <f t="shared" ca="1" si="217"/>
        <v>7</v>
      </c>
      <c r="CD385" s="74">
        <f t="shared" ca="1" si="194"/>
        <v>0</v>
      </c>
      <c r="CE385" s="73" t="str">
        <f t="shared" ca="1" si="218"/>
        <v xml:space="preserve"> </v>
      </c>
    </row>
    <row r="386" spans="1:83" x14ac:dyDescent="0.2">
      <c r="A386" s="38" t="str">
        <f t="shared" si="200"/>
        <v xml:space="preserve"> </v>
      </c>
      <c r="B386" s="108"/>
      <c r="C386" s="38"/>
      <c r="D386" s="137"/>
      <c r="E386" s="137"/>
      <c r="F386" s="137"/>
      <c r="G386" s="122"/>
      <c r="H386" s="137"/>
      <c r="I386" s="50"/>
      <c r="J386" s="50"/>
      <c r="K386" s="50"/>
      <c r="L386" s="38"/>
      <c r="M386" s="38"/>
      <c r="N386" s="38"/>
      <c r="O386" s="50"/>
      <c r="P386" s="218"/>
      <c r="Q386" s="50"/>
      <c r="R386" s="50"/>
      <c r="S386" s="38"/>
      <c r="T386" s="51"/>
      <c r="U386" s="65"/>
      <c r="V386" s="105"/>
      <c r="W386" s="66"/>
      <c r="X386" s="66"/>
      <c r="Y386" s="38"/>
      <c r="Z386" s="66">
        <f t="shared" si="188"/>
        <v>0</v>
      </c>
      <c r="AA386" s="67"/>
      <c r="AC386" s="41" t="e">
        <f>VLOOKUP(A386,'Input Sheet'!$A$2:$B$232,2,0)</f>
        <v>#N/A</v>
      </c>
      <c r="AD386" s="70"/>
      <c r="AI386" s="68"/>
      <c r="AL386" s="107">
        <f t="shared" ca="1" si="201"/>
        <v>0</v>
      </c>
      <c r="AM386" s="49">
        <f t="shared" ca="1" si="195"/>
        <v>55031</v>
      </c>
      <c r="AN386" s="137" t="str">
        <f t="shared" ca="1" si="202"/>
        <v xml:space="preserve"> </v>
      </c>
      <c r="AO386" s="107">
        <f t="shared" ca="1" si="191"/>
        <v>0</v>
      </c>
      <c r="AP386" s="143">
        <f t="shared" ca="1" si="189"/>
        <v>0</v>
      </c>
      <c r="AQ386" s="143">
        <f t="shared" ca="1" si="203"/>
        <v>0</v>
      </c>
      <c r="AR386" s="49" t="str">
        <f t="shared" ca="1" si="204"/>
        <v xml:space="preserve"> </v>
      </c>
      <c r="AS386" s="107">
        <f t="shared" ca="1" si="205"/>
        <v>0</v>
      </c>
      <c r="AT386" s="107">
        <f t="shared" ca="1" si="190"/>
        <v>0</v>
      </c>
      <c r="AU386" s="107"/>
      <c r="AV386" s="107">
        <f ca="1">MAX(SUM($AQ$6:AQ386)-SUM($AT$6:AT386),0)</f>
        <v>0</v>
      </c>
      <c r="AW386" s="107">
        <f t="shared" ca="1" si="196"/>
        <v>0</v>
      </c>
      <c r="AX386" s="107">
        <v>0</v>
      </c>
      <c r="AY386" s="138" t="str">
        <f t="shared" ca="1" si="206"/>
        <v xml:space="preserve"> </v>
      </c>
      <c r="AZ386" s="107">
        <f t="shared" ca="1" si="207"/>
        <v>0</v>
      </c>
      <c r="BA386" s="107">
        <f ca="1">IF(AZ386=1,(SUM($AW$6:AW386,$AX$6:AX386)-SUM($BA$6:BA385)),0)</f>
        <v>0</v>
      </c>
      <c r="BB386" s="107"/>
      <c r="BC386" s="107">
        <f ca="1">AV386+SUM($AW$6:AW386)+SUM($AX$6:AX386)-SUM($BA$6:BA386)</f>
        <v>0</v>
      </c>
      <c r="BD386" s="107">
        <f t="shared" ca="1" si="208"/>
        <v>0</v>
      </c>
      <c r="BE386" s="51">
        <f>'PiT PD Structure'!J426</f>
        <v>0</v>
      </c>
      <c r="BF386" s="139">
        <f t="shared" ca="1" si="197"/>
        <v>0.45</v>
      </c>
      <c r="BG386" s="51">
        <f t="shared" ca="1" si="209"/>
        <v>1</v>
      </c>
      <c r="BH386" s="50">
        <f t="shared" ca="1" si="210"/>
        <v>0</v>
      </c>
      <c r="BI386" s="50">
        <f t="shared" ca="1" si="211"/>
        <v>3.4816594052244909E-13</v>
      </c>
      <c r="BJ386" s="140">
        <v>0</v>
      </c>
      <c r="BK386" s="140">
        <v>0</v>
      </c>
      <c r="BR386" s="75">
        <f t="shared" ca="1" si="198"/>
        <v>55031</v>
      </c>
      <c r="BS386" s="74">
        <f t="shared" ca="1" si="212"/>
        <v>8</v>
      </c>
      <c r="BT386" s="74">
        <f t="shared" ca="1" si="192"/>
        <v>0</v>
      </c>
      <c r="BU386" s="73" t="str">
        <f t="shared" ca="1" si="213"/>
        <v xml:space="preserve"> </v>
      </c>
      <c r="BW386" s="75">
        <f t="shared" ca="1" si="214"/>
        <v>55031</v>
      </c>
      <c r="BX386" s="74">
        <f t="shared" ca="1" si="215"/>
        <v>8</v>
      </c>
      <c r="BY386" s="74">
        <f t="shared" ca="1" si="193"/>
        <v>0</v>
      </c>
      <c r="BZ386" s="73" t="str">
        <f t="shared" ca="1" si="216"/>
        <v xml:space="preserve"> </v>
      </c>
      <c r="CB386" s="75">
        <f t="shared" ca="1" si="199"/>
        <v>55031</v>
      </c>
      <c r="CC386" s="74">
        <f t="shared" ca="1" si="217"/>
        <v>8</v>
      </c>
      <c r="CD386" s="74">
        <f t="shared" ca="1" si="194"/>
        <v>0</v>
      </c>
      <c r="CE386" s="73" t="str">
        <f t="shared" ca="1" si="218"/>
        <v xml:space="preserve"> </v>
      </c>
    </row>
    <row r="387" spans="1:83" x14ac:dyDescent="0.2">
      <c r="A387" s="38" t="str">
        <f t="shared" si="200"/>
        <v xml:space="preserve"> </v>
      </c>
      <c r="B387" s="108"/>
      <c r="C387" s="38"/>
      <c r="D387" s="137"/>
      <c r="E387" s="137"/>
      <c r="F387" s="137"/>
      <c r="G387" s="122"/>
      <c r="H387" s="137"/>
      <c r="I387" s="50"/>
      <c r="J387" s="50"/>
      <c r="K387" s="50"/>
      <c r="L387" s="38"/>
      <c r="M387" s="38"/>
      <c r="N387" s="38"/>
      <c r="O387" s="50"/>
      <c r="P387" s="218"/>
      <c r="Q387" s="50"/>
      <c r="R387" s="50"/>
      <c r="S387" s="38"/>
      <c r="T387" s="51"/>
      <c r="U387" s="65"/>
      <c r="V387" s="105"/>
      <c r="W387" s="66"/>
      <c r="X387" s="66"/>
      <c r="Y387" s="38"/>
      <c r="Z387" s="66">
        <f t="shared" si="188"/>
        <v>0</v>
      </c>
      <c r="AA387" s="67"/>
      <c r="AC387" s="41" t="e">
        <f>VLOOKUP(A387,'Input Sheet'!$A$2:$B$232,2,0)</f>
        <v>#N/A</v>
      </c>
      <c r="AD387" s="70"/>
      <c r="AI387" s="68"/>
      <c r="AL387" s="107">
        <f t="shared" ca="1" si="201"/>
        <v>0</v>
      </c>
      <c r="AM387" s="49">
        <f t="shared" ca="1" si="195"/>
        <v>55061</v>
      </c>
      <c r="AN387" s="137" t="str">
        <f t="shared" ca="1" si="202"/>
        <v xml:space="preserve"> </v>
      </c>
      <c r="AO387" s="107">
        <f t="shared" ca="1" si="191"/>
        <v>0</v>
      </c>
      <c r="AP387" s="143">
        <f t="shared" ca="1" si="189"/>
        <v>0</v>
      </c>
      <c r="AQ387" s="143">
        <f t="shared" ca="1" si="203"/>
        <v>0</v>
      </c>
      <c r="AR387" s="49" t="str">
        <f t="shared" ca="1" si="204"/>
        <v xml:space="preserve"> </v>
      </c>
      <c r="AS387" s="107">
        <f t="shared" ca="1" si="205"/>
        <v>0</v>
      </c>
      <c r="AT387" s="107">
        <f t="shared" ca="1" si="190"/>
        <v>0</v>
      </c>
      <c r="AU387" s="107"/>
      <c r="AV387" s="107">
        <f ca="1">MAX(SUM($AQ$6:AQ387)-SUM($AT$6:AT387),0)</f>
        <v>0</v>
      </c>
      <c r="AW387" s="107">
        <f t="shared" ca="1" si="196"/>
        <v>0</v>
      </c>
      <c r="AX387" s="107">
        <v>0</v>
      </c>
      <c r="AY387" s="138" t="str">
        <f t="shared" ca="1" si="206"/>
        <v xml:space="preserve"> </v>
      </c>
      <c r="AZ387" s="107">
        <f t="shared" ca="1" si="207"/>
        <v>0</v>
      </c>
      <c r="BA387" s="107">
        <f ca="1">IF(AZ387=1,(SUM($AW$6:AW387,$AX$6:AX387)-SUM($BA$6:BA386)),0)</f>
        <v>0</v>
      </c>
      <c r="BB387" s="107"/>
      <c r="BC387" s="107">
        <f ca="1">AV387+SUM($AW$6:AW387)+SUM($AX$6:AX387)-SUM($BA$6:BA387)</f>
        <v>0</v>
      </c>
      <c r="BD387" s="107">
        <f t="shared" ca="1" si="208"/>
        <v>0</v>
      </c>
      <c r="BE387" s="51">
        <f>'PiT PD Structure'!J427</f>
        <v>0</v>
      </c>
      <c r="BF387" s="139">
        <f t="shared" ca="1" si="197"/>
        <v>0.45</v>
      </c>
      <c r="BG387" s="51">
        <f t="shared" ca="1" si="209"/>
        <v>1</v>
      </c>
      <c r="BH387" s="50">
        <f t="shared" ca="1" si="210"/>
        <v>0</v>
      </c>
      <c r="BI387" s="50">
        <f t="shared" ca="1" si="211"/>
        <v>3.4816594052244909E-13</v>
      </c>
      <c r="BJ387" s="140">
        <v>0</v>
      </c>
      <c r="BK387" s="140">
        <v>0</v>
      </c>
      <c r="BR387" s="75">
        <f t="shared" ca="1" si="198"/>
        <v>55061</v>
      </c>
      <c r="BS387" s="74">
        <f t="shared" ca="1" si="212"/>
        <v>9</v>
      </c>
      <c r="BT387" s="74">
        <f t="shared" ca="1" si="192"/>
        <v>0</v>
      </c>
      <c r="BU387" s="73" t="str">
        <f t="shared" ca="1" si="213"/>
        <v xml:space="preserve"> </v>
      </c>
      <c r="BW387" s="75">
        <f t="shared" ca="1" si="214"/>
        <v>55061</v>
      </c>
      <c r="BX387" s="74">
        <f t="shared" ca="1" si="215"/>
        <v>9</v>
      </c>
      <c r="BY387" s="74">
        <f t="shared" ca="1" si="193"/>
        <v>0</v>
      </c>
      <c r="BZ387" s="73" t="str">
        <f t="shared" ca="1" si="216"/>
        <v xml:space="preserve"> </v>
      </c>
      <c r="CB387" s="75">
        <f t="shared" ca="1" si="199"/>
        <v>55061</v>
      </c>
      <c r="CC387" s="74">
        <f t="shared" ca="1" si="217"/>
        <v>9</v>
      </c>
      <c r="CD387" s="74">
        <f t="shared" ca="1" si="194"/>
        <v>0</v>
      </c>
      <c r="CE387" s="73" t="str">
        <f t="shared" ca="1" si="218"/>
        <v xml:space="preserve"> </v>
      </c>
    </row>
    <row r="388" spans="1:83" x14ac:dyDescent="0.2">
      <c r="A388" s="38" t="str">
        <f t="shared" si="200"/>
        <v xml:space="preserve"> </v>
      </c>
      <c r="B388" s="108"/>
      <c r="C388" s="38"/>
      <c r="D388" s="137"/>
      <c r="E388" s="137"/>
      <c r="F388" s="137"/>
      <c r="G388" s="122"/>
      <c r="H388" s="137"/>
      <c r="I388" s="50"/>
      <c r="J388" s="50"/>
      <c r="K388" s="50"/>
      <c r="L388" s="38"/>
      <c r="M388" s="38"/>
      <c r="N388" s="38"/>
      <c r="O388" s="50"/>
      <c r="P388" s="218"/>
      <c r="Q388" s="50"/>
      <c r="R388" s="50"/>
      <c r="S388" s="38"/>
      <c r="T388" s="51"/>
      <c r="U388" s="65"/>
      <c r="V388" s="105"/>
      <c r="W388" s="66"/>
      <c r="X388" s="66"/>
      <c r="Y388" s="38"/>
      <c r="Z388" s="66">
        <f t="shared" si="188"/>
        <v>0</v>
      </c>
      <c r="AA388" s="67"/>
      <c r="AC388" s="41" t="e">
        <f>VLOOKUP(A388,'Input Sheet'!$A$2:$B$232,2,0)</f>
        <v>#N/A</v>
      </c>
      <c r="AD388" s="70"/>
      <c r="AI388" s="68"/>
      <c r="AL388" s="107">
        <f t="shared" ca="1" si="201"/>
        <v>0</v>
      </c>
      <c r="AM388" s="49">
        <f t="shared" ca="1" si="195"/>
        <v>55092</v>
      </c>
      <c r="AN388" s="137" t="str">
        <f t="shared" ca="1" si="202"/>
        <v xml:space="preserve"> </v>
      </c>
      <c r="AO388" s="107">
        <f t="shared" ca="1" si="191"/>
        <v>0</v>
      </c>
      <c r="AP388" s="143">
        <f t="shared" ca="1" si="189"/>
        <v>0</v>
      </c>
      <c r="AQ388" s="143">
        <f t="shared" ca="1" si="203"/>
        <v>0</v>
      </c>
      <c r="AR388" s="49" t="str">
        <f t="shared" ca="1" si="204"/>
        <v xml:space="preserve"> </v>
      </c>
      <c r="AS388" s="107">
        <f t="shared" ca="1" si="205"/>
        <v>0</v>
      </c>
      <c r="AT388" s="107">
        <f t="shared" ca="1" si="190"/>
        <v>0</v>
      </c>
      <c r="AU388" s="107"/>
      <c r="AV388" s="107">
        <f ca="1">MAX(SUM($AQ$6:AQ388)-SUM($AT$6:AT388),0)</f>
        <v>0</v>
      </c>
      <c r="AW388" s="107">
        <f t="shared" ca="1" si="196"/>
        <v>0</v>
      </c>
      <c r="AX388" s="107">
        <v>0</v>
      </c>
      <c r="AY388" s="138" t="str">
        <f t="shared" ca="1" si="206"/>
        <v xml:space="preserve"> </v>
      </c>
      <c r="AZ388" s="107">
        <f t="shared" ca="1" si="207"/>
        <v>0</v>
      </c>
      <c r="BA388" s="107">
        <f ca="1">IF(AZ388=1,(SUM($AW$6:AW388,$AX$6:AX388)-SUM($BA$6:BA387)),0)</f>
        <v>0</v>
      </c>
      <c r="BB388" s="107"/>
      <c r="BC388" s="107">
        <f ca="1">AV388+SUM($AW$6:AW388)+SUM($AX$6:AX388)-SUM($BA$6:BA388)</f>
        <v>0</v>
      </c>
      <c r="BD388" s="107">
        <f t="shared" ca="1" si="208"/>
        <v>0</v>
      </c>
      <c r="BE388" s="51">
        <f>'PiT PD Structure'!J428</f>
        <v>0</v>
      </c>
      <c r="BF388" s="139">
        <f t="shared" ca="1" si="197"/>
        <v>0.45</v>
      </c>
      <c r="BG388" s="51">
        <f t="shared" ca="1" si="209"/>
        <v>1</v>
      </c>
      <c r="BH388" s="50">
        <f t="shared" ca="1" si="210"/>
        <v>0</v>
      </c>
      <c r="BI388" s="50">
        <f t="shared" ca="1" si="211"/>
        <v>3.4816594052244909E-13</v>
      </c>
      <c r="BJ388" s="140">
        <v>0</v>
      </c>
      <c r="BK388" s="140">
        <v>0</v>
      </c>
      <c r="BR388" s="75">
        <f t="shared" ca="1" si="198"/>
        <v>55092</v>
      </c>
      <c r="BS388" s="74">
        <f t="shared" ca="1" si="212"/>
        <v>10</v>
      </c>
      <c r="BT388" s="74">
        <f t="shared" ca="1" si="192"/>
        <v>0</v>
      </c>
      <c r="BU388" s="73" t="str">
        <f t="shared" ca="1" si="213"/>
        <v xml:space="preserve"> </v>
      </c>
      <c r="BW388" s="75">
        <f t="shared" ca="1" si="214"/>
        <v>55092</v>
      </c>
      <c r="BX388" s="74">
        <f t="shared" ca="1" si="215"/>
        <v>10</v>
      </c>
      <c r="BY388" s="74">
        <f t="shared" ca="1" si="193"/>
        <v>0</v>
      </c>
      <c r="BZ388" s="73" t="str">
        <f t="shared" ca="1" si="216"/>
        <v xml:space="preserve"> </v>
      </c>
      <c r="CB388" s="75">
        <f t="shared" ca="1" si="199"/>
        <v>55092</v>
      </c>
      <c r="CC388" s="74">
        <f t="shared" ca="1" si="217"/>
        <v>10</v>
      </c>
      <c r="CD388" s="74">
        <f t="shared" ca="1" si="194"/>
        <v>0</v>
      </c>
      <c r="CE388" s="73" t="str">
        <f t="shared" ca="1" si="218"/>
        <v xml:space="preserve"> </v>
      </c>
    </row>
    <row r="389" spans="1:83" x14ac:dyDescent="0.2">
      <c r="A389" s="38" t="str">
        <f t="shared" si="200"/>
        <v xml:space="preserve"> </v>
      </c>
      <c r="B389" s="108"/>
      <c r="C389" s="38"/>
      <c r="D389" s="137"/>
      <c r="E389" s="137"/>
      <c r="F389" s="137"/>
      <c r="G389" s="122"/>
      <c r="H389" s="137"/>
      <c r="I389" s="50"/>
      <c r="J389" s="50"/>
      <c r="K389" s="50"/>
      <c r="L389" s="38"/>
      <c r="M389" s="38"/>
      <c r="N389" s="38"/>
      <c r="O389" s="50"/>
      <c r="P389" s="218"/>
      <c r="Q389" s="50"/>
      <c r="R389" s="50"/>
      <c r="S389" s="38"/>
      <c r="T389" s="51"/>
      <c r="U389" s="65"/>
      <c r="V389" s="105"/>
      <c r="W389" s="66"/>
      <c r="X389" s="66"/>
      <c r="Y389" s="38"/>
      <c r="Z389" s="66">
        <f t="shared" ref="Z389:Z452" si="219">IF(Y389="Stage 1",X389,IF(Y389="Stage 2",W389,O389))</f>
        <v>0</v>
      </c>
      <c r="AA389" s="67"/>
      <c r="AC389" s="41" t="e">
        <f>VLOOKUP(A389,'Input Sheet'!$A$2:$B$232,2,0)</f>
        <v>#N/A</v>
      </c>
      <c r="AD389" s="70"/>
      <c r="AI389" s="68"/>
      <c r="AL389" s="107">
        <f t="shared" ca="1" si="201"/>
        <v>0</v>
      </c>
      <c r="AM389" s="49">
        <f t="shared" ca="1" si="195"/>
        <v>55122</v>
      </c>
      <c r="AN389" s="137" t="str">
        <f t="shared" ca="1" si="202"/>
        <v xml:space="preserve"> </v>
      </c>
      <c r="AO389" s="107">
        <f t="shared" ca="1" si="191"/>
        <v>0</v>
      </c>
      <c r="AP389" s="143">
        <f t="shared" ca="1" si="189"/>
        <v>0</v>
      </c>
      <c r="AQ389" s="143">
        <f t="shared" ca="1" si="203"/>
        <v>0</v>
      </c>
      <c r="AR389" s="49" t="str">
        <f t="shared" ca="1" si="204"/>
        <v xml:space="preserve"> </v>
      </c>
      <c r="AS389" s="107">
        <f t="shared" ca="1" si="205"/>
        <v>0</v>
      </c>
      <c r="AT389" s="107">
        <f t="shared" ca="1" si="190"/>
        <v>0</v>
      </c>
      <c r="AU389" s="107"/>
      <c r="AV389" s="107">
        <f ca="1">MAX(SUM($AQ$6:AQ389)-SUM($AT$6:AT389),0)</f>
        <v>0</v>
      </c>
      <c r="AW389" s="107">
        <f t="shared" ca="1" si="196"/>
        <v>0</v>
      </c>
      <c r="AX389" s="107">
        <v>0</v>
      </c>
      <c r="AY389" s="138" t="str">
        <f t="shared" ca="1" si="206"/>
        <v xml:space="preserve"> </v>
      </c>
      <c r="AZ389" s="107">
        <f t="shared" ca="1" si="207"/>
        <v>0</v>
      </c>
      <c r="BA389" s="107">
        <f ca="1">IF(AZ389=1,(SUM($AW$6:AW389,$AX$6:AX389)-SUM($BA$6:BA388)),0)</f>
        <v>0</v>
      </c>
      <c r="BB389" s="107"/>
      <c r="BC389" s="107">
        <f ca="1">AV389+SUM($AW$6:AW389)+SUM($AX$6:AX389)-SUM($BA$6:BA389)</f>
        <v>0</v>
      </c>
      <c r="BD389" s="107">
        <f t="shared" ca="1" si="208"/>
        <v>0</v>
      </c>
      <c r="BE389" s="51">
        <f>'PiT PD Structure'!J429</f>
        <v>0</v>
      </c>
      <c r="BF389" s="139">
        <f t="shared" ca="1" si="197"/>
        <v>0.45</v>
      </c>
      <c r="BG389" s="51">
        <f t="shared" ca="1" si="209"/>
        <v>1</v>
      </c>
      <c r="BH389" s="50">
        <f t="shared" ca="1" si="210"/>
        <v>0</v>
      </c>
      <c r="BI389" s="50">
        <f t="shared" ca="1" si="211"/>
        <v>3.4816594052244909E-13</v>
      </c>
      <c r="BJ389" s="140">
        <v>0</v>
      </c>
      <c r="BK389" s="140">
        <v>0</v>
      </c>
      <c r="BR389" s="75">
        <f t="shared" ca="1" si="198"/>
        <v>55122</v>
      </c>
      <c r="BS389" s="74">
        <f t="shared" ca="1" si="212"/>
        <v>11</v>
      </c>
      <c r="BT389" s="74">
        <f t="shared" ca="1" si="192"/>
        <v>0</v>
      </c>
      <c r="BU389" s="73" t="str">
        <f t="shared" ca="1" si="213"/>
        <v xml:space="preserve"> </v>
      </c>
      <c r="BW389" s="75">
        <f t="shared" ca="1" si="214"/>
        <v>55122</v>
      </c>
      <c r="BX389" s="74">
        <f t="shared" ca="1" si="215"/>
        <v>11</v>
      </c>
      <c r="BY389" s="74">
        <f t="shared" ca="1" si="193"/>
        <v>0</v>
      </c>
      <c r="BZ389" s="73" t="str">
        <f t="shared" ca="1" si="216"/>
        <v xml:space="preserve"> </v>
      </c>
      <c r="CB389" s="75">
        <f t="shared" ca="1" si="199"/>
        <v>55122</v>
      </c>
      <c r="CC389" s="74">
        <f t="shared" ca="1" si="217"/>
        <v>11</v>
      </c>
      <c r="CD389" s="74">
        <f t="shared" ca="1" si="194"/>
        <v>0</v>
      </c>
      <c r="CE389" s="73" t="str">
        <f t="shared" ca="1" si="218"/>
        <v xml:space="preserve"> </v>
      </c>
    </row>
    <row r="390" spans="1:83" x14ac:dyDescent="0.2">
      <c r="A390" s="38" t="str">
        <f t="shared" si="200"/>
        <v xml:space="preserve"> </v>
      </c>
      <c r="B390" s="108"/>
      <c r="C390" s="38"/>
      <c r="D390" s="137"/>
      <c r="E390" s="137"/>
      <c r="F390" s="137"/>
      <c r="G390" s="122"/>
      <c r="H390" s="137"/>
      <c r="I390" s="50"/>
      <c r="J390" s="50"/>
      <c r="K390" s="50"/>
      <c r="L390" s="38"/>
      <c r="M390" s="38"/>
      <c r="N390" s="38"/>
      <c r="O390" s="50"/>
      <c r="P390" s="218"/>
      <c r="Q390" s="50"/>
      <c r="R390" s="50"/>
      <c r="S390" s="38"/>
      <c r="T390" s="51"/>
      <c r="U390" s="65"/>
      <c r="V390" s="105"/>
      <c r="W390" s="66"/>
      <c r="X390" s="66"/>
      <c r="Y390" s="38"/>
      <c r="Z390" s="66">
        <f t="shared" si="219"/>
        <v>0</v>
      </c>
      <c r="AA390" s="67"/>
      <c r="AC390" s="41" t="e">
        <f>VLOOKUP(A390,'Input Sheet'!$A$2:$B$232,2,0)</f>
        <v>#N/A</v>
      </c>
      <c r="AD390" s="70"/>
      <c r="AI390" s="68"/>
      <c r="AL390" s="107">
        <f t="shared" ca="1" si="201"/>
        <v>0</v>
      </c>
      <c r="AM390" s="49">
        <f t="shared" ca="1" si="195"/>
        <v>55153</v>
      </c>
      <c r="AN390" s="137" t="str">
        <f t="shared" ca="1" si="202"/>
        <v xml:space="preserve"> </v>
      </c>
      <c r="AO390" s="107">
        <f t="shared" ca="1" si="191"/>
        <v>0</v>
      </c>
      <c r="AP390" s="143">
        <f t="shared" ref="AP390:AP453" ca="1" si="220">AO390*$AV$2</f>
        <v>0</v>
      </c>
      <c r="AQ390" s="143">
        <f t="shared" ca="1" si="203"/>
        <v>0</v>
      </c>
      <c r="AR390" s="49" t="str">
        <f t="shared" ca="1" si="204"/>
        <v xml:space="preserve"> </v>
      </c>
      <c r="AS390" s="107">
        <f t="shared" ca="1" si="205"/>
        <v>0</v>
      </c>
      <c r="AT390" s="107">
        <f t="shared" ref="AT390:AT453" ca="1" si="221">AS390*$BI$2</f>
        <v>0</v>
      </c>
      <c r="AU390" s="107"/>
      <c r="AV390" s="107">
        <f ca="1">MAX(SUM($AQ$6:AQ390)-SUM($AT$6:AT390),0)</f>
        <v>0</v>
      </c>
      <c r="AW390" s="107">
        <f t="shared" ca="1" si="196"/>
        <v>0</v>
      </c>
      <c r="AX390" s="107">
        <v>0</v>
      </c>
      <c r="AY390" s="138" t="str">
        <f t="shared" ca="1" si="206"/>
        <v xml:space="preserve"> </v>
      </c>
      <c r="AZ390" s="107">
        <f t="shared" ca="1" si="207"/>
        <v>0</v>
      </c>
      <c r="BA390" s="107">
        <f ca="1">IF(AZ390=1,(SUM($AW$6:AW390,$AX$6:AX390)-SUM($BA$6:BA389)),0)</f>
        <v>0</v>
      </c>
      <c r="BB390" s="107"/>
      <c r="BC390" s="107">
        <f ca="1">AV390+SUM($AW$6:AW390)+SUM($AX$6:AX390)-SUM($BA$6:BA390)</f>
        <v>0</v>
      </c>
      <c r="BD390" s="107">
        <f t="shared" ca="1" si="208"/>
        <v>0</v>
      </c>
      <c r="BE390" s="51">
        <f>'PiT PD Structure'!J430</f>
        <v>0</v>
      </c>
      <c r="BF390" s="139">
        <f t="shared" ca="1" si="197"/>
        <v>0.45</v>
      </c>
      <c r="BG390" s="51">
        <f t="shared" ca="1" si="209"/>
        <v>1</v>
      </c>
      <c r="BH390" s="50">
        <f t="shared" ca="1" si="210"/>
        <v>0</v>
      </c>
      <c r="BI390" s="50">
        <f t="shared" ca="1" si="211"/>
        <v>3.4816594052244909E-13</v>
      </c>
      <c r="BJ390" s="140">
        <v>0</v>
      </c>
      <c r="BK390" s="140">
        <v>0</v>
      </c>
      <c r="BR390" s="75">
        <f t="shared" ca="1" si="198"/>
        <v>55153</v>
      </c>
      <c r="BS390" s="74">
        <f t="shared" ca="1" si="212"/>
        <v>12</v>
      </c>
      <c r="BT390" s="74">
        <f t="shared" ca="1" si="192"/>
        <v>0</v>
      </c>
      <c r="BU390" s="73" t="str">
        <f t="shared" ca="1" si="213"/>
        <v xml:space="preserve"> </v>
      </c>
      <c r="BW390" s="75">
        <f t="shared" ca="1" si="214"/>
        <v>55153</v>
      </c>
      <c r="BX390" s="74">
        <f t="shared" ca="1" si="215"/>
        <v>12</v>
      </c>
      <c r="BY390" s="74">
        <f t="shared" ca="1" si="193"/>
        <v>0</v>
      </c>
      <c r="BZ390" s="73" t="str">
        <f t="shared" ca="1" si="216"/>
        <v xml:space="preserve"> </v>
      </c>
      <c r="CB390" s="75">
        <f t="shared" ca="1" si="199"/>
        <v>55153</v>
      </c>
      <c r="CC390" s="74">
        <f t="shared" ca="1" si="217"/>
        <v>12</v>
      </c>
      <c r="CD390" s="74">
        <f t="shared" ca="1" si="194"/>
        <v>0</v>
      </c>
      <c r="CE390" s="73" t="str">
        <f t="shared" ca="1" si="218"/>
        <v xml:space="preserve"> </v>
      </c>
    </row>
    <row r="391" spans="1:83" x14ac:dyDescent="0.2">
      <c r="A391" s="38" t="str">
        <f t="shared" si="200"/>
        <v xml:space="preserve"> </v>
      </c>
      <c r="B391" s="108"/>
      <c r="C391" s="38"/>
      <c r="D391" s="137"/>
      <c r="E391" s="137"/>
      <c r="F391" s="137"/>
      <c r="G391" s="122"/>
      <c r="H391" s="137"/>
      <c r="I391" s="50"/>
      <c r="J391" s="50"/>
      <c r="K391" s="50"/>
      <c r="L391" s="38"/>
      <c r="M391" s="38"/>
      <c r="N391" s="38"/>
      <c r="O391" s="50"/>
      <c r="P391" s="218"/>
      <c r="Q391" s="50"/>
      <c r="R391" s="50"/>
      <c r="S391" s="38"/>
      <c r="T391" s="51"/>
      <c r="U391" s="65"/>
      <c r="V391" s="105"/>
      <c r="W391" s="66"/>
      <c r="X391" s="66"/>
      <c r="Y391" s="38"/>
      <c r="Z391" s="66">
        <f t="shared" si="219"/>
        <v>0</v>
      </c>
      <c r="AA391" s="67"/>
      <c r="AC391" s="41" t="e">
        <f>VLOOKUP(A391,'Input Sheet'!$A$2:$B$232,2,0)</f>
        <v>#N/A</v>
      </c>
      <c r="AD391" s="70"/>
      <c r="AI391" s="68"/>
      <c r="AL391" s="107">
        <f t="shared" ca="1" si="201"/>
        <v>0</v>
      </c>
      <c r="AM391" s="49">
        <f t="shared" ca="1" si="195"/>
        <v>55184</v>
      </c>
      <c r="AN391" s="137" t="str">
        <f t="shared" ca="1" si="202"/>
        <v xml:space="preserve"> </v>
      </c>
      <c r="AO391" s="107">
        <f t="shared" ref="AO391:AO454" ca="1" si="222">IF(EOMONTH(AM391,0)=EOMONTH($AN$2,12),1,0)</f>
        <v>0</v>
      </c>
      <c r="AP391" s="143">
        <f t="shared" ca="1" si="220"/>
        <v>0</v>
      </c>
      <c r="AQ391" s="143">
        <f t="shared" ca="1" si="203"/>
        <v>0</v>
      </c>
      <c r="AR391" s="49" t="str">
        <f t="shared" ca="1" si="204"/>
        <v xml:space="preserve"> </v>
      </c>
      <c r="AS391" s="107">
        <f t="shared" ca="1" si="205"/>
        <v>0</v>
      </c>
      <c r="AT391" s="107">
        <f t="shared" ca="1" si="221"/>
        <v>0</v>
      </c>
      <c r="AU391" s="107"/>
      <c r="AV391" s="107">
        <f ca="1">MAX(SUM($AQ$6:AQ391)-SUM($AT$6:AT391),0)</f>
        <v>0</v>
      </c>
      <c r="AW391" s="107">
        <f t="shared" ca="1" si="196"/>
        <v>0</v>
      </c>
      <c r="AX391" s="107">
        <v>0</v>
      </c>
      <c r="AY391" s="138" t="str">
        <f t="shared" ca="1" si="206"/>
        <v xml:space="preserve"> </v>
      </c>
      <c r="AZ391" s="107">
        <f t="shared" ca="1" si="207"/>
        <v>0</v>
      </c>
      <c r="BA391" s="107">
        <f ca="1">IF(AZ391=1,(SUM($AW$6:AW391,$AX$6:AX391)-SUM($BA$6:BA390)),0)</f>
        <v>0</v>
      </c>
      <c r="BB391" s="107"/>
      <c r="BC391" s="107">
        <f ca="1">AV391+SUM($AW$6:AW391)+SUM($AX$6:AX391)-SUM($BA$6:BA391)</f>
        <v>0</v>
      </c>
      <c r="BD391" s="107">
        <f t="shared" ca="1" si="208"/>
        <v>0</v>
      </c>
      <c r="BE391" s="51">
        <f>'PiT PD Structure'!J431</f>
        <v>0</v>
      </c>
      <c r="BF391" s="139">
        <f t="shared" ca="1" si="197"/>
        <v>0.45</v>
      </c>
      <c r="BG391" s="51">
        <f t="shared" ca="1" si="209"/>
        <v>1</v>
      </c>
      <c r="BH391" s="50">
        <f t="shared" ca="1" si="210"/>
        <v>0</v>
      </c>
      <c r="BI391" s="50">
        <f t="shared" ca="1" si="211"/>
        <v>3.4816594052244909E-13</v>
      </c>
      <c r="BJ391" s="140">
        <v>0</v>
      </c>
      <c r="BK391" s="140">
        <v>0</v>
      </c>
      <c r="BR391" s="75">
        <f t="shared" ca="1" si="198"/>
        <v>55184</v>
      </c>
      <c r="BS391" s="74">
        <f t="shared" ca="1" si="212"/>
        <v>1</v>
      </c>
      <c r="BT391" s="74">
        <f t="shared" ref="BT391:BT454" ca="1" si="223">IF(EOMONTH(BR391,0)&gt;EOMONTH($AR$2,0),0,IF(EOMONTH(BR391,0)&gt;=EOMONTH($AO$2,0),(IF($BS$3=1,IF(MONTH($AO$2)=BS391,1,0),IF($BS$3=2,IF(OR(MONTH($AO$2)=BS391,MONTH($AO$2)+6=BS391,MONTH($AO$2)-6=BS391),1,0),IF($BS$3=4,IF(OR(MONTH($AO$2)=BS391,MONTH($AO$2)+3=BS391,MONTH($AO$2)+6=BS391,MONTH($AO$2)+9=BS391,MONTH($AO$2)-9=BS391,MONTH($AO$2)-3=BS391,MONTH($AO$2)-6=BS391),1,0),IF($BS$3=6,IF(OR(MONTH($AO$2)=BS391,MONTH($AO$2)+2=BS391,MONTH($AO$2)+4=BS391,MONTH($AO$2)+6=BS391,MONTH($AO$2)+8=BS391,MONTH($AO$2)+10=BS391,MONTH($AO$2)-2=BS391,MONTH($AO$2)-4=BS391,MONTH($AO$2)-6=BS391,MONTH($AO$2)-8=BS391,MONTH($AO$2)-10=BS391),1,0),IF($BS$3=12,1,IF(AND($BS$3=0,EOMONTH(BR391,0)=EOMONTH($AR$2,0)),1,0))))))),0))</f>
        <v>0</v>
      </c>
      <c r="BU391" s="73" t="str">
        <f t="shared" ca="1" si="213"/>
        <v xml:space="preserve"> </v>
      </c>
      <c r="BW391" s="75">
        <f t="shared" ca="1" si="214"/>
        <v>55184</v>
      </c>
      <c r="BX391" s="74">
        <f t="shared" ca="1" si="215"/>
        <v>1</v>
      </c>
      <c r="BY391" s="74">
        <f t="shared" ref="BY391:BY454" ca="1" si="224">IF(EOMONTH(BW391,0)&gt;EOMONTH($AR$2,0),0,IF(EOMONTH(BW391,0)&gt;=EOMONTH($AP$2,0),(IF($BX$3=1,IF(MONTH($AP$2)=BX391,1,0),IF($BX$3=2,IF(OR(MONTH($AP$2)=BX391,MONTH($AP$2)+6=BX391,MONTH($AP$2)-6=BX391),1,0),IF($BX$3=4,IF(OR(MONTH($AP$2)=BX391,MONTH($AP$2)+3=BX391,MONTH($AP$2)+6=BX391,MONTH($AP$2)+9=BX391,MONTH($AP$2)-9=BX391,MONTH($AP$2)-3=BX391,MONTH($AP$2)-6=BX391),1,0),IF($BX$3=6,IF(OR(MONTH($AP$2)=BX391,MONTH($AP$2)+2=BX391,MONTH($AP$2)+4=BX391,MONTH($AP$2)+6=BX391,MONTH($AP$2)+8=BX391,MONTH($AP$2)+10=BX391,MONTH($AP$2)-2=BX391,MONTH($AP$2)-4=BX391,MONTH($AP$2)-6=BX391,MONTH($AP$2)-8=BX391,MONTH($AP$2)-10=BX391),1,0),IF($BX$3=12,1,IF(AND($BX$3=0,EOMONTH(BW391,0)=EOMONTH($AR$2,0)),1,0))))))),0))</f>
        <v>0</v>
      </c>
      <c r="BZ391" s="73" t="str">
        <f t="shared" ca="1" si="216"/>
        <v xml:space="preserve"> </v>
      </c>
      <c r="CB391" s="75">
        <f t="shared" ca="1" si="199"/>
        <v>55184</v>
      </c>
      <c r="CC391" s="74">
        <f t="shared" ca="1" si="217"/>
        <v>1</v>
      </c>
      <c r="CD391" s="74">
        <f t="shared" ref="CD391:CD454" ca="1" si="225">IF(EOMONTH(CB391,0)&gt;EOMONTH($AR$2,0),0,IF(EOMONTH(BR391,0)&gt;=EOMONTH($AO$2,0),IF($CC$3=1,IF(MONTH($AO$2)=CC391,1,0),IF($CC$3=2,IF(OR(MONTH($AO$2)=CC391,MONTH($AO$2)+6=CC391),1,0),IF($CC$3=4,IF(OR(MONTH($AO$2)=CC391,MONTH($AO$2)+3=CC391,MONTH($AO$2)+6=CC391,MONTH($AO$2)+9=CC391,MONTH($AO$2)-9=CC391,MONTH($AO$2)-3=CC391,MONTH($AO$2)-6=CC391),1,0),IF($CC$3=6,IF(OR(MONTH($AO$2)=CC391,MONTH($AO$2)+2=CC391,MONTH($AO$2)+4=CC391,MONTH($AO$2)+6=CC391,MONTH($AO$2)+8=CC391,MONTH($AO$2)+10=CC391,MONTH($AO$2)-2=CC391,MONTH($AO$2)-4=CC391,MONTH($AO$2)-6=CC391,MONTH($AO$2)-8=CC391,MONTH($AO$2)-10=CC391),1,0),IF($CC$3=12,1,IF(AND($CC$3=0,EOMONTH(CB391,0)=EOMONTH($AR$2,0)),1,0)))))),0))</f>
        <v>0</v>
      </c>
      <c r="CE391" s="73" t="str">
        <f t="shared" ca="1" si="218"/>
        <v xml:space="preserve"> </v>
      </c>
    </row>
    <row r="392" spans="1:83" x14ac:dyDescent="0.2">
      <c r="A392" s="38" t="str">
        <f t="shared" si="200"/>
        <v xml:space="preserve"> </v>
      </c>
      <c r="B392" s="108"/>
      <c r="C392" s="38"/>
      <c r="D392" s="137"/>
      <c r="E392" s="137"/>
      <c r="F392" s="137"/>
      <c r="G392" s="122"/>
      <c r="H392" s="137"/>
      <c r="I392" s="50"/>
      <c r="J392" s="50"/>
      <c r="K392" s="50"/>
      <c r="L392" s="38"/>
      <c r="M392" s="38"/>
      <c r="N392" s="38"/>
      <c r="O392" s="50"/>
      <c r="P392" s="218"/>
      <c r="Q392" s="50"/>
      <c r="R392" s="50"/>
      <c r="S392" s="38"/>
      <c r="T392" s="51"/>
      <c r="U392" s="65"/>
      <c r="V392" s="105"/>
      <c r="W392" s="66"/>
      <c r="X392" s="66"/>
      <c r="Y392" s="38"/>
      <c r="Z392" s="66">
        <f t="shared" si="219"/>
        <v>0</v>
      </c>
      <c r="AA392" s="67"/>
      <c r="AC392" s="41" t="e">
        <f>VLOOKUP(A392,'Input Sheet'!$A$2:$B$232,2,0)</f>
        <v>#N/A</v>
      </c>
      <c r="AD392" s="70"/>
      <c r="AI392" s="68"/>
      <c r="AL392" s="107">
        <f t="shared" ca="1" si="201"/>
        <v>0</v>
      </c>
      <c r="AM392" s="49">
        <f t="shared" ref="AM392:AM455" ca="1" si="226">EOMONTH(AM391,1)</f>
        <v>55212</v>
      </c>
      <c r="AN392" s="137" t="str">
        <f t="shared" ca="1" si="202"/>
        <v xml:space="preserve"> </v>
      </c>
      <c r="AO392" s="107">
        <f t="shared" ca="1" si="222"/>
        <v>0</v>
      </c>
      <c r="AP392" s="143">
        <f t="shared" ca="1" si="220"/>
        <v>0</v>
      </c>
      <c r="AQ392" s="143">
        <f t="shared" ca="1" si="203"/>
        <v>0</v>
      </c>
      <c r="AR392" s="49" t="str">
        <f t="shared" ca="1" si="204"/>
        <v xml:space="preserve"> </v>
      </c>
      <c r="AS392" s="107">
        <f t="shared" ca="1" si="205"/>
        <v>0</v>
      </c>
      <c r="AT392" s="107">
        <f t="shared" ca="1" si="221"/>
        <v>0</v>
      </c>
      <c r="AU392" s="107"/>
      <c r="AV392" s="107">
        <f ca="1">MAX(SUM($AQ$6:AQ392)-SUM($AT$6:AT392),0)</f>
        <v>0</v>
      </c>
      <c r="AW392" s="107">
        <f t="shared" ref="AW392:AW455" ca="1" si="227">IFERROR(IF(AND(AV391&gt;0,AM392&lt;=$AR$2),(AV391*($AZ$2*(DATEDIF(AM392,$AR$2,"d")/365)))/(DATEDIF(AM392,$AR$2,"m")),0),0)</f>
        <v>0</v>
      </c>
      <c r="AX392" s="107">
        <v>0</v>
      </c>
      <c r="AY392" s="138" t="str">
        <f t="shared" ca="1" si="206"/>
        <v xml:space="preserve"> </v>
      </c>
      <c r="AZ392" s="107">
        <f t="shared" ca="1" si="207"/>
        <v>0</v>
      </c>
      <c r="BA392" s="107">
        <f ca="1">IF(AZ392=1,(SUM($AW$6:AW392,$AX$6:AX392)-SUM($BA$6:BA391)),0)</f>
        <v>0</v>
      </c>
      <c r="BB392" s="107"/>
      <c r="BC392" s="107">
        <f ca="1">AV392+SUM($AW$6:AW392)+SUM($AX$6:AX392)-SUM($BA$6:BA392)</f>
        <v>0</v>
      </c>
      <c r="BD392" s="107">
        <f t="shared" ca="1" si="208"/>
        <v>0</v>
      </c>
      <c r="BE392" s="51">
        <f>'PiT PD Structure'!J432</f>
        <v>0</v>
      </c>
      <c r="BF392" s="139">
        <f t="shared" ref="BF392:BF455" ca="1" si="228">BF391</f>
        <v>0.45</v>
      </c>
      <c r="BG392" s="51">
        <f t="shared" ca="1" si="209"/>
        <v>1</v>
      </c>
      <c r="BH392" s="50">
        <f t="shared" ca="1" si="210"/>
        <v>0</v>
      </c>
      <c r="BI392" s="50">
        <f t="shared" ca="1" si="211"/>
        <v>3.4816594052244909E-13</v>
      </c>
      <c r="BJ392" s="140">
        <v>0</v>
      </c>
      <c r="BK392" s="140">
        <v>0</v>
      </c>
      <c r="BR392" s="75">
        <f t="shared" ref="BR392:BR455" ca="1" si="229">EOMONTH(BR391,1)</f>
        <v>55212</v>
      </c>
      <c r="BS392" s="74">
        <f t="shared" ca="1" si="212"/>
        <v>2</v>
      </c>
      <c r="BT392" s="74">
        <f t="shared" ca="1" si="223"/>
        <v>0</v>
      </c>
      <c r="BU392" s="73" t="str">
        <f t="shared" ca="1" si="213"/>
        <v xml:space="preserve"> </v>
      </c>
      <c r="BW392" s="75">
        <f t="shared" ca="1" si="214"/>
        <v>55212</v>
      </c>
      <c r="BX392" s="74">
        <f t="shared" ca="1" si="215"/>
        <v>2</v>
      </c>
      <c r="BY392" s="74">
        <f t="shared" ca="1" si="224"/>
        <v>0</v>
      </c>
      <c r="BZ392" s="73" t="str">
        <f t="shared" ca="1" si="216"/>
        <v xml:space="preserve"> </v>
      </c>
      <c r="CB392" s="75">
        <f t="shared" ref="CB392:CB455" ca="1" si="230">EOMONTH(CB391,1)</f>
        <v>55212</v>
      </c>
      <c r="CC392" s="74">
        <f t="shared" ca="1" si="217"/>
        <v>2</v>
      </c>
      <c r="CD392" s="74">
        <f t="shared" ca="1" si="225"/>
        <v>0</v>
      </c>
      <c r="CE392" s="73" t="str">
        <f t="shared" ca="1" si="218"/>
        <v xml:space="preserve"> </v>
      </c>
    </row>
    <row r="393" spans="1:83" x14ac:dyDescent="0.2">
      <c r="A393" s="38" t="str">
        <f t="shared" si="200"/>
        <v xml:space="preserve"> </v>
      </c>
      <c r="B393" s="108"/>
      <c r="C393" s="38"/>
      <c r="D393" s="137"/>
      <c r="E393" s="137"/>
      <c r="F393" s="137"/>
      <c r="G393" s="122"/>
      <c r="H393" s="137"/>
      <c r="I393" s="50"/>
      <c r="J393" s="50"/>
      <c r="K393" s="50"/>
      <c r="L393" s="38"/>
      <c r="M393" s="38"/>
      <c r="N393" s="38"/>
      <c r="O393" s="50"/>
      <c r="P393" s="218"/>
      <c r="Q393" s="50"/>
      <c r="R393" s="50"/>
      <c r="S393" s="38"/>
      <c r="T393" s="51"/>
      <c r="U393" s="65"/>
      <c r="V393" s="105"/>
      <c r="W393" s="66"/>
      <c r="X393" s="66"/>
      <c r="Y393" s="38"/>
      <c r="Z393" s="66">
        <f t="shared" si="219"/>
        <v>0</v>
      </c>
      <c r="AA393" s="67"/>
      <c r="AC393" s="41" t="e">
        <f>VLOOKUP(A393,'Input Sheet'!$A$2:$B$232,2,0)</f>
        <v>#N/A</v>
      </c>
      <c r="AD393" s="70"/>
      <c r="AI393" s="68"/>
      <c r="AL393" s="107">
        <f t="shared" ca="1" si="201"/>
        <v>0</v>
      </c>
      <c r="AM393" s="49">
        <f t="shared" ca="1" si="226"/>
        <v>55243</v>
      </c>
      <c r="AN393" s="137" t="str">
        <f t="shared" ca="1" si="202"/>
        <v xml:space="preserve"> </v>
      </c>
      <c r="AO393" s="107">
        <f t="shared" ca="1" si="222"/>
        <v>0</v>
      </c>
      <c r="AP393" s="143">
        <f t="shared" ca="1" si="220"/>
        <v>0</v>
      </c>
      <c r="AQ393" s="143">
        <f t="shared" ca="1" si="203"/>
        <v>0</v>
      </c>
      <c r="AR393" s="49" t="str">
        <f t="shared" ca="1" si="204"/>
        <v xml:space="preserve"> </v>
      </c>
      <c r="AS393" s="107">
        <f t="shared" ca="1" si="205"/>
        <v>0</v>
      </c>
      <c r="AT393" s="107">
        <f t="shared" ca="1" si="221"/>
        <v>0</v>
      </c>
      <c r="AU393" s="107"/>
      <c r="AV393" s="107">
        <f ca="1">MAX(SUM($AQ$6:AQ393)-SUM($AT$6:AT393),0)</f>
        <v>0</v>
      </c>
      <c r="AW393" s="107">
        <f t="shared" ca="1" si="227"/>
        <v>0</v>
      </c>
      <c r="AX393" s="107">
        <v>0</v>
      </c>
      <c r="AY393" s="138" t="str">
        <f t="shared" ca="1" si="206"/>
        <v xml:space="preserve"> </v>
      </c>
      <c r="AZ393" s="107">
        <f t="shared" ca="1" si="207"/>
        <v>0</v>
      </c>
      <c r="BA393" s="107">
        <f ca="1">IF(AZ393=1,(SUM($AW$6:AW393,$AX$6:AX393)-SUM($BA$6:BA392)),0)</f>
        <v>0</v>
      </c>
      <c r="BB393" s="107"/>
      <c r="BC393" s="107">
        <f ca="1">AV393+SUM($AW$6:AW393)+SUM($AX$6:AX393)-SUM($BA$6:BA393)</f>
        <v>0</v>
      </c>
      <c r="BD393" s="107">
        <f t="shared" ca="1" si="208"/>
        <v>0</v>
      </c>
      <c r="BE393" s="51">
        <f>'PiT PD Structure'!J433</f>
        <v>0</v>
      </c>
      <c r="BF393" s="139">
        <f t="shared" ca="1" si="228"/>
        <v>0.45</v>
      </c>
      <c r="BG393" s="51">
        <f t="shared" ca="1" si="209"/>
        <v>1</v>
      </c>
      <c r="BH393" s="50">
        <f t="shared" ca="1" si="210"/>
        <v>0</v>
      </c>
      <c r="BI393" s="50">
        <f t="shared" ca="1" si="211"/>
        <v>3.4816594052244909E-13</v>
      </c>
      <c r="BJ393" s="140">
        <v>0</v>
      </c>
      <c r="BK393" s="140">
        <v>0</v>
      </c>
      <c r="BR393" s="75">
        <f t="shared" ca="1" si="229"/>
        <v>55243</v>
      </c>
      <c r="BS393" s="74">
        <f t="shared" ca="1" si="212"/>
        <v>3</v>
      </c>
      <c r="BT393" s="74">
        <f t="shared" ca="1" si="223"/>
        <v>0</v>
      </c>
      <c r="BU393" s="73" t="str">
        <f t="shared" ca="1" si="213"/>
        <v xml:space="preserve"> </v>
      </c>
      <c r="BW393" s="75">
        <f t="shared" ca="1" si="214"/>
        <v>55243</v>
      </c>
      <c r="BX393" s="74">
        <f t="shared" ca="1" si="215"/>
        <v>3</v>
      </c>
      <c r="BY393" s="74">
        <f t="shared" ca="1" si="224"/>
        <v>0</v>
      </c>
      <c r="BZ393" s="73" t="str">
        <f t="shared" ca="1" si="216"/>
        <v xml:space="preserve"> </v>
      </c>
      <c r="CB393" s="75">
        <f t="shared" ca="1" si="230"/>
        <v>55243</v>
      </c>
      <c r="CC393" s="74">
        <f t="shared" ca="1" si="217"/>
        <v>3</v>
      </c>
      <c r="CD393" s="74">
        <f t="shared" ca="1" si="225"/>
        <v>0</v>
      </c>
      <c r="CE393" s="73" t="str">
        <f t="shared" ca="1" si="218"/>
        <v xml:space="preserve"> </v>
      </c>
    </row>
    <row r="394" spans="1:83" x14ac:dyDescent="0.2">
      <c r="A394" s="38" t="str">
        <f t="shared" ref="A394:A457" si="231">IF(B394=0," ",A393+1)</f>
        <v xml:space="preserve"> </v>
      </c>
      <c r="B394" s="108"/>
      <c r="C394" s="38"/>
      <c r="D394" s="137"/>
      <c r="E394" s="137"/>
      <c r="F394" s="137"/>
      <c r="G394" s="122"/>
      <c r="H394" s="137"/>
      <c r="I394" s="50"/>
      <c r="J394" s="50"/>
      <c r="K394" s="50"/>
      <c r="L394" s="38"/>
      <c r="M394" s="38"/>
      <c r="N394" s="38"/>
      <c r="O394" s="50"/>
      <c r="P394" s="218"/>
      <c r="Q394" s="50"/>
      <c r="R394" s="50"/>
      <c r="S394" s="38"/>
      <c r="T394" s="51"/>
      <c r="U394" s="65"/>
      <c r="V394" s="105"/>
      <c r="W394" s="66"/>
      <c r="X394" s="66"/>
      <c r="Y394" s="38"/>
      <c r="Z394" s="66">
        <f t="shared" si="219"/>
        <v>0</v>
      </c>
      <c r="AA394" s="67"/>
      <c r="AC394" s="41" t="e">
        <f>VLOOKUP(A394,'Input Sheet'!$A$2:$B$232,2,0)</f>
        <v>#N/A</v>
      </c>
      <c r="AD394" s="70"/>
      <c r="AI394" s="68"/>
      <c r="AL394" s="107">
        <f t="shared" ca="1" si="201"/>
        <v>0</v>
      </c>
      <c r="AM394" s="49">
        <f t="shared" ca="1" si="226"/>
        <v>55273</v>
      </c>
      <c r="AN394" s="137" t="str">
        <f t="shared" ca="1" si="202"/>
        <v xml:space="preserve"> </v>
      </c>
      <c r="AO394" s="107">
        <f t="shared" ca="1" si="222"/>
        <v>0</v>
      </c>
      <c r="AP394" s="143">
        <f t="shared" ca="1" si="220"/>
        <v>0</v>
      </c>
      <c r="AQ394" s="143">
        <f t="shared" ca="1" si="203"/>
        <v>0</v>
      </c>
      <c r="AR394" s="49" t="str">
        <f t="shared" ca="1" si="204"/>
        <v xml:space="preserve"> </v>
      </c>
      <c r="AS394" s="107">
        <f t="shared" ca="1" si="205"/>
        <v>0</v>
      </c>
      <c r="AT394" s="107">
        <f t="shared" ca="1" si="221"/>
        <v>0</v>
      </c>
      <c r="AU394" s="107"/>
      <c r="AV394" s="107">
        <f ca="1">MAX(SUM($AQ$6:AQ394)-SUM($AT$6:AT394),0)</f>
        <v>0</v>
      </c>
      <c r="AW394" s="107">
        <f t="shared" ca="1" si="227"/>
        <v>0</v>
      </c>
      <c r="AX394" s="107">
        <v>0</v>
      </c>
      <c r="AY394" s="138" t="str">
        <f t="shared" ca="1" si="206"/>
        <v xml:space="preserve"> </v>
      </c>
      <c r="AZ394" s="107">
        <f t="shared" ca="1" si="207"/>
        <v>0</v>
      </c>
      <c r="BA394" s="107">
        <f ca="1">IF(AZ394=1,(SUM($AW$6:AW394,$AX$6:AX394)-SUM($BA$6:BA393)),0)</f>
        <v>0</v>
      </c>
      <c r="BB394" s="107"/>
      <c r="BC394" s="107">
        <f ca="1">AV394+SUM($AW$6:AW394)+SUM($AX$6:AX394)-SUM($BA$6:BA394)</f>
        <v>0</v>
      </c>
      <c r="BD394" s="107">
        <f t="shared" ca="1" si="208"/>
        <v>0</v>
      </c>
      <c r="BE394" s="51">
        <f>'PiT PD Structure'!J434</f>
        <v>0</v>
      </c>
      <c r="BF394" s="139">
        <f t="shared" ca="1" si="228"/>
        <v>0.45</v>
      </c>
      <c r="BG394" s="51">
        <f t="shared" ca="1" si="209"/>
        <v>1</v>
      </c>
      <c r="BH394" s="50">
        <f t="shared" ca="1" si="210"/>
        <v>0</v>
      </c>
      <c r="BI394" s="50">
        <f t="shared" ca="1" si="211"/>
        <v>3.4816594052244909E-13</v>
      </c>
      <c r="BJ394" s="140">
        <v>0</v>
      </c>
      <c r="BK394" s="140">
        <v>0</v>
      </c>
      <c r="BR394" s="75">
        <f t="shared" ca="1" si="229"/>
        <v>55273</v>
      </c>
      <c r="BS394" s="74">
        <f t="shared" ca="1" si="212"/>
        <v>4</v>
      </c>
      <c r="BT394" s="74">
        <f t="shared" ca="1" si="223"/>
        <v>0</v>
      </c>
      <c r="BU394" s="73" t="str">
        <f t="shared" ca="1" si="213"/>
        <v xml:space="preserve"> </v>
      </c>
      <c r="BW394" s="75">
        <f t="shared" ca="1" si="214"/>
        <v>55273</v>
      </c>
      <c r="BX394" s="74">
        <f t="shared" ca="1" si="215"/>
        <v>4</v>
      </c>
      <c r="BY394" s="74">
        <f t="shared" ca="1" si="224"/>
        <v>0</v>
      </c>
      <c r="BZ394" s="73" t="str">
        <f t="shared" ca="1" si="216"/>
        <v xml:space="preserve"> </v>
      </c>
      <c r="CB394" s="75">
        <f t="shared" ca="1" si="230"/>
        <v>55273</v>
      </c>
      <c r="CC394" s="74">
        <f t="shared" ca="1" si="217"/>
        <v>4</v>
      </c>
      <c r="CD394" s="74">
        <f t="shared" ca="1" si="225"/>
        <v>0</v>
      </c>
      <c r="CE394" s="73" t="str">
        <f t="shared" ca="1" si="218"/>
        <v xml:space="preserve"> </v>
      </c>
    </row>
    <row r="395" spans="1:83" x14ac:dyDescent="0.2">
      <c r="A395" s="38" t="str">
        <f t="shared" si="231"/>
        <v xml:space="preserve"> </v>
      </c>
      <c r="B395" s="108"/>
      <c r="C395" s="38"/>
      <c r="D395" s="137"/>
      <c r="E395" s="137"/>
      <c r="F395" s="137"/>
      <c r="G395" s="122"/>
      <c r="H395" s="137"/>
      <c r="I395" s="50"/>
      <c r="J395" s="50"/>
      <c r="K395" s="50"/>
      <c r="L395" s="38"/>
      <c r="M395" s="38"/>
      <c r="N395" s="38"/>
      <c r="O395" s="50"/>
      <c r="P395" s="218"/>
      <c r="Q395" s="50"/>
      <c r="R395" s="50"/>
      <c r="S395" s="38"/>
      <c r="T395" s="51"/>
      <c r="U395" s="65"/>
      <c r="V395" s="105"/>
      <c r="W395" s="66"/>
      <c r="X395" s="66"/>
      <c r="Y395" s="38"/>
      <c r="Z395" s="66">
        <f t="shared" si="219"/>
        <v>0</v>
      </c>
      <c r="AA395" s="67"/>
      <c r="AC395" s="41" t="e">
        <f>VLOOKUP(A395,'Input Sheet'!$A$2:$B$232,2,0)</f>
        <v>#N/A</v>
      </c>
      <c r="AD395" s="70"/>
      <c r="AI395" s="68"/>
      <c r="AL395" s="107">
        <f t="shared" ca="1" si="201"/>
        <v>0</v>
      </c>
      <c r="AM395" s="49">
        <f t="shared" ca="1" si="226"/>
        <v>55304</v>
      </c>
      <c r="AN395" s="137" t="str">
        <f t="shared" ca="1" si="202"/>
        <v xml:space="preserve"> </v>
      </c>
      <c r="AO395" s="107">
        <f t="shared" ca="1" si="222"/>
        <v>0</v>
      </c>
      <c r="AP395" s="143">
        <f t="shared" ca="1" si="220"/>
        <v>0</v>
      </c>
      <c r="AQ395" s="143">
        <f t="shared" ca="1" si="203"/>
        <v>0</v>
      </c>
      <c r="AR395" s="49" t="str">
        <f t="shared" ca="1" si="204"/>
        <v xml:space="preserve"> </v>
      </c>
      <c r="AS395" s="107">
        <f t="shared" ca="1" si="205"/>
        <v>0</v>
      </c>
      <c r="AT395" s="107">
        <f t="shared" ca="1" si="221"/>
        <v>0</v>
      </c>
      <c r="AU395" s="107"/>
      <c r="AV395" s="107">
        <f ca="1">MAX(SUM($AQ$6:AQ395)-SUM($AT$6:AT395),0)</f>
        <v>0</v>
      </c>
      <c r="AW395" s="107">
        <f t="shared" ca="1" si="227"/>
        <v>0</v>
      </c>
      <c r="AX395" s="107">
        <v>0</v>
      </c>
      <c r="AY395" s="138" t="str">
        <f t="shared" ca="1" si="206"/>
        <v xml:space="preserve"> </v>
      </c>
      <c r="AZ395" s="107">
        <f t="shared" ca="1" si="207"/>
        <v>0</v>
      </c>
      <c r="BA395" s="107">
        <f ca="1">IF(AZ395=1,(SUM($AW$6:AW395,$AX$6:AX395)-SUM($BA$6:BA394)),0)</f>
        <v>0</v>
      </c>
      <c r="BB395" s="107"/>
      <c r="BC395" s="107">
        <f ca="1">AV395+SUM($AW$6:AW395)+SUM($AX$6:AX395)-SUM($BA$6:BA395)</f>
        <v>0</v>
      </c>
      <c r="BD395" s="107">
        <f t="shared" ca="1" si="208"/>
        <v>0</v>
      </c>
      <c r="BE395" s="51">
        <f>'PiT PD Structure'!J435</f>
        <v>0</v>
      </c>
      <c r="BF395" s="139">
        <f t="shared" ca="1" si="228"/>
        <v>0.45</v>
      </c>
      <c r="BG395" s="51">
        <f t="shared" ca="1" si="209"/>
        <v>1</v>
      </c>
      <c r="BH395" s="50">
        <f t="shared" ca="1" si="210"/>
        <v>0</v>
      </c>
      <c r="BI395" s="50">
        <f t="shared" ca="1" si="211"/>
        <v>3.4816594052244909E-13</v>
      </c>
      <c r="BJ395" s="140">
        <v>0</v>
      </c>
      <c r="BK395" s="140">
        <v>0</v>
      </c>
      <c r="BR395" s="75">
        <f t="shared" ca="1" si="229"/>
        <v>55304</v>
      </c>
      <c r="BS395" s="74">
        <f t="shared" ca="1" si="212"/>
        <v>5</v>
      </c>
      <c r="BT395" s="74">
        <f t="shared" ca="1" si="223"/>
        <v>0</v>
      </c>
      <c r="BU395" s="73" t="str">
        <f t="shared" ca="1" si="213"/>
        <v xml:space="preserve"> </v>
      </c>
      <c r="BW395" s="75">
        <f t="shared" ca="1" si="214"/>
        <v>55304</v>
      </c>
      <c r="BX395" s="74">
        <f t="shared" ca="1" si="215"/>
        <v>5</v>
      </c>
      <c r="BY395" s="74">
        <f t="shared" ca="1" si="224"/>
        <v>0</v>
      </c>
      <c r="BZ395" s="73" t="str">
        <f t="shared" ca="1" si="216"/>
        <v xml:space="preserve"> </v>
      </c>
      <c r="CB395" s="75">
        <f t="shared" ca="1" si="230"/>
        <v>55304</v>
      </c>
      <c r="CC395" s="74">
        <f t="shared" ca="1" si="217"/>
        <v>5</v>
      </c>
      <c r="CD395" s="74">
        <f t="shared" ca="1" si="225"/>
        <v>0</v>
      </c>
      <c r="CE395" s="73" t="str">
        <f t="shared" ca="1" si="218"/>
        <v xml:space="preserve"> </v>
      </c>
    </row>
    <row r="396" spans="1:83" x14ac:dyDescent="0.2">
      <c r="A396" s="38" t="str">
        <f t="shared" si="231"/>
        <v xml:space="preserve"> </v>
      </c>
      <c r="B396" s="108"/>
      <c r="C396" s="38"/>
      <c r="D396" s="137"/>
      <c r="E396" s="137"/>
      <c r="F396" s="137"/>
      <c r="G396" s="122"/>
      <c r="H396" s="137"/>
      <c r="I396" s="50"/>
      <c r="J396" s="50"/>
      <c r="K396" s="50"/>
      <c r="L396" s="38"/>
      <c r="M396" s="38"/>
      <c r="N396" s="38"/>
      <c r="O396" s="50"/>
      <c r="P396" s="218"/>
      <c r="Q396" s="50"/>
      <c r="R396" s="50"/>
      <c r="S396" s="38"/>
      <c r="T396" s="51"/>
      <c r="U396" s="65"/>
      <c r="V396" s="105"/>
      <c r="W396" s="66"/>
      <c r="X396" s="66"/>
      <c r="Y396" s="38"/>
      <c r="Z396" s="66">
        <f t="shared" si="219"/>
        <v>0</v>
      </c>
      <c r="AA396" s="67"/>
      <c r="AC396" s="41" t="e">
        <f>VLOOKUP(A396,'Input Sheet'!$A$2:$B$232,2,0)</f>
        <v>#N/A</v>
      </c>
      <c r="AD396" s="70"/>
      <c r="AI396" s="68"/>
      <c r="AL396" s="107">
        <f t="shared" ca="1" si="201"/>
        <v>0</v>
      </c>
      <c r="AM396" s="49">
        <f t="shared" ca="1" si="226"/>
        <v>55334</v>
      </c>
      <c r="AN396" s="137" t="str">
        <f t="shared" ca="1" si="202"/>
        <v xml:space="preserve"> </v>
      </c>
      <c r="AO396" s="107">
        <f t="shared" ca="1" si="222"/>
        <v>0</v>
      </c>
      <c r="AP396" s="143">
        <f t="shared" ca="1" si="220"/>
        <v>0</v>
      </c>
      <c r="AQ396" s="143">
        <f t="shared" ca="1" si="203"/>
        <v>0</v>
      </c>
      <c r="AR396" s="49" t="str">
        <f t="shared" ca="1" si="204"/>
        <v xml:space="preserve"> </v>
      </c>
      <c r="AS396" s="107">
        <f t="shared" ca="1" si="205"/>
        <v>0</v>
      </c>
      <c r="AT396" s="107">
        <f t="shared" ca="1" si="221"/>
        <v>0</v>
      </c>
      <c r="AU396" s="107"/>
      <c r="AV396" s="107">
        <f ca="1">MAX(SUM($AQ$6:AQ396)-SUM($AT$6:AT396),0)</f>
        <v>0</v>
      </c>
      <c r="AW396" s="107">
        <f t="shared" ca="1" si="227"/>
        <v>0</v>
      </c>
      <c r="AX396" s="107">
        <v>0</v>
      </c>
      <c r="AY396" s="138" t="str">
        <f t="shared" ca="1" si="206"/>
        <v xml:space="preserve"> </v>
      </c>
      <c r="AZ396" s="107">
        <f t="shared" ca="1" si="207"/>
        <v>0</v>
      </c>
      <c r="BA396" s="107">
        <f ca="1">IF(AZ396=1,(SUM($AW$6:AW396,$AX$6:AX396)-SUM($BA$6:BA395)),0)</f>
        <v>0</v>
      </c>
      <c r="BB396" s="107"/>
      <c r="BC396" s="107">
        <f ca="1">AV396+SUM($AW$6:AW396)+SUM($AX$6:AX396)-SUM($BA$6:BA396)</f>
        <v>0</v>
      </c>
      <c r="BD396" s="107">
        <f t="shared" ca="1" si="208"/>
        <v>0</v>
      </c>
      <c r="BE396" s="51">
        <f>'PiT PD Structure'!J436</f>
        <v>0</v>
      </c>
      <c r="BF396" s="139">
        <f t="shared" ca="1" si="228"/>
        <v>0.45</v>
      </c>
      <c r="BG396" s="51">
        <f t="shared" ca="1" si="209"/>
        <v>1</v>
      </c>
      <c r="BH396" s="50">
        <f t="shared" ca="1" si="210"/>
        <v>0</v>
      </c>
      <c r="BI396" s="50">
        <f t="shared" ca="1" si="211"/>
        <v>3.4816594052244909E-13</v>
      </c>
      <c r="BJ396" s="140">
        <v>0</v>
      </c>
      <c r="BK396" s="140">
        <v>0</v>
      </c>
      <c r="BR396" s="75">
        <f t="shared" ca="1" si="229"/>
        <v>55334</v>
      </c>
      <c r="BS396" s="74">
        <f t="shared" ca="1" si="212"/>
        <v>6</v>
      </c>
      <c r="BT396" s="74">
        <f t="shared" ca="1" si="223"/>
        <v>0</v>
      </c>
      <c r="BU396" s="73" t="str">
        <f t="shared" ca="1" si="213"/>
        <v xml:space="preserve"> </v>
      </c>
      <c r="BW396" s="75">
        <f t="shared" ca="1" si="214"/>
        <v>55334</v>
      </c>
      <c r="BX396" s="74">
        <f t="shared" ca="1" si="215"/>
        <v>6</v>
      </c>
      <c r="BY396" s="74">
        <f t="shared" ca="1" si="224"/>
        <v>0</v>
      </c>
      <c r="BZ396" s="73" t="str">
        <f t="shared" ca="1" si="216"/>
        <v xml:space="preserve"> </v>
      </c>
      <c r="CB396" s="75">
        <f t="shared" ca="1" si="230"/>
        <v>55334</v>
      </c>
      <c r="CC396" s="74">
        <f t="shared" ca="1" si="217"/>
        <v>6</v>
      </c>
      <c r="CD396" s="74">
        <f t="shared" ca="1" si="225"/>
        <v>0</v>
      </c>
      <c r="CE396" s="73" t="str">
        <f t="shared" ca="1" si="218"/>
        <v xml:space="preserve"> </v>
      </c>
    </row>
    <row r="397" spans="1:83" x14ac:dyDescent="0.2">
      <c r="A397" s="38" t="str">
        <f t="shared" si="231"/>
        <v xml:space="preserve"> </v>
      </c>
      <c r="B397" s="108"/>
      <c r="C397" s="38"/>
      <c r="D397" s="137"/>
      <c r="E397" s="137"/>
      <c r="F397" s="137"/>
      <c r="G397" s="122"/>
      <c r="H397" s="137"/>
      <c r="I397" s="50"/>
      <c r="J397" s="50"/>
      <c r="K397" s="50"/>
      <c r="L397" s="38"/>
      <c r="M397" s="38"/>
      <c r="N397" s="38"/>
      <c r="O397" s="50"/>
      <c r="P397" s="218"/>
      <c r="Q397" s="50"/>
      <c r="R397" s="50"/>
      <c r="S397" s="38"/>
      <c r="T397" s="51"/>
      <c r="U397" s="65"/>
      <c r="V397" s="105"/>
      <c r="W397" s="66"/>
      <c r="X397" s="66"/>
      <c r="Y397" s="38"/>
      <c r="Z397" s="66">
        <f t="shared" si="219"/>
        <v>0</v>
      </c>
      <c r="AA397" s="67"/>
      <c r="AC397" s="41" t="e">
        <f>VLOOKUP(A397,'Input Sheet'!$A$2:$B$232,2,0)</f>
        <v>#N/A</v>
      </c>
      <c r="AD397" s="70"/>
      <c r="AI397" s="68"/>
      <c r="AL397" s="107">
        <f t="shared" ca="1" si="201"/>
        <v>0</v>
      </c>
      <c r="AM397" s="49">
        <f t="shared" ca="1" si="226"/>
        <v>55365</v>
      </c>
      <c r="AN397" s="137" t="str">
        <f t="shared" ca="1" si="202"/>
        <v xml:space="preserve"> </v>
      </c>
      <c r="AO397" s="107">
        <f t="shared" ca="1" si="222"/>
        <v>0</v>
      </c>
      <c r="AP397" s="143">
        <f t="shared" ca="1" si="220"/>
        <v>0</v>
      </c>
      <c r="AQ397" s="143">
        <f t="shared" ca="1" si="203"/>
        <v>0</v>
      </c>
      <c r="AR397" s="49" t="str">
        <f t="shared" ca="1" si="204"/>
        <v xml:space="preserve"> </v>
      </c>
      <c r="AS397" s="107">
        <f t="shared" ca="1" si="205"/>
        <v>0</v>
      </c>
      <c r="AT397" s="107">
        <f t="shared" ca="1" si="221"/>
        <v>0</v>
      </c>
      <c r="AU397" s="107"/>
      <c r="AV397" s="107">
        <f ca="1">MAX(SUM($AQ$6:AQ397)-SUM($AT$6:AT397),0)</f>
        <v>0</v>
      </c>
      <c r="AW397" s="107">
        <f t="shared" ca="1" si="227"/>
        <v>0</v>
      </c>
      <c r="AX397" s="107">
        <v>0</v>
      </c>
      <c r="AY397" s="138" t="str">
        <f t="shared" ca="1" si="206"/>
        <v xml:space="preserve"> </v>
      </c>
      <c r="AZ397" s="107">
        <f t="shared" ca="1" si="207"/>
        <v>0</v>
      </c>
      <c r="BA397" s="107">
        <f ca="1">IF(AZ397=1,(SUM($AW$6:AW397,$AX$6:AX397)-SUM($BA$6:BA396)),0)</f>
        <v>0</v>
      </c>
      <c r="BB397" s="107"/>
      <c r="BC397" s="107">
        <f ca="1">AV397+SUM($AW$6:AW397)+SUM($AX$6:AX397)-SUM($BA$6:BA397)</f>
        <v>0</v>
      </c>
      <c r="BD397" s="107">
        <f t="shared" ca="1" si="208"/>
        <v>0</v>
      </c>
      <c r="BE397" s="51">
        <f>'PiT PD Structure'!J437</f>
        <v>0</v>
      </c>
      <c r="BF397" s="139">
        <f t="shared" ca="1" si="228"/>
        <v>0.45</v>
      </c>
      <c r="BG397" s="51">
        <f t="shared" ca="1" si="209"/>
        <v>1</v>
      </c>
      <c r="BH397" s="50">
        <f t="shared" ca="1" si="210"/>
        <v>0</v>
      </c>
      <c r="BI397" s="50">
        <f t="shared" ca="1" si="211"/>
        <v>3.4816594052244909E-13</v>
      </c>
      <c r="BJ397" s="140">
        <v>0</v>
      </c>
      <c r="BK397" s="140">
        <v>0</v>
      </c>
      <c r="BR397" s="75">
        <f t="shared" ca="1" si="229"/>
        <v>55365</v>
      </c>
      <c r="BS397" s="74">
        <f t="shared" ca="1" si="212"/>
        <v>7</v>
      </c>
      <c r="BT397" s="74">
        <f t="shared" ca="1" si="223"/>
        <v>0</v>
      </c>
      <c r="BU397" s="73" t="str">
        <f t="shared" ca="1" si="213"/>
        <v xml:space="preserve"> </v>
      </c>
      <c r="BW397" s="75">
        <f t="shared" ca="1" si="214"/>
        <v>55365</v>
      </c>
      <c r="BX397" s="74">
        <f t="shared" ca="1" si="215"/>
        <v>7</v>
      </c>
      <c r="BY397" s="74">
        <f t="shared" ca="1" si="224"/>
        <v>0</v>
      </c>
      <c r="BZ397" s="73" t="str">
        <f t="shared" ca="1" si="216"/>
        <v xml:space="preserve"> </v>
      </c>
      <c r="CB397" s="75">
        <f t="shared" ca="1" si="230"/>
        <v>55365</v>
      </c>
      <c r="CC397" s="74">
        <f t="shared" ca="1" si="217"/>
        <v>7</v>
      </c>
      <c r="CD397" s="74">
        <f t="shared" ca="1" si="225"/>
        <v>0</v>
      </c>
      <c r="CE397" s="73" t="str">
        <f t="shared" ca="1" si="218"/>
        <v xml:space="preserve"> </v>
      </c>
    </row>
    <row r="398" spans="1:83" x14ac:dyDescent="0.2">
      <c r="A398" s="38" t="str">
        <f t="shared" si="231"/>
        <v xml:space="preserve"> </v>
      </c>
      <c r="B398" s="108"/>
      <c r="C398" s="38"/>
      <c r="D398" s="137"/>
      <c r="E398" s="137"/>
      <c r="F398" s="137"/>
      <c r="G398" s="122"/>
      <c r="H398" s="137"/>
      <c r="I398" s="50"/>
      <c r="J398" s="50"/>
      <c r="K398" s="50"/>
      <c r="L398" s="38"/>
      <c r="M398" s="38"/>
      <c r="N398" s="38"/>
      <c r="O398" s="50"/>
      <c r="P398" s="218"/>
      <c r="Q398" s="50"/>
      <c r="R398" s="50"/>
      <c r="S398" s="38"/>
      <c r="T398" s="51"/>
      <c r="U398" s="65"/>
      <c r="V398" s="105"/>
      <c r="W398" s="66"/>
      <c r="X398" s="66"/>
      <c r="Y398" s="38"/>
      <c r="Z398" s="66">
        <f t="shared" si="219"/>
        <v>0</v>
      </c>
      <c r="AA398" s="67"/>
      <c r="AC398" s="41" t="e">
        <f>VLOOKUP(A398,'Input Sheet'!$A$2:$B$232,2,0)</f>
        <v>#N/A</v>
      </c>
      <c r="AD398" s="70"/>
      <c r="AI398" s="68"/>
      <c r="AL398" s="107">
        <f t="shared" ca="1" si="201"/>
        <v>0</v>
      </c>
      <c r="AM398" s="49">
        <f t="shared" ca="1" si="226"/>
        <v>55396</v>
      </c>
      <c r="AN398" s="137" t="str">
        <f t="shared" ca="1" si="202"/>
        <v xml:space="preserve"> </v>
      </c>
      <c r="AO398" s="107">
        <f t="shared" ca="1" si="222"/>
        <v>0</v>
      </c>
      <c r="AP398" s="143">
        <f t="shared" ca="1" si="220"/>
        <v>0</v>
      </c>
      <c r="AQ398" s="143">
        <f t="shared" ca="1" si="203"/>
        <v>0</v>
      </c>
      <c r="AR398" s="49" t="str">
        <f t="shared" ca="1" si="204"/>
        <v xml:space="preserve"> </v>
      </c>
      <c r="AS398" s="107">
        <f t="shared" ca="1" si="205"/>
        <v>0</v>
      </c>
      <c r="AT398" s="107">
        <f t="shared" ca="1" si="221"/>
        <v>0</v>
      </c>
      <c r="AU398" s="107"/>
      <c r="AV398" s="107">
        <f ca="1">MAX(SUM($AQ$6:AQ398)-SUM($AT$6:AT398),0)</f>
        <v>0</v>
      </c>
      <c r="AW398" s="107">
        <f t="shared" ca="1" si="227"/>
        <v>0</v>
      </c>
      <c r="AX398" s="107">
        <v>0</v>
      </c>
      <c r="AY398" s="138" t="str">
        <f t="shared" ca="1" si="206"/>
        <v xml:space="preserve"> </v>
      </c>
      <c r="AZ398" s="107">
        <f t="shared" ca="1" si="207"/>
        <v>0</v>
      </c>
      <c r="BA398" s="107">
        <f ca="1">IF(AZ398=1,(SUM($AW$6:AW398,$AX$6:AX398)-SUM($BA$6:BA397)),0)</f>
        <v>0</v>
      </c>
      <c r="BB398" s="107"/>
      <c r="BC398" s="107">
        <f ca="1">AV398+SUM($AW$6:AW398)+SUM($AX$6:AX398)-SUM($BA$6:BA398)</f>
        <v>0</v>
      </c>
      <c r="BD398" s="107">
        <f t="shared" ca="1" si="208"/>
        <v>0</v>
      </c>
      <c r="BE398" s="51">
        <f>'PiT PD Structure'!J438</f>
        <v>0</v>
      </c>
      <c r="BF398" s="139">
        <f t="shared" ca="1" si="228"/>
        <v>0.45</v>
      </c>
      <c r="BG398" s="51">
        <f t="shared" ca="1" si="209"/>
        <v>1</v>
      </c>
      <c r="BH398" s="50">
        <f t="shared" ca="1" si="210"/>
        <v>0</v>
      </c>
      <c r="BI398" s="50">
        <f t="shared" ca="1" si="211"/>
        <v>3.4816594052244909E-13</v>
      </c>
      <c r="BJ398" s="140">
        <v>0</v>
      </c>
      <c r="BK398" s="140">
        <v>0</v>
      </c>
      <c r="BR398" s="75">
        <f t="shared" ca="1" si="229"/>
        <v>55396</v>
      </c>
      <c r="BS398" s="74">
        <f t="shared" ca="1" si="212"/>
        <v>8</v>
      </c>
      <c r="BT398" s="74">
        <f t="shared" ca="1" si="223"/>
        <v>0</v>
      </c>
      <c r="BU398" s="73" t="str">
        <f t="shared" ca="1" si="213"/>
        <v xml:space="preserve"> </v>
      </c>
      <c r="BW398" s="75">
        <f t="shared" ca="1" si="214"/>
        <v>55396</v>
      </c>
      <c r="BX398" s="74">
        <f t="shared" ca="1" si="215"/>
        <v>8</v>
      </c>
      <c r="BY398" s="74">
        <f t="shared" ca="1" si="224"/>
        <v>0</v>
      </c>
      <c r="BZ398" s="73" t="str">
        <f t="shared" ca="1" si="216"/>
        <v xml:space="preserve"> </v>
      </c>
      <c r="CB398" s="75">
        <f t="shared" ca="1" si="230"/>
        <v>55396</v>
      </c>
      <c r="CC398" s="74">
        <f t="shared" ca="1" si="217"/>
        <v>8</v>
      </c>
      <c r="CD398" s="74">
        <f t="shared" ca="1" si="225"/>
        <v>0</v>
      </c>
      <c r="CE398" s="73" t="str">
        <f t="shared" ca="1" si="218"/>
        <v xml:space="preserve"> </v>
      </c>
    </row>
    <row r="399" spans="1:83" x14ac:dyDescent="0.2">
      <c r="A399" s="38" t="str">
        <f t="shared" si="231"/>
        <v xml:space="preserve"> </v>
      </c>
      <c r="B399" s="108"/>
      <c r="C399" s="38"/>
      <c r="D399" s="137"/>
      <c r="E399" s="137"/>
      <c r="F399" s="137"/>
      <c r="G399" s="122"/>
      <c r="H399" s="137"/>
      <c r="I399" s="50"/>
      <c r="J399" s="50"/>
      <c r="K399" s="50"/>
      <c r="L399" s="38"/>
      <c r="M399" s="38"/>
      <c r="N399" s="38"/>
      <c r="O399" s="50"/>
      <c r="P399" s="218"/>
      <c r="Q399" s="50"/>
      <c r="R399" s="50"/>
      <c r="S399" s="38"/>
      <c r="T399" s="51"/>
      <c r="U399" s="65"/>
      <c r="V399" s="105"/>
      <c r="W399" s="66"/>
      <c r="X399" s="66"/>
      <c r="Y399" s="38"/>
      <c r="Z399" s="66">
        <f t="shared" si="219"/>
        <v>0</v>
      </c>
      <c r="AA399" s="67"/>
      <c r="AC399" s="41" t="e">
        <f>VLOOKUP(A399,'Input Sheet'!$A$2:$B$232,2,0)</f>
        <v>#N/A</v>
      </c>
      <c r="AD399" s="70"/>
      <c r="AI399" s="68"/>
      <c r="AL399" s="107">
        <f t="shared" ca="1" si="201"/>
        <v>0</v>
      </c>
      <c r="AM399" s="49">
        <f t="shared" ca="1" si="226"/>
        <v>55426</v>
      </c>
      <c r="AN399" s="137" t="str">
        <f t="shared" ca="1" si="202"/>
        <v xml:space="preserve"> </v>
      </c>
      <c r="AO399" s="107">
        <f t="shared" ca="1" si="222"/>
        <v>0</v>
      </c>
      <c r="AP399" s="143">
        <f t="shared" ca="1" si="220"/>
        <v>0</v>
      </c>
      <c r="AQ399" s="143">
        <f t="shared" ca="1" si="203"/>
        <v>0</v>
      </c>
      <c r="AR399" s="49" t="str">
        <f t="shared" ca="1" si="204"/>
        <v xml:space="preserve"> </v>
      </c>
      <c r="AS399" s="107">
        <f t="shared" ca="1" si="205"/>
        <v>0</v>
      </c>
      <c r="AT399" s="107">
        <f t="shared" ca="1" si="221"/>
        <v>0</v>
      </c>
      <c r="AU399" s="107"/>
      <c r="AV399" s="107">
        <f ca="1">MAX(SUM($AQ$6:AQ399)-SUM($AT$6:AT399),0)</f>
        <v>0</v>
      </c>
      <c r="AW399" s="107">
        <f t="shared" ca="1" si="227"/>
        <v>0</v>
      </c>
      <c r="AX399" s="107">
        <v>0</v>
      </c>
      <c r="AY399" s="138" t="str">
        <f t="shared" ca="1" si="206"/>
        <v xml:space="preserve"> </v>
      </c>
      <c r="AZ399" s="107">
        <f t="shared" ca="1" si="207"/>
        <v>0</v>
      </c>
      <c r="BA399" s="107">
        <f ca="1">IF(AZ399=1,(SUM($AW$6:AW399,$AX$6:AX399)-SUM($BA$6:BA398)),0)</f>
        <v>0</v>
      </c>
      <c r="BB399" s="107"/>
      <c r="BC399" s="107">
        <f ca="1">AV399+SUM($AW$6:AW399)+SUM($AX$6:AX399)-SUM($BA$6:BA399)</f>
        <v>0</v>
      </c>
      <c r="BD399" s="107">
        <f t="shared" ca="1" si="208"/>
        <v>0</v>
      </c>
      <c r="BE399" s="51">
        <f>'PiT PD Structure'!J439</f>
        <v>0</v>
      </c>
      <c r="BF399" s="139">
        <f t="shared" ca="1" si="228"/>
        <v>0.45</v>
      </c>
      <c r="BG399" s="51">
        <f t="shared" ca="1" si="209"/>
        <v>1</v>
      </c>
      <c r="BH399" s="50">
        <f t="shared" ca="1" si="210"/>
        <v>0</v>
      </c>
      <c r="BI399" s="50">
        <f t="shared" ca="1" si="211"/>
        <v>3.4816594052244909E-13</v>
      </c>
      <c r="BJ399" s="140">
        <v>0</v>
      </c>
      <c r="BK399" s="140">
        <v>0</v>
      </c>
      <c r="BR399" s="75">
        <f t="shared" ca="1" si="229"/>
        <v>55426</v>
      </c>
      <c r="BS399" s="74">
        <f t="shared" ca="1" si="212"/>
        <v>9</v>
      </c>
      <c r="BT399" s="74">
        <f t="shared" ca="1" si="223"/>
        <v>0</v>
      </c>
      <c r="BU399" s="73" t="str">
        <f t="shared" ca="1" si="213"/>
        <v xml:space="preserve"> </v>
      </c>
      <c r="BW399" s="75">
        <f t="shared" ca="1" si="214"/>
        <v>55426</v>
      </c>
      <c r="BX399" s="74">
        <f t="shared" ca="1" si="215"/>
        <v>9</v>
      </c>
      <c r="BY399" s="74">
        <f t="shared" ca="1" si="224"/>
        <v>0</v>
      </c>
      <c r="BZ399" s="73" t="str">
        <f t="shared" ca="1" si="216"/>
        <v xml:space="preserve"> </v>
      </c>
      <c r="CB399" s="75">
        <f t="shared" ca="1" si="230"/>
        <v>55426</v>
      </c>
      <c r="CC399" s="74">
        <f t="shared" ca="1" si="217"/>
        <v>9</v>
      </c>
      <c r="CD399" s="74">
        <f t="shared" ca="1" si="225"/>
        <v>0</v>
      </c>
      <c r="CE399" s="73" t="str">
        <f t="shared" ca="1" si="218"/>
        <v xml:space="preserve"> </v>
      </c>
    </row>
    <row r="400" spans="1:83" x14ac:dyDescent="0.2">
      <c r="A400" s="38" t="str">
        <f t="shared" si="231"/>
        <v xml:space="preserve"> </v>
      </c>
      <c r="B400" s="108"/>
      <c r="C400" s="38"/>
      <c r="D400" s="137"/>
      <c r="E400" s="137"/>
      <c r="F400" s="137"/>
      <c r="G400" s="122"/>
      <c r="H400" s="137"/>
      <c r="I400" s="50"/>
      <c r="J400" s="50"/>
      <c r="K400" s="50"/>
      <c r="L400" s="38"/>
      <c r="M400" s="38"/>
      <c r="N400" s="38"/>
      <c r="O400" s="50"/>
      <c r="P400" s="218"/>
      <c r="Q400" s="50"/>
      <c r="R400" s="50"/>
      <c r="S400" s="38"/>
      <c r="T400" s="51"/>
      <c r="U400" s="65"/>
      <c r="V400" s="105"/>
      <c r="W400" s="66"/>
      <c r="X400" s="66"/>
      <c r="Y400" s="38"/>
      <c r="Z400" s="66">
        <f t="shared" si="219"/>
        <v>0</v>
      </c>
      <c r="AA400" s="67"/>
      <c r="AC400" s="41" t="e">
        <f>VLOOKUP(A400,'Input Sheet'!$A$2:$B$232,2,0)</f>
        <v>#N/A</v>
      </c>
      <c r="AD400" s="70"/>
      <c r="AI400" s="68"/>
      <c r="AL400" s="107">
        <f t="shared" ca="1" si="201"/>
        <v>0</v>
      </c>
      <c r="AM400" s="49">
        <f t="shared" ca="1" si="226"/>
        <v>55457</v>
      </c>
      <c r="AN400" s="137" t="str">
        <f t="shared" ca="1" si="202"/>
        <v xml:space="preserve"> </v>
      </c>
      <c r="AO400" s="107">
        <f t="shared" ca="1" si="222"/>
        <v>0</v>
      </c>
      <c r="AP400" s="143">
        <f t="shared" ca="1" si="220"/>
        <v>0</v>
      </c>
      <c r="AQ400" s="143">
        <f t="shared" ca="1" si="203"/>
        <v>0</v>
      </c>
      <c r="AR400" s="49" t="str">
        <f t="shared" ca="1" si="204"/>
        <v xml:space="preserve"> </v>
      </c>
      <c r="AS400" s="107">
        <f t="shared" ca="1" si="205"/>
        <v>0</v>
      </c>
      <c r="AT400" s="107">
        <f t="shared" ca="1" si="221"/>
        <v>0</v>
      </c>
      <c r="AU400" s="107"/>
      <c r="AV400" s="107">
        <f ca="1">MAX(SUM($AQ$6:AQ400)-SUM($AT$6:AT400),0)</f>
        <v>0</v>
      </c>
      <c r="AW400" s="107">
        <f t="shared" ca="1" si="227"/>
        <v>0</v>
      </c>
      <c r="AX400" s="107">
        <v>0</v>
      </c>
      <c r="AY400" s="138" t="str">
        <f t="shared" ca="1" si="206"/>
        <v xml:space="preserve"> </v>
      </c>
      <c r="AZ400" s="107">
        <f t="shared" ca="1" si="207"/>
        <v>0</v>
      </c>
      <c r="BA400" s="107">
        <f ca="1">IF(AZ400=1,(SUM($AW$6:AW400,$AX$6:AX400)-SUM($BA$6:BA399)),0)</f>
        <v>0</v>
      </c>
      <c r="BB400" s="107"/>
      <c r="BC400" s="107">
        <f ca="1">AV400+SUM($AW$6:AW400)+SUM($AX$6:AX400)-SUM($BA$6:BA400)</f>
        <v>0</v>
      </c>
      <c r="BD400" s="107">
        <f t="shared" ca="1" si="208"/>
        <v>0</v>
      </c>
      <c r="BE400" s="51">
        <f>'PiT PD Structure'!J440</f>
        <v>0</v>
      </c>
      <c r="BF400" s="139">
        <f t="shared" ca="1" si="228"/>
        <v>0.45</v>
      </c>
      <c r="BG400" s="51">
        <f t="shared" ca="1" si="209"/>
        <v>1</v>
      </c>
      <c r="BH400" s="50">
        <f t="shared" ca="1" si="210"/>
        <v>0</v>
      </c>
      <c r="BI400" s="50">
        <f t="shared" ca="1" si="211"/>
        <v>3.4816594052244909E-13</v>
      </c>
      <c r="BJ400" s="140">
        <v>0</v>
      </c>
      <c r="BK400" s="140">
        <v>0</v>
      </c>
      <c r="BR400" s="75">
        <f t="shared" ca="1" si="229"/>
        <v>55457</v>
      </c>
      <c r="BS400" s="74">
        <f t="shared" ca="1" si="212"/>
        <v>10</v>
      </c>
      <c r="BT400" s="74">
        <f t="shared" ca="1" si="223"/>
        <v>0</v>
      </c>
      <c r="BU400" s="73" t="str">
        <f t="shared" ca="1" si="213"/>
        <v xml:space="preserve"> </v>
      </c>
      <c r="BW400" s="75">
        <f t="shared" ca="1" si="214"/>
        <v>55457</v>
      </c>
      <c r="BX400" s="74">
        <f t="shared" ca="1" si="215"/>
        <v>10</v>
      </c>
      <c r="BY400" s="74">
        <f t="shared" ca="1" si="224"/>
        <v>0</v>
      </c>
      <c r="BZ400" s="73" t="str">
        <f t="shared" ca="1" si="216"/>
        <v xml:space="preserve"> </v>
      </c>
      <c r="CB400" s="75">
        <f t="shared" ca="1" si="230"/>
        <v>55457</v>
      </c>
      <c r="CC400" s="74">
        <f t="shared" ca="1" si="217"/>
        <v>10</v>
      </c>
      <c r="CD400" s="74">
        <f t="shared" ca="1" si="225"/>
        <v>0</v>
      </c>
      <c r="CE400" s="73" t="str">
        <f t="shared" ca="1" si="218"/>
        <v xml:space="preserve"> </v>
      </c>
    </row>
    <row r="401" spans="1:83" x14ac:dyDescent="0.2">
      <c r="A401" s="38" t="str">
        <f t="shared" si="231"/>
        <v xml:space="preserve"> </v>
      </c>
      <c r="B401" s="108"/>
      <c r="C401" s="38"/>
      <c r="D401" s="137"/>
      <c r="E401" s="137"/>
      <c r="F401" s="137"/>
      <c r="G401" s="122"/>
      <c r="H401" s="137"/>
      <c r="I401" s="50"/>
      <c r="J401" s="50"/>
      <c r="K401" s="50"/>
      <c r="L401" s="38"/>
      <c r="M401" s="38"/>
      <c r="N401" s="38"/>
      <c r="O401" s="50"/>
      <c r="P401" s="218"/>
      <c r="Q401" s="50"/>
      <c r="R401" s="50"/>
      <c r="S401" s="38"/>
      <c r="T401" s="51"/>
      <c r="U401" s="65"/>
      <c r="V401" s="105"/>
      <c r="W401" s="66"/>
      <c r="X401" s="66"/>
      <c r="Y401" s="38"/>
      <c r="Z401" s="66">
        <f t="shared" si="219"/>
        <v>0</v>
      </c>
      <c r="AA401" s="67"/>
      <c r="AC401" s="41" t="e">
        <f>VLOOKUP(A401,'Input Sheet'!$A$2:$B$232,2,0)</f>
        <v>#N/A</v>
      </c>
      <c r="AD401" s="70"/>
      <c r="AI401" s="68"/>
      <c r="AL401" s="107">
        <f t="shared" ca="1" si="201"/>
        <v>0</v>
      </c>
      <c r="AM401" s="49">
        <f t="shared" ca="1" si="226"/>
        <v>55487</v>
      </c>
      <c r="AN401" s="137" t="str">
        <f t="shared" ca="1" si="202"/>
        <v xml:space="preserve"> </v>
      </c>
      <c r="AO401" s="107">
        <f t="shared" ca="1" si="222"/>
        <v>0</v>
      </c>
      <c r="AP401" s="143">
        <f t="shared" ca="1" si="220"/>
        <v>0</v>
      </c>
      <c r="AQ401" s="143">
        <f t="shared" ca="1" si="203"/>
        <v>0</v>
      </c>
      <c r="AR401" s="49" t="str">
        <f t="shared" ca="1" si="204"/>
        <v xml:space="preserve"> </v>
      </c>
      <c r="AS401" s="107">
        <f t="shared" ca="1" si="205"/>
        <v>0</v>
      </c>
      <c r="AT401" s="107">
        <f t="shared" ca="1" si="221"/>
        <v>0</v>
      </c>
      <c r="AU401" s="107"/>
      <c r="AV401" s="107">
        <f ca="1">MAX(SUM($AQ$6:AQ401)-SUM($AT$6:AT401),0)</f>
        <v>0</v>
      </c>
      <c r="AW401" s="107">
        <f t="shared" ca="1" si="227"/>
        <v>0</v>
      </c>
      <c r="AX401" s="107">
        <v>0</v>
      </c>
      <c r="AY401" s="138" t="str">
        <f t="shared" ca="1" si="206"/>
        <v xml:space="preserve"> </v>
      </c>
      <c r="AZ401" s="107">
        <f t="shared" ca="1" si="207"/>
        <v>0</v>
      </c>
      <c r="BA401" s="107">
        <f ca="1">IF(AZ401=1,(SUM($AW$6:AW401,$AX$6:AX401)-SUM($BA$6:BA400)),0)</f>
        <v>0</v>
      </c>
      <c r="BB401" s="107"/>
      <c r="BC401" s="107">
        <f ca="1">AV401+SUM($AW$6:AW401)+SUM($AX$6:AX401)-SUM($BA$6:BA401)</f>
        <v>0</v>
      </c>
      <c r="BD401" s="107">
        <f t="shared" ca="1" si="208"/>
        <v>0</v>
      </c>
      <c r="BE401" s="51">
        <f>'PiT PD Structure'!J441</f>
        <v>0</v>
      </c>
      <c r="BF401" s="139">
        <f t="shared" ca="1" si="228"/>
        <v>0.45</v>
      </c>
      <c r="BG401" s="51">
        <f t="shared" ca="1" si="209"/>
        <v>1</v>
      </c>
      <c r="BH401" s="50">
        <f t="shared" ca="1" si="210"/>
        <v>0</v>
      </c>
      <c r="BI401" s="50">
        <f t="shared" ca="1" si="211"/>
        <v>3.4816594052244909E-13</v>
      </c>
      <c r="BJ401" s="140">
        <v>0</v>
      </c>
      <c r="BK401" s="140">
        <v>0</v>
      </c>
      <c r="BR401" s="75">
        <f t="shared" ca="1" si="229"/>
        <v>55487</v>
      </c>
      <c r="BS401" s="74">
        <f t="shared" ca="1" si="212"/>
        <v>11</v>
      </c>
      <c r="BT401" s="74">
        <f t="shared" ca="1" si="223"/>
        <v>0</v>
      </c>
      <c r="BU401" s="73" t="str">
        <f t="shared" ca="1" si="213"/>
        <v xml:space="preserve"> </v>
      </c>
      <c r="BW401" s="75">
        <f t="shared" ca="1" si="214"/>
        <v>55487</v>
      </c>
      <c r="BX401" s="74">
        <f t="shared" ca="1" si="215"/>
        <v>11</v>
      </c>
      <c r="BY401" s="74">
        <f t="shared" ca="1" si="224"/>
        <v>0</v>
      </c>
      <c r="BZ401" s="73" t="str">
        <f t="shared" ca="1" si="216"/>
        <v xml:space="preserve"> </v>
      </c>
      <c r="CB401" s="75">
        <f t="shared" ca="1" si="230"/>
        <v>55487</v>
      </c>
      <c r="CC401" s="74">
        <f t="shared" ca="1" si="217"/>
        <v>11</v>
      </c>
      <c r="CD401" s="74">
        <f t="shared" ca="1" si="225"/>
        <v>0</v>
      </c>
      <c r="CE401" s="73" t="str">
        <f t="shared" ca="1" si="218"/>
        <v xml:space="preserve"> </v>
      </c>
    </row>
    <row r="402" spans="1:83" x14ac:dyDescent="0.2">
      <c r="A402" s="38" t="str">
        <f t="shared" si="231"/>
        <v xml:space="preserve"> </v>
      </c>
      <c r="B402" s="108"/>
      <c r="C402" s="38"/>
      <c r="D402" s="137"/>
      <c r="E402" s="137"/>
      <c r="F402" s="137"/>
      <c r="G402" s="122"/>
      <c r="H402" s="137"/>
      <c r="I402" s="50"/>
      <c r="J402" s="50"/>
      <c r="K402" s="50"/>
      <c r="L402" s="38"/>
      <c r="M402" s="38"/>
      <c r="N402" s="38"/>
      <c r="O402" s="50"/>
      <c r="P402" s="218"/>
      <c r="Q402" s="50"/>
      <c r="R402" s="50"/>
      <c r="S402" s="38"/>
      <c r="T402" s="51"/>
      <c r="U402" s="65"/>
      <c r="V402" s="105"/>
      <c r="W402" s="66"/>
      <c r="X402" s="66"/>
      <c r="Y402" s="38"/>
      <c r="Z402" s="66">
        <f t="shared" si="219"/>
        <v>0</v>
      </c>
      <c r="AA402" s="67"/>
      <c r="AC402" s="41" t="e">
        <f>VLOOKUP(A402,'Input Sheet'!$A$2:$B$232,2,0)</f>
        <v>#N/A</v>
      </c>
      <c r="AD402" s="70"/>
      <c r="AI402" s="68"/>
      <c r="AL402" s="107">
        <f t="shared" ca="1" si="201"/>
        <v>0</v>
      </c>
      <c r="AM402" s="49">
        <f t="shared" ca="1" si="226"/>
        <v>55518</v>
      </c>
      <c r="AN402" s="137" t="str">
        <f t="shared" ca="1" si="202"/>
        <v xml:space="preserve"> </v>
      </c>
      <c r="AO402" s="107">
        <f t="shared" ca="1" si="222"/>
        <v>0</v>
      </c>
      <c r="AP402" s="143">
        <f t="shared" ca="1" si="220"/>
        <v>0</v>
      </c>
      <c r="AQ402" s="143">
        <f t="shared" ca="1" si="203"/>
        <v>0</v>
      </c>
      <c r="AR402" s="49" t="str">
        <f t="shared" ca="1" si="204"/>
        <v xml:space="preserve"> </v>
      </c>
      <c r="AS402" s="107">
        <f t="shared" ca="1" si="205"/>
        <v>0</v>
      </c>
      <c r="AT402" s="107">
        <f t="shared" ca="1" si="221"/>
        <v>0</v>
      </c>
      <c r="AU402" s="107"/>
      <c r="AV402" s="107">
        <f ca="1">MAX(SUM($AQ$6:AQ402)-SUM($AT$6:AT402),0)</f>
        <v>0</v>
      </c>
      <c r="AW402" s="107">
        <f t="shared" ca="1" si="227"/>
        <v>0</v>
      </c>
      <c r="AX402" s="107">
        <v>0</v>
      </c>
      <c r="AY402" s="138" t="str">
        <f t="shared" ca="1" si="206"/>
        <v xml:space="preserve"> </v>
      </c>
      <c r="AZ402" s="107">
        <f t="shared" ca="1" si="207"/>
        <v>0</v>
      </c>
      <c r="BA402" s="107">
        <f ca="1">IF(AZ402=1,(SUM($AW$6:AW402,$AX$6:AX402)-SUM($BA$6:BA401)),0)</f>
        <v>0</v>
      </c>
      <c r="BB402" s="107"/>
      <c r="BC402" s="107">
        <f ca="1">AV402+SUM($AW$6:AW402)+SUM($AX$6:AX402)-SUM($BA$6:BA402)</f>
        <v>0</v>
      </c>
      <c r="BD402" s="107">
        <f t="shared" ca="1" si="208"/>
        <v>0</v>
      </c>
      <c r="BE402" s="51">
        <f>'PiT PD Structure'!J442</f>
        <v>0</v>
      </c>
      <c r="BF402" s="139">
        <f t="shared" ca="1" si="228"/>
        <v>0.45</v>
      </c>
      <c r="BG402" s="51">
        <f t="shared" ca="1" si="209"/>
        <v>1</v>
      </c>
      <c r="BH402" s="50">
        <f t="shared" ca="1" si="210"/>
        <v>0</v>
      </c>
      <c r="BI402" s="50">
        <f t="shared" ca="1" si="211"/>
        <v>3.4816594052244909E-13</v>
      </c>
      <c r="BJ402" s="140">
        <v>0</v>
      </c>
      <c r="BK402" s="140">
        <v>0</v>
      </c>
      <c r="BR402" s="75">
        <f t="shared" ca="1" si="229"/>
        <v>55518</v>
      </c>
      <c r="BS402" s="74">
        <f t="shared" ca="1" si="212"/>
        <v>12</v>
      </c>
      <c r="BT402" s="74">
        <f t="shared" ca="1" si="223"/>
        <v>0</v>
      </c>
      <c r="BU402" s="73" t="str">
        <f t="shared" ca="1" si="213"/>
        <v xml:space="preserve"> </v>
      </c>
      <c r="BW402" s="75">
        <f t="shared" ca="1" si="214"/>
        <v>55518</v>
      </c>
      <c r="BX402" s="74">
        <f t="shared" ca="1" si="215"/>
        <v>12</v>
      </c>
      <c r="BY402" s="74">
        <f t="shared" ca="1" si="224"/>
        <v>0</v>
      </c>
      <c r="BZ402" s="73" t="str">
        <f t="shared" ca="1" si="216"/>
        <v xml:space="preserve"> </v>
      </c>
      <c r="CB402" s="75">
        <f t="shared" ca="1" si="230"/>
        <v>55518</v>
      </c>
      <c r="CC402" s="74">
        <f t="shared" ca="1" si="217"/>
        <v>12</v>
      </c>
      <c r="CD402" s="74">
        <f t="shared" ca="1" si="225"/>
        <v>0</v>
      </c>
      <c r="CE402" s="73" t="str">
        <f t="shared" ca="1" si="218"/>
        <v xml:space="preserve"> </v>
      </c>
    </row>
    <row r="403" spans="1:83" x14ac:dyDescent="0.2">
      <c r="A403" s="38" t="str">
        <f t="shared" si="231"/>
        <v xml:space="preserve"> </v>
      </c>
      <c r="B403" s="108"/>
      <c r="C403" s="38"/>
      <c r="D403" s="137"/>
      <c r="E403" s="137"/>
      <c r="F403" s="137"/>
      <c r="G403" s="122"/>
      <c r="H403" s="137"/>
      <c r="I403" s="50"/>
      <c r="J403" s="50"/>
      <c r="K403" s="50"/>
      <c r="L403" s="38"/>
      <c r="M403" s="38"/>
      <c r="N403" s="38"/>
      <c r="O403" s="50"/>
      <c r="P403" s="218"/>
      <c r="Q403" s="50"/>
      <c r="R403" s="50"/>
      <c r="S403" s="38"/>
      <c r="T403" s="51"/>
      <c r="U403" s="65"/>
      <c r="V403" s="105"/>
      <c r="W403" s="66"/>
      <c r="X403" s="66"/>
      <c r="Y403" s="38"/>
      <c r="Z403" s="66">
        <f t="shared" si="219"/>
        <v>0</v>
      </c>
      <c r="AA403" s="67"/>
      <c r="AC403" s="41" t="e">
        <f>VLOOKUP(A403,'Input Sheet'!$A$2:$B$232,2,0)</f>
        <v>#N/A</v>
      </c>
      <c r="AD403" s="70"/>
      <c r="AI403" s="68"/>
      <c r="AL403" s="107">
        <f t="shared" ca="1" si="201"/>
        <v>0</v>
      </c>
      <c r="AM403" s="49">
        <f t="shared" ca="1" si="226"/>
        <v>55549</v>
      </c>
      <c r="AN403" s="137" t="str">
        <f t="shared" ca="1" si="202"/>
        <v xml:space="preserve"> </v>
      </c>
      <c r="AO403" s="107">
        <f t="shared" ca="1" si="222"/>
        <v>0</v>
      </c>
      <c r="AP403" s="143">
        <f t="shared" ca="1" si="220"/>
        <v>0</v>
      </c>
      <c r="AQ403" s="143">
        <f t="shared" ca="1" si="203"/>
        <v>0</v>
      </c>
      <c r="AR403" s="49" t="str">
        <f t="shared" ca="1" si="204"/>
        <v xml:space="preserve"> </v>
      </c>
      <c r="AS403" s="107">
        <f t="shared" ca="1" si="205"/>
        <v>0</v>
      </c>
      <c r="AT403" s="107">
        <f t="shared" ca="1" si="221"/>
        <v>0</v>
      </c>
      <c r="AU403" s="107"/>
      <c r="AV403" s="107">
        <f ca="1">MAX(SUM($AQ$6:AQ403)-SUM($AT$6:AT403),0)</f>
        <v>0</v>
      </c>
      <c r="AW403" s="107">
        <f t="shared" ca="1" si="227"/>
        <v>0</v>
      </c>
      <c r="AX403" s="107">
        <v>0</v>
      </c>
      <c r="AY403" s="138" t="str">
        <f t="shared" ca="1" si="206"/>
        <v xml:space="preserve"> </v>
      </c>
      <c r="AZ403" s="107">
        <f t="shared" ca="1" si="207"/>
        <v>0</v>
      </c>
      <c r="BA403" s="107">
        <f ca="1">IF(AZ403=1,(SUM($AW$6:AW403,$AX$6:AX403)-SUM($BA$6:BA402)),0)</f>
        <v>0</v>
      </c>
      <c r="BB403" s="107"/>
      <c r="BC403" s="107">
        <f ca="1">AV403+SUM($AW$6:AW403)+SUM($AX$6:AX403)-SUM($BA$6:BA403)</f>
        <v>0</v>
      </c>
      <c r="BD403" s="107">
        <f t="shared" ca="1" si="208"/>
        <v>0</v>
      </c>
      <c r="BE403" s="51">
        <f>'PiT PD Structure'!J443</f>
        <v>0</v>
      </c>
      <c r="BF403" s="139">
        <f t="shared" ca="1" si="228"/>
        <v>0.45</v>
      </c>
      <c r="BG403" s="51">
        <f t="shared" ca="1" si="209"/>
        <v>1</v>
      </c>
      <c r="BH403" s="50">
        <f t="shared" ca="1" si="210"/>
        <v>0</v>
      </c>
      <c r="BI403" s="50">
        <f t="shared" ca="1" si="211"/>
        <v>3.4816594052244909E-13</v>
      </c>
      <c r="BJ403" s="140">
        <v>0</v>
      </c>
      <c r="BK403" s="140">
        <v>0</v>
      </c>
      <c r="BR403" s="75">
        <f t="shared" ca="1" si="229"/>
        <v>55549</v>
      </c>
      <c r="BS403" s="74">
        <f t="shared" ca="1" si="212"/>
        <v>1</v>
      </c>
      <c r="BT403" s="74">
        <f t="shared" ca="1" si="223"/>
        <v>0</v>
      </c>
      <c r="BU403" s="73" t="str">
        <f t="shared" ca="1" si="213"/>
        <v xml:space="preserve"> </v>
      </c>
      <c r="BW403" s="75">
        <f t="shared" ca="1" si="214"/>
        <v>55549</v>
      </c>
      <c r="BX403" s="74">
        <f t="shared" ca="1" si="215"/>
        <v>1</v>
      </c>
      <c r="BY403" s="74">
        <f t="shared" ca="1" si="224"/>
        <v>0</v>
      </c>
      <c r="BZ403" s="73" t="str">
        <f t="shared" ca="1" si="216"/>
        <v xml:space="preserve"> </v>
      </c>
      <c r="CB403" s="75">
        <f t="shared" ca="1" si="230"/>
        <v>55549</v>
      </c>
      <c r="CC403" s="74">
        <f t="shared" ca="1" si="217"/>
        <v>1</v>
      </c>
      <c r="CD403" s="74">
        <f t="shared" ca="1" si="225"/>
        <v>0</v>
      </c>
      <c r="CE403" s="73" t="str">
        <f t="shared" ca="1" si="218"/>
        <v xml:space="preserve"> </v>
      </c>
    </row>
    <row r="404" spans="1:83" x14ac:dyDescent="0.2">
      <c r="A404" s="38" t="str">
        <f t="shared" si="231"/>
        <v xml:space="preserve"> </v>
      </c>
      <c r="B404" s="108"/>
      <c r="C404" s="38"/>
      <c r="D404" s="137"/>
      <c r="E404" s="137"/>
      <c r="F404" s="137"/>
      <c r="G404" s="122"/>
      <c r="H404" s="137"/>
      <c r="I404" s="50"/>
      <c r="J404" s="50"/>
      <c r="K404" s="50"/>
      <c r="L404" s="38"/>
      <c r="M404" s="38"/>
      <c r="N404" s="38"/>
      <c r="O404" s="50"/>
      <c r="P404" s="218"/>
      <c r="Q404" s="50"/>
      <c r="R404" s="50"/>
      <c r="S404" s="38"/>
      <c r="T404" s="51"/>
      <c r="U404" s="65"/>
      <c r="V404" s="105"/>
      <c r="W404" s="66"/>
      <c r="X404" s="66"/>
      <c r="Y404" s="38"/>
      <c r="Z404" s="66">
        <f t="shared" si="219"/>
        <v>0</v>
      </c>
      <c r="AA404" s="67"/>
      <c r="AC404" s="41" t="e">
        <f>VLOOKUP(A404,'Input Sheet'!$A$2:$B$232,2,0)</f>
        <v>#N/A</v>
      </c>
      <c r="AD404" s="70"/>
      <c r="AI404" s="68"/>
      <c r="AL404" s="107">
        <f t="shared" ca="1" si="201"/>
        <v>0</v>
      </c>
      <c r="AM404" s="49">
        <f t="shared" ca="1" si="226"/>
        <v>55578</v>
      </c>
      <c r="AN404" s="137" t="str">
        <f t="shared" ca="1" si="202"/>
        <v xml:space="preserve"> </v>
      </c>
      <c r="AO404" s="107">
        <f t="shared" ca="1" si="222"/>
        <v>0</v>
      </c>
      <c r="AP404" s="143">
        <f t="shared" ca="1" si="220"/>
        <v>0</v>
      </c>
      <c r="AQ404" s="143">
        <f t="shared" ca="1" si="203"/>
        <v>0</v>
      </c>
      <c r="AR404" s="49" t="str">
        <f t="shared" ca="1" si="204"/>
        <v xml:space="preserve"> </v>
      </c>
      <c r="AS404" s="107">
        <f t="shared" ca="1" si="205"/>
        <v>0</v>
      </c>
      <c r="AT404" s="107">
        <f t="shared" ca="1" si="221"/>
        <v>0</v>
      </c>
      <c r="AU404" s="107"/>
      <c r="AV404" s="107">
        <f ca="1">MAX(SUM($AQ$6:AQ404)-SUM($AT$6:AT404),0)</f>
        <v>0</v>
      </c>
      <c r="AW404" s="107">
        <f t="shared" ca="1" si="227"/>
        <v>0</v>
      </c>
      <c r="AX404" s="107">
        <v>0</v>
      </c>
      <c r="AY404" s="138" t="str">
        <f t="shared" ca="1" si="206"/>
        <v xml:space="preserve"> </v>
      </c>
      <c r="AZ404" s="107">
        <f t="shared" ca="1" si="207"/>
        <v>0</v>
      </c>
      <c r="BA404" s="107">
        <f ca="1">IF(AZ404=1,(SUM($AW$6:AW404,$AX$6:AX404)-SUM($BA$6:BA403)),0)</f>
        <v>0</v>
      </c>
      <c r="BB404" s="107"/>
      <c r="BC404" s="107">
        <f ca="1">AV404+SUM($AW$6:AW404)+SUM($AX$6:AX404)-SUM($BA$6:BA404)</f>
        <v>0</v>
      </c>
      <c r="BD404" s="107">
        <f t="shared" ca="1" si="208"/>
        <v>0</v>
      </c>
      <c r="BE404" s="51">
        <f>'PiT PD Structure'!J444</f>
        <v>0</v>
      </c>
      <c r="BF404" s="139">
        <f t="shared" ca="1" si="228"/>
        <v>0.45</v>
      </c>
      <c r="BG404" s="51">
        <f t="shared" ca="1" si="209"/>
        <v>1</v>
      </c>
      <c r="BH404" s="50">
        <f t="shared" ca="1" si="210"/>
        <v>0</v>
      </c>
      <c r="BI404" s="50">
        <f t="shared" ca="1" si="211"/>
        <v>3.4816594052244909E-13</v>
      </c>
      <c r="BJ404" s="140">
        <v>0</v>
      </c>
      <c r="BK404" s="140">
        <v>0</v>
      </c>
      <c r="BR404" s="75">
        <f t="shared" ca="1" si="229"/>
        <v>55578</v>
      </c>
      <c r="BS404" s="74">
        <f t="shared" ca="1" si="212"/>
        <v>2</v>
      </c>
      <c r="BT404" s="74">
        <f t="shared" ca="1" si="223"/>
        <v>0</v>
      </c>
      <c r="BU404" s="73" t="str">
        <f t="shared" ca="1" si="213"/>
        <v xml:space="preserve"> </v>
      </c>
      <c r="BW404" s="75">
        <f t="shared" ca="1" si="214"/>
        <v>55578</v>
      </c>
      <c r="BX404" s="74">
        <f t="shared" ca="1" si="215"/>
        <v>2</v>
      </c>
      <c r="BY404" s="74">
        <f t="shared" ca="1" si="224"/>
        <v>0</v>
      </c>
      <c r="BZ404" s="73" t="str">
        <f t="shared" ca="1" si="216"/>
        <v xml:space="preserve"> </v>
      </c>
      <c r="CB404" s="75">
        <f t="shared" ca="1" si="230"/>
        <v>55578</v>
      </c>
      <c r="CC404" s="74">
        <f t="shared" ca="1" si="217"/>
        <v>2</v>
      </c>
      <c r="CD404" s="74">
        <f t="shared" ca="1" si="225"/>
        <v>0</v>
      </c>
      <c r="CE404" s="73" t="str">
        <f t="shared" ca="1" si="218"/>
        <v xml:space="preserve"> </v>
      </c>
    </row>
    <row r="405" spans="1:83" x14ac:dyDescent="0.2">
      <c r="A405" s="38" t="str">
        <f t="shared" si="231"/>
        <v xml:space="preserve"> </v>
      </c>
      <c r="B405" s="108"/>
      <c r="C405" s="38"/>
      <c r="D405" s="137"/>
      <c r="E405" s="137"/>
      <c r="F405" s="137"/>
      <c r="G405" s="122"/>
      <c r="H405" s="137"/>
      <c r="I405" s="50"/>
      <c r="J405" s="50"/>
      <c r="K405" s="50"/>
      <c r="L405" s="38"/>
      <c r="M405" s="38"/>
      <c r="N405" s="38"/>
      <c r="O405" s="50"/>
      <c r="P405" s="218"/>
      <c r="Q405" s="50"/>
      <c r="R405" s="50"/>
      <c r="S405" s="38"/>
      <c r="T405" s="51"/>
      <c r="U405" s="65"/>
      <c r="V405" s="105"/>
      <c r="W405" s="66"/>
      <c r="X405" s="66"/>
      <c r="Y405" s="38"/>
      <c r="Z405" s="66">
        <f t="shared" si="219"/>
        <v>0</v>
      </c>
      <c r="AA405" s="67"/>
      <c r="AC405" s="41" t="e">
        <f>VLOOKUP(A405,'Input Sheet'!$A$2:$B$232,2,0)</f>
        <v>#N/A</v>
      </c>
      <c r="AD405" s="70"/>
      <c r="AI405" s="68"/>
      <c r="AL405" s="107">
        <f t="shared" ca="1" si="201"/>
        <v>0</v>
      </c>
      <c r="AM405" s="49">
        <f t="shared" ca="1" si="226"/>
        <v>55609</v>
      </c>
      <c r="AN405" s="137" t="str">
        <f t="shared" ca="1" si="202"/>
        <v xml:space="preserve"> </v>
      </c>
      <c r="AO405" s="107">
        <f t="shared" ca="1" si="222"/>
        <v>0</v>
      </c>
      <c r="AP405" s="143">
        <f t="shared" ca="1" si="220"/>
        <v>0</v>
      </c>
      <c r="AQ405" s="143">
        <f t="shared" ca="1" si="203"/>
        <v>0</v>
      </c>
      <c r="AR405" s="49" t="str">
        <f t="shared" ca="1" si="204"/>
        <v xml:space="preserve"> </v>
      </c>
      <c r="AS405" s="107">
        <f t="shared" ca="1" si="205"/>
        <v>0</v>
      </c>
      <c r="AT405" s="107">
        <f t="shared" ca="1" si="221"/>
        <v>0</v>
      </c>
      <c r="AU405" s="107"/>
      <c r="AV405" s="107">
        <f ca="1">MAX(SUM($AQ$6:AQ405)-SUM($AT$6:AT405),0)</f>
        <v>0</v>
      </c>
      <c r="AW405" s="107">
        <f t="shared" ca="1" si="227"/>
        <v>0</v>
      </c>
      <c r="AX405" s="107">
        <v>0</v>
      </c>
      <c r="AY405" s="138" t="str">
        <f t="shared" ca="1" si="206"/>
        <v xml:space="preserve"> </v>
      </c>
      <c r="AZ405" s="107">
        <f t="shared" ca="1" si="207"/>
        <v>0</v>
      </c>
      <c r="BA405" s="107">
        <f ca="1">IF(AZ405=1,(SUM($AW$6:AW405,$AX$6:AX405)-SUM($BA$6:BA404)),0)</f>
        <v>0</v>
      </c>
      <c r="BB405" s="107"/>
      <c r="BC405" s="107">
        <f ca="1">AV405+SUM($AW$6:AW405)+SUM($AX$6:AX405)-SUM($BA$6:BA405)</f>
        <v>0</v>
      </c>
      <c r="BD405" s="107">
        <f t="shared" ca="1" si="208"/>
        <v>0</v>
      </c>
      <c r="BE405" s="51">
        <f>'PiT PD Structure'!J445</f>
        <v>0</v>
      </c>
      <c r="BF405" s="139">
        <f t="shared" ca="1" si="228"/>
        <v>0.45</v>
      </c>
      <c r="BG405" s="51">
        <f t="shared" ca="1" si="209"/>
        <v>1</v>
      </c>
      <c r="BH405" s="50">
        <f t="shared" ca="1" si="210"/>
        <v>0</v>
      </c>
      <c r="BI405" s="50">
        <f t="shared" ca="1" si="211"/>
        <v>3.4816594052244909E-13</v>
      </c>
      <c r="BJ405" s="140">
        <v>0</v>
      </c>
      <c r="BK405" s="140">
        <v>0</v>
      </c>
      <c r="BR405" s="75">
        <f t="shared" ca="1" si="229"/>
        <v>55609</v>
      </c>
      <c r="BS405" s="74">
        <f t="shared" ca="1" si="212"/>
        <v>3</v>
      </c>
      <c r="BT405" s="74">
        <f t="shared" ca="1" si="223"/>
        <v>0</v>
      </c>
      <c r="BU405" s="73" t="str">
        <f t="shared" ca="1" si="213"/>
        <v xml:space="preserve"> </v>
      </c>
      <c r="BW405" s="75">
        <f t="shared" ca="1" si="214"/>
        <v>55609</v>
      </c>
      <c r="BX405" s="74">
        <f t="shared" ca="1" si="215"/>
        <v>3</v>
      </c>
      <c r="BY405" s="74">
        <f t="shared" ca="1" si="224"/>
        <v>0</v>
      </c>
      <c r="BZ405" s="73" t="str">
        <f t="shared" ca="1" si="216"/>
        <v xml:space="preserve"> </v>
      </c>
      <c r="CB405" s="75">
        <f t="shared" ca="1" si="230"/>
        <v>55609</v>
      </c>
      <c r="CC405" s="74">
        <f t="shared" ca="1" si="217"/>
        <v>3</v>
      </c>
      <c r="CD405" s="74">
        <f t="shared" ca="1" si="225"/>
        <v>0</v>
      </c>
      <c r="CE405" s="73" t="str">
        <f t="shared" ca="1" si="218"/>
        <v xml:space="preserve"> </v>
      </c>
    </row>
    <row r="406" spans="1:83" x14ac:dyDescent="0.2">
      <c r="A406" s="38" t="str">
        <f t="shared" si="231"/>
        <v xml:space="preserve"> </v>
      </c>
      <c r="B406" s="108"/>
      <c r="C406" s="38"/>
      <c r="D406" s="137"/>
      <c r="E406" s="137"/>
      <c r="F406" s="137"/>
      <c r="G406" s="122"/>
      <c r="H406" s="137"/>
      <c r="I406" s="50"/>
      <c r="J406" s="50"/>
      <c r="K406" s="50"/>
      <c r="L406" s="38"/>
      <c r="M406" s="38"/>
      <c r="N406" s="38"/>
      <c r="O406" s="50"/>
      <c r="P406" s="218"/>
      <c r="Q406" s="50"/>
      <c r="R406" s="50"/>
      <c r="S406" s="38"/>
      <c r="T406" s="51"/>
      <c r="U406" s="65"/>
      <c r="V406" s="105"/>
      <c r="W406" s="66"/>
      <c r="X406" s="66"/>
      <c r="Y406" s="38"/>
      <c r="Z406" s="66">
        <f t="shared" si="219"/>
        <v>0</v>
      </c>
      <c r="AA406" s="67"/>
      <c r="AC406" s="41" t="e">
        <f>VLOOKUP(A406,'Input Sheet'!$A$2:$B$232,2,0)</f>
        <v>#N/A</v>
      </c>
      <c r="AD406" s="70"/>
      <c r="AI406" s="68"/>
      <c r="AL406" s="107">
        <f t="shared" ca="1" si="201"/>
        <v>0</v>
      </c>
      <c r="AM406" s="49">
        <f t="shared" ca="1" si="226"/>
        <v>55639</v>
      </c>
      <c r="AN406" s="137" t="str">
        <f t="shared" ca="1" si="202"/>
        <v xml:space="preserve"> </v>
      </c>
      <c r="AO406" s="107">
        <f t="shared" ca="1" si="222"/>
        <v>0</v>
      </c>
      <c r="AP406" s="143">
        <f t="shared" ca="1" si="220"/>
        <v>0</v>
      </c>
      <c r="AQ406" s="143">
        <f t="shared" ca="1" si="203"/>
        <v>0</v>
      </c>
      <c r="AR406" s="49" t="str">
        <f t="shared" ca="1" si="204"/>
        <v xml:space="preserve"> </v>
      </c>
      <c r="AS406" s="107">
        <f t="shared" ca="1" si="205"/>
        <v>0</v>
      </c>
      <c r="AT406" s="107">
        <f t="shared" ca="1" si="221"/>
        <v>0</v>
      </c>
      <c r="AU406" s="107"/>
      <c r="AV406" s="107">
        <f ca="1">MAX(SUM($AQ$6:AQ406)-SUM($AT$6:AT406),0)</f>
        <v>0</v>
      </c>
      <c r="AW406" s="107">
        <f t="shared" ca="1" si="227"/>
        <v>0</v>
      </c>
      <c r="AX406" s="107">
        <v>0</v>
      </c>
      <c r="AY406" s="138" t="str">
        <f t="shared" ca="1" si="206"/>
        <v xml:space="preserve"> </v>
      </c>
      <c r="AZ406" s="107">
        <f t="shared" ca="1" si="207"/>
        <v>0</v>
      </c>
      <c r="BA406" s="107">
        <f ca="1">IF(AZ406=1,(SUM($AW$6:AW406,$AX$6:AX406)-SUM($BA$6:BA405)),0)</f>
        <v>0</v>
      </c>
      <c r="BB406" s="107"/>
      <c r="BC406" s="107">
        <f ca="1">AV406+SUM($AW$6:AW406)+SUM($AX$6:AX406)-SUM($BA$6:BA406)</f>
        <v>0</v>
      </c>
      <c r="BD406" s="107">
        <f t="shared" ca="1" si="208"/>
        <v>0</v>
      </c>
      <c r="BE406" s="51">
        <f>'PiT PD Structure'!J446</f>
        <v>0</v>
      </c>
      <c r="BF406" s="139">
        <f t="shared" ca="1" si="228"/>
        <v>0.45</v>
      </c>
      <c r="BG406" s="51">
        <f t="shared" ca="1" si="209"/>
        <v>1</v>
      </c>
      <c r="BH406" s="50">
        <f t="shared" ca="1" si="210"/>
        <v>0</v>
      </c>
      <c r="BI406" s="50">
        <f t="shared" ca="1" si="211"/>
        <v>3.4816594052244909E-13</v>
      </c>
      <c r="BJ406" s="140">
        <v>0</v>
      </c>
      <c r="BK406" s="140">
        <v>0</v>
      </c>
      <c r="BR406" s="75">
        <f t="shared" ca="1" si="229"/>
        <v>55639</v>
      </c>
      <c r="BS406" s="74">
        <f t="shared" ca="1" si="212"/>
        <v>4</v>
      </c>
      <c r="BT406" s="74">
        <f t="shared" ca="1" si="223"/>
        <v>0</v>
      </c>
      <c r="BU406" s="73" t="str">
        <f t="shared" ca="1" si="213"/>
        <v xml:space="preserve"> </v>
      </c>
      <c r="BW406" s="75">
        <f t="shared" ca="1" si="214"/>
        <v>55639</v>
      </c>
      <c r="BX406" s="74">
        <f t="shared" ca="1" si="215"/>
        <v>4</v>
      </c>
      <c r="BY406" s="74">
        <f t="shared" ca="1" si="224"/>
        <v>0</v>
      </c>
      <c r="BZ406" s="73" t="str">
        <f t="shared" ca="1" si="216"/>
        <v xml:space="preserve"> </v>
      </c>
      <c r="CB406" s="75">
        <f t="shared" ca="1" si="230"/>
        <v>55639</v>
      </c>
      <c r="CC406" s="74">
        <f t="shared" ca="1" si="217"/>
        <v>4</v>
      </c>
      <c r="CD406" s="74">
        <f t="shared" ca="1" si="225"/>
        <v>0</v>
      </c>
      <c r="CE406" s="73" t="str">
        <f t="shared" ca="1" si="218"/>
        <v xml:space="preserve"> </v>
      </c>
    </row>
    <row r="407" spans="1:83" x14ac:dyDescent="0.2">
      <c r="A407" s="38" t="str">
        <f t="shared" si="231"/>
        <v xml:space="preserve"> </v>
      </c>
      <c r="B407" s="108"/>
      <c r="C407" s="38"/>
      <c r="D407" s="137"/>
      <c r="E407" s="137"/>
      <c r="F407" s="137"/>
      <c r="G407" s="122"/>
      <c r="H407" s="137"/>
      <c r="I407" s="50"/>
      <c r="J407" s="50"/>
      <c r="K407" s="50"/>
      <c r="L407" s="38"/>
      <c r="M407" s="38"/>
      <c r="N407" s="38"/>
      <c r="O407" s="50"/>
      <c r="P407" s="218"/>
      <c r="Q407" s="50"/>
      <c r="R407" s="50"/>
      <c r="S407" s="38"/>
      <c r="T407" s="51"/>
      <c r="U407" s="65"/>
      <c r="V407" s="105"/>
      <c r="W407" s="66"/>
      <c r="X407" s="66"/>
      <c r="Y407" s="38"/>
      <c r="Z407" s="66">
        <f t="shared" si="219"/>
        <v>0</v>
      </c>
      <c r="AA407" s="67"/>
      <c r="AC407" s="41" t="e">
        <f>VLOOKUP(A407,'Input Sheet'!$A$2:$B$232,2,0)</f>
        <v>#N/A</v>
      </c>
      <c r="AD407" s="70"/>
      <c r="AI407" s="68"/>
      <c r="AL407" s="107">
        <f t="shared" ca="1" si="201"/>
        <v>0</v>
      </c>
      <c r="AM407" s="49">
        <f t="shared" ca="1" si="226"/>
        <v>55670</v>
      </c>
      <c r="AN407" s="137" t="str">
        <f t="shared" ca="1" si="202"/>
        <v xml:space="preserve"> </v>
      </c>
      <c r="AO407" s="107">
        <f t="shared" ca="1" si="222"/>
        <v>0</v>
      </c>
      <c r="AP407" s="143">
        <f t="shared" ca="1" si="220"/>
        <v>0</v>
      </c>
      <c r="AQ407" s="143">
        <f t="shared" ca="1" si="203"/>
        <v>0</v>
      </c>
      <c r="AR407" s="49" t="str">
        <f t="shared" ca="1" si="204"/>
        <v xml:space="preserve"> </v>
      </c>
      <c r="AS407" s="107">
        <f t="shared" ca="1" si="205"/>
        <v>0</v>
      </c>
      <c r="AT407" s="107">
        <f t="shared" ca="1" si="221"/>
        <v>0</v>
      </c>
      <c r="AU407" s="107"/>
      <c r="AV407" s="107">
        <f ca="1">MAX(SUM($AQ$6:AQ407)-SUM($AT$6:AT407),0)</f>
        <v>0</v>
      </c>
      <c r="AW407" s="107">
        <f t="shared" ca="1" si="227"/>
        <v>0</v>
      </c>
      <c r="AX407" s="107">
        <v>0</v>
      </c>
      <c r="AY407" s="138" t="str">
        <f t="shared" ca="1" si="206"/>
        <v xml:space="preserve"> </v>
      </c>
      <c r="AZ407" s="107">
        <f t="shared" ca="1" si="207"/>
        <v>0</v>
      </c>
      <c r="BA407" s="107">
        <f ca="1">IF(AZ407=1,(SUM($AW$6:AW407,$AX$6:AX407)-SUM($BA$6:BA406)),0)</f>
        <v>0</v>
      </c>
      <c r="BB407" s="107"/>
      <c r="BC407" s="107">
        <f ca="1">AV407+SUM($AW$6:AW407)+SUM($AX$6:AX407)-SUM($BA$6:BA407)</f>
        <v>0</v>
      </c>
      <c r="BD407" s="107">
        <f t="shared" ca="1" si="208"/>
        <v>0</v>
      </c>
      <c r="BE407" s="51">
        <f>'PiT PD Structure'!J447</f>
        <v>0</v>
      </c>
      <c r="BF407" s="139">
        <f t="shared" ca="1" si="228"/>
        <v>0.45</v>
      </c>
      <c r="BG407" s="51">
        <f t="shared" ca="1" si="209"/>
        <v>1</v>
      </c>
      <c r="BH407" s="50">
        <f t="shared" ca="1" si="210"/>
        <v>0</v>
      </c>
      <c r="BI407" s="50">
        <f t="shared" ca="1" si="211"/>
        <v>3.4816594052244909E-13</v>
      </c>
      <c r="BJ407" s="140">
        <v>0</v>
      </c>
      <c r="BK407" s="140">
        <v>0</v>
      </c>
      <c r="BR407" s="75">
        <f t="shared" ca="1" si="229"/>
        <v>55670</v>
      </c>
      <c r="BS407" s="74">
        <f t="shared" ca="1" si="212"/>
        <v>5</v>
      </c>
      <c r="BT407" s="74">
        <f t="shared" ca="1" si="223"/>
        <v>0</v>
      </c>
      <c r="BU407" s="73" t="str">
        <f t="shared" ca="1" si="213"/>
        <v xml:space="preserve"> </v>
      </c>
      <c r="BW407" s="75">
        <f t="shared" ca="1" si="214"/>
        <v>55670</v>
      </c>
      <c r="BX407" s="74">
        <f t="shared" ca="1" si="215"/>
        <v>5</v>
      </c>
      <c r="BY407" s="74">
        <f t="shared" ca="1" si="224"/>
        <v>0</v>
      </c>
      <c r="BZ407" s="73" t="str">
        <f t="shared" ca="1" si="216"/>
        <v xml:space="preserve"> </v>
      </c>
      <c r="CB407" s="75">
        <f t="shared" ca="1" si="230"/>
        <v>55670</v>
      </c>
      <c r="CC407" s="74">
        <f t="shared" ca="1" si="217"/>
        <v>5</v>
      </c>
      <c r="CD407" s="74">
        <f t="shared" ca="1" si="225"/>
        <v>0</v>
      </c>
      <c r="CE407" s="73" t="str">
        <f t="shared" ca="1" si="218"/>
        <v xml:space="preserve"> </v>
      </c>
    </row>
    <row r="408" spans="1:83" x14ac:dyDescent="0.2">
      <c r="A408" s="38" t="str">
        <f t="shared" si="231"/>
        <v xml:space="preserve"> </v>
      </c>
      <c r="B408" s="108"/>
      <c r="C408" s="38"/>
      <c r="D408" s="137"/>
      <c r="E408" s="137"/>
      <c r="F408" s="137"/>
      <c r="G408" s="122"/>
      <c r="H408" s="137"/>
      <c r="I408" s="50"/>
      <c r="J408" s="50"/>
      <c r="K408" s="50"/>
      <c r="L408" s="38"/>
      <c r="M408" s="38"/>
      <c r="N408" s="38"/>
      <c r="O408" s="50"/>
      <c r="P408" s="218"/>
      <c r="Q408" s="50"/>
      <c r="R408" s="50"/>
      <c r="S408" s="38"/>
      <c r="T408" s="51"/>
      <c r="U408" s="65"/>
      <c r="V408" s="105"/>
      <c r="W408" s="66"/>
      <c r="X408" s="66"/>
      <c r="Y408" s="38"/>
      <c r="Z408" s="66">
        <f t="shared" si="219"/>
        <v>0</v>
      </c>
      <c r="AA408" s="67"/>
      <c r="AC408" s="41" t="e">
        <f>VLOOKUP(A408,'Input Sheet'!$A$2:$B$232,2,0)</f>
        <v>#N/A</v>
      </c>
      <c r="AD408" s="70"/>
      <c r="AI408" s="68"/>
      <c r="AL408" s="107">
        <f t="shared" ca="1" si="201"/>
        <v>0</v>
      </c>
      <c r="AM408" s="49">
        <f t="shared" ca="1" si="226"/>
        <v>55700</v>
      </c>
      <c r="AN408" s="137" t="str">
        <f t="shared" ca="1" si="202"/>
        <v xml:space="preserve"> </v>
      </c>
      <c r="AO408" s="107">
        <f t="shared" ca="1" si="222"/>
        <v>0</v>
      </c>
      <c r="AP408" s="143">
        <f t="shared" ca="1" si="220"/>
        <v>0</v>
      </c>
      <c r="AQ408" s="143">
        <f t="shared" ca="1" si="203"/>
        <v>0</v>
      </c>
      <c r="AR408" s="49" t="str">
        <f t="shared" ca="1" si="204"/>
        <v xml:space="preserve"> </v>
      </c>
      <c r="AS408" s="107">
        <f t="shared" ca="1" si="205"/>
        <v>0</v>
      </c>
      <c r="AT408" s="107">
        <f t="shared" ca="1" si="221"/>
        <v>0</v>
      </c>
      <c r="AU408" s="107"/>
      <c r="AV408" s="107">
        <f ca="1">MAX(SUM($AQ$6:AQ408)-SUM($AT$6:AT408),0)</f>
        <v>0</v>
      </c>
      <c r="AW408" s="107">
        <f t="shared" ca="1" si="227"/>
        <v>0</v>
      </c>
      <c r="AX408" s="107">
        <v>0</v>
      </c>
      <c r="AY408" s="138" t="str">
        <f t="shared" ca="1" si="206"/>
        <v xml:space="preserve"> </v>
      </c>
      <c r="AZ408" s="107">
        <f t="shared" ca="1" si="207"/>
        <v>0</v>
      </c>
      <c r="BA408" s="107">
        <f ca="1">IF(AZ408=1,(SUM($AW$6:AW408,$AX$6:AX408)-SUM($BA$6:BA407)),0)</f>
        <v>0</v>
      </c>
      <c r="BB408" s="107"/>
      <c r="BC408" s="107">
        <f ca="1">AV408+SUM($AW$6:AW408)+SUM($AX$6:AX408)-SUM($BA$6:BA408)</f>
        <v>0</v>
      </c>
      <c r="BD408" s="107">
        <f t="shared" ca="1" si="208"/>
        <v>0</v>
      </c>
      <c r="BE408" s="51">
        <f>'PiT PD Structure'!J448</f>
        <v>0</v>
      </c>
      <c r="BF408" s="139">
        <f t="shared" ca="1" si="228"/>
        <v>0.45</v>
      </c>
      <c r="BG408" s="51">
        <f t="shared" ca="1" si="209"/>
        <v>1</v>
      </c>
      <c r="BH408" s="50">
        <f t="shared" ca="1" si="210"/>
        <v>0</v>
      </c>
      <c r="BI408" s="50">
        <f t="shared" ca="1" si="211"/>
        <v>3.4816594052244909E-13</v>
      </c>
      <c r="BJ408" s="140">
        <v>0</v>
      </c>
      <c r="BK408" s="140">
        <v>0</v>
      </c>
      <c r="BR408" s="75">
        <f t="shared" ca="1" si="229"/>
        <v>55700</v>
      </c>
      <c r="BS408" s="74">
        <f t="shared" ca="1" si="212"/>
        <v>6</v>
      </c>
      <c r="BT408" s="74">
        <f t="shared" ca="1" si="223"/>
        <v>0</v>
      </c>
      <c r="BU408" s="73" t="str">
        <f t="shared" ca="1" si="213"/>
        <v xml:space="preserve"> </v>
      </c>
      <c r="BW408" s="75">
        <f t="shared" ca="1" si="214"/>
        <v>55700</v>
      </c>
      <c r="BX408" s="74">
        <f t="shared" ca="1" si="215"/>
        <v>6</v>
      </c>
      <c r="BY408" s="74">
        <f t="shared" ca="1" si="224"/>
        <v>0</v>
      </c>
      <c r="BZ408" s="73" t="str">
        <f t="shared" ca="1" si="216"/>
        <v xml:space="preserve"> </v>
      </c>
      <c r="CB408" s="75">
        <f t="shared" ca="1" si="230"/>
        <v>55700</v>
      </c>
      <c r="CC408" s="74">
        <f t="shared" ca="1" si="217"/>
        <v>6</v>
      </c>
      <c r="CD408" s="74">
        <f t="shared" ca="1" si="225"/>
        <v>0</v>
      </c>
      <c r="CE408" s="73" t="str">
        <f t="shared" ca="1" si="218"/>
        <v xml:space="preserve"> </v>
      </c>
    </row>
    <row r="409" spans="1:83" x14ac:dyDescent="0.2">
      <c r="A409" s="38" t="str">
        <f t="shared" si="231"/>
        <v xml:space="preserve"> </v>
      </c>
      <c r="B409" s="108"/>
      <c r="C409" s="38"/>
      <c r="D409" s="137"/>
      <c r="E409" s="137"/>
      <c r="F409" s="137"/>
      <c r="G409" s="122"/>
      <c r="H409" s="137"/>
      <c r="I409" s="50"/>
      <c r="J409" s="50"/>
      <c r="K409" s="50"/>
      <c r="L409" s="38"/>
      <c r="M409" s="38"/>
      <c r="N409" s="38"/>
      <c r="O409" s="50"/>
      <c r="P409" s="218"/>
      <c r="Q409" s="50"/>
      <c r="R409" s="50"/>
      <c r="S409" s="38"/>
      <c r="T409" s="51"/>
      <c r="U409" s="65"/>
      <c r="V409" s="105"/>
      <c r="W409" s="66"/>
      <c r="X409" s="66"/>
      <c r="Y409" s="38"/>
      <c r="Z409" s="66">
        <f t="shared" si="219"/>
        <v>0</v>
      </c>
      <c r="AA409" s="67"/>
      <c r="AC409" s="41" t="e">
        <f>VLOOKUP(A409,'Input Sheet'!$A$2:$B$232,2,0)</f>
        <v>#N/A</v>
      </c>
      <c r="AD409" s="70"/>
      <c r="AI409" s="68"/>
      <c r="AL409" s="107">
        <f t="shared" ca="1" si="201"/>
        <v>0</v>
      </c>
      <c r="AM409" s="49">
        <f t="shared" ca="1" si="226"/>
        <v>55731</v>
      </c>
      <c r="AN409" s="137" t="str">
        <f t="shared" ca="1" si="202"/>
        <v xml:space="preserve"> </v>
      </c>
      <c r="AO409" s="107">
        <f t="shared" ca="1" si="222"/>
        <v>0</v>
      </c>
      <c r="AP409" s="143">
        <f t="shared" ca="1" si="220"/>
        <v>0</v>
      </c>
      <c r="AQ409" s="143">
        <f t="shared" ca="1" si="203"/>
        <v>0</v>
      </c>
      <c r="AR409" s="49" t="str">
        <f t="shared" ca="1" si="204"/>
        <v xml:space="preserve"> </v>
      </c>
      <c r="AS409" s="107">
        <f t="shared" ca="1" si="205"/>
        <v>0</v>
      </c>
      <c r="AT409" s="107">
        <f t="shared" ca="1" si="221"/>
        <v>0</v>
      </c>
      <c r="AU409" s="107"/>
      <c r="AV409" s="107">
        <f ca="1">MAX(SUM($AQ$6:AQ409)-SUM($AT$6:AT409),0)</f>
        <v>0</v>
      </c>
      <c r="AW409" s="107">
        <f t="shared" ca="1" si="227"/>
        <v>0</v>
      </c>
      <c r="AX409" s="107">
        <v>0</v>
      </c>
      <c r="AY409" s="138" t="str">
        <f t="shared" ca="1" si="206"/>
        <v xml:space="preserve"> </v>
      </c>
      <c r="AZ409" s="107">
        <f t="shared" ca="1" si="207"/>
        <v>0</v>
      </c>
      <c r="BA409" s="107">
        <f ca="1">IF(AZ409=1,(SUM($AW$6:AW409,$AX$6:AX409)-SUM($BA$6:BA408)),0)</f>
        <v>0</v>
      </c>
      <c r="BB409" s="107"/>
      <c r="BC409" s="107">
        <f ca="1">AV409+SUM($AW$6:AW409)+SUM($AX$6:AX409)-SUM($BA$6:BA409)</f>
        <v>0</v>
      </c>
      <c r="BD409" s="107">
        <f t="shared" ca="1" si="208"/>
        <v>0</v>
      </c>
      <c r="BE409" s="51">
        <f>'PiT PD Structure'!J449</f>
        <v>0</v>
      </c>
      <c r="BF409" s="139">
        <f t="shared" ca="1" si="228"/>
        <v>0.45</v>
      </c>
      <c r="BG409" s="51">
        <f t="shared" ca="1" si="209"/>
        <v>1</v>
      </c>
      <c r="BH409" s="50">
        <f t="shared" ca="1" si="210"/>
        <v>0</v>
      </c>
      <c r="BI409" s="50">
        <f t="shared" ca="1" si="211"/>
        <v>3.4816594052244909E-13</v>
      </c>
      <c r="BJ409" s="140">
        <v>0</v>
      </c>
      <c r="BK409" s="140">
        <v>0</v>
      </c>
      <c r="BR409" s="75">
        <f t="shared" ca="1" si="229"/>
        <v>55731</v>
      </c>
      <c r="BS409" s="74">
        <f t="shared" ca="1" si="212"/>
        <v>7</v>
      </c>
      <c r="BT409" s="74">
        <f t="shared" ca="1" si="223"/>
        <v>0</v>
      </c>
      <c r="BU409" s="73" t="str">
        <f t="shared" ca="1" si="213"/>
        <v xml:space="preserve"> </v>
      </c>
      <c r="BW409" s="75">
        <f t="shared" ca="1" si="214"/>
        <v>55731</v>
      </c>
      <c r="BX409" s="74">
        <f t="shared" ca="1" si="215"/>
        <v>7</v>
      </c>
      <c r="BY409" s="74">
        <f t="shared" ca="1" si="224"/>
        <v>0</v>
      </c>
      <c r="BZ409" s="73" t="str">
        <f t="shared" ca="1" si="216"/>
        <v xml:space="preserve"> </v>
      </c>
      <c r="CB409" s="75">
        <f t="shared" ca="1" si="230"/>
        <v>55731</v>
      </c>
      <c r="CC409" s="74">
        <f t="shared" ca="1" si="217"/>
        <v>7</v>
      </c>
      <c r="CD409" s="74">
        <f t="shared" ca="1" si="225"/>
        <v>0</v>
      </c>
      <c r="CE409" s="73" t="str">
        <f t="shared" ca="1" si="218"/>
        <v xml:space="preserve"> </v>
      </c>
    </row>
    <row r="410" spans="1:83" x14ac:dyDescent="0.2">
      <c r="A410" s="38" t="str">
        <f t="shared" si="231"/>
        <v xml:space="preserve"> </v>
      </c>
      <c r="B410" s="108"/>
      <c r="C410" s="38"/>
      <c r="D410" s="137"/>
      <c r="E410" s="137"/>
      <c r="F410" s="137"/>
      <c r="G410" s="122"/>
      <c r="H410" s="137"/>
      <c r="I410" s="50"/>
      <c r="J410" s="50"/>
      <c r="K410" s="50"/>
      <c r="L410" s="38"/>
      <c r="M410" s="38"/>
      <c r="N410" s="38"/>
      <c r="O410" s="50"/>
      <c r="P410" s="218"/>
      <c r="Q410" s="50"/>
      <c r="R410" s="50"/>
      <c r="S410" s="38"/>
      <c r="T410" s="51"/>
      <c r="U410" s="65"/>
      <c r="V410" s="105"/>
      <c r="W410" s="66"/>
      <c r="X410" s="66"/>
      <c r="Y410" s="38"/>
      <c r="Z410" s="66">
        <f t="shared" si="219"/>
        <v>0</v>
      </c>
      <c r="AA410" s="67"/>
      <c r="AC410" s="41" t="e">
        <f>VLOOKUP(A410,'Input Sheet'!$A$2:$B$232,2,0)</f>
        <v>#N/A</v>
      </c>
      <c r="AD410" s="70"/>
      <c r="AI410" s="68"/>
      <c r="AL410" s="107">
        <f t="shared" ca="1" si="201"/>
        <v>0</v>
      </c>
      <c r="AM410" s="49">
        <f t="shared" ca="1" si="226"/>
        <v>55762</v>
      </c>
      <c r="AN410" s="137" t="str">
        <f t="shared" ca="1" si="202"/>
        <v xml:space="preserve"> </v>
      </c>
      <c r="AO410" s="107">
        <f t="shared" ca="1" si="222"/>
        <v>0</v>
      </c>
      <c r="AP410" s="143">
        <f t="shared" ca="1" si="220"/>
        <v>0</v>
      </c>
      <c r="AQ410" s="143">
        <f t="shared" ca="1" si="203"/>
        <v>0</v>
      </c>
      <c r="AR410" s="49" t="str">
        <f t="shared" ca="1" si="204"/>
        <v xml:space="preserve"> </v>
      </c>
      <c r="AS410" s="107">
        <f t="shared" ca="1" si="205"/>
        <v>0</v>
      </c>
      <c r="AT410" s="107">
        <f t="shared" ca="1" si="221"/>
        <v>0</v>
      </c>
      <c r="AU410" s="107"/>
      <c r="AV410" s="107">
        <f ca="1">MAX(SUM($AQ$6:AQ410)-SUM($AT$6:AT410),0)</f>
        <v>0</v>
      </c>
      <c r="AW410" s="107">
        <f t="shared" ca="1" si="227"/>
        <v>0</v>
      </c>
      <c r="AX410" s="107">
        <v>0</v>
      </c>
      <c r="AY410" s="138" t="str">
        <f t="shared" ca="1" si="206"/>
        <v xml:space="preserve"> </v>
      </c>
      <c r="AZ410" s="107">
        <f t="shared" ca="1" si="207"/>
        <v>0</v>
      </c>
      <c r="BA410" s="107">
        <f ca="1">IF(AZ410=1,(SUM($AW$6:AW410,$AX$6:AX410)-SUM($BA$6:BA409)),0)</f>
        <v>0</v>
      </c>
      <c r="BB410" s="107"/>
      <c r="BC410" s="107">
        <f ca="1">AV410+SUM($AW$6:AW410)+SUM($AX$6:AX410)-SUM($BA$6:BA410)</f>
        <v>0</v>
      </c>
      <c r="BD410" s="107">
        <f t="shared" ca="1" si="208"/>
        <v>0</v>
      </c>
      <c r="BE410" s="51">
        <f>'PiT PD Structure'!J450</f>
        <v>0</v>
      </c>
      <c r="BF410" s="139">
        <f t="shared" ca="1" si="228"/>
        <v>0.45</v>
      </c>
      <c r="BG410" s="51">
        <f t="shared" ca="1" si="209"/>
        <v>1</v>
      </c>
      <c r="BH410" s="50">
        <f t="shared" ca="1" si="210"/>
        <v>0</v>
      </c>
      <c r="BI410" s="50">
        <f t="shared" ca="1" si="211"/>
        <v>3.4816594052244909E-13</v>
      </c>
      <c r="BJ410" s="140">
        <v>0</v>
      </c>
      <c r="BK410" s="140">
        <v>0</v>
      </c>
      <c r="BR410" s="75">
        <f t="shared" ca="1" si="229"/>
        <v>55762</v>
      </c>
      <c r="BS410" s="74">
        <f t="shared" ca="1" si="212"/>
        <v>8</v>
      </c>
      <c r="BT410" s="74">
        <f t="shared" ca="1" si="223"/>
        <v>0</v>
      </c>
      <c r="BU410" s="73" t="str">
        <f t="shared" ca="1" si="213"/>
        <v xml:space="preserve"> </v>
      </c>
      <c r="BW410" s="75">
        <f t="shared" ca="1" si="214"/>
        <v>55762</v>
      </c>
      <c r="BX410" s="74">
        <f t="shared" ca="1" si="215"/>
        <v>8</v>
      </c>
      <c r="BY410" s="74">
        <f t="shared" ca="1" si="224"/>
        <v>0</v>
      </c>
      <c r="BZ410" s="73" t="str">
        <f t="shared" ca="1" si="216"/>
        <v xml:space="preserve"> </v>
      </c>
      <c r="CB410" s="75">
        <f t="shared" ca="1" si="230"/>
        <v>55762</v>
      </c>
      <c r="CC410" s="74">
        <f t="shared" ca="1" si="217"/>
        <v>8</v>
      </c>
      <c r="CD410" s="74">
        <f t="shared" ca="1" si="225"/>
        <v>0</v>
      </c>
      <c r="CE410" s="73" t="str">
        <f t="shared" ca="1" si="218"/>
        <v xml:space="preserve"> </v>
      </c>
    </row>
    <row r="411" spans="1:83" x14ac:dyDescent="0.2">
      <c r="A411" s="38" t="str">
        <f t="shared" si="231"/>
        <v xml:space="preserve"> </v>
      </c>
      <c r="B411" s="108"/>
      <c r="C411" s="38"/>
      <c r="D411" s="137"/>
      <c r="E411" s="137"/>
      <c r="F411" s="137"/>
      <c r="G411" s="122"/>
      <c r="H411" s="137"/>
      <c r="I411" s="50"/>
      <c r="J411" s="50"/>
      <c r="K411" s="50"/>
      <c r="L411" s="38"/>
      <c r="M411" s="38"/>
      <c r="N411" s="38"/>
      <c r="O411" s="50"/>
      <c r="P411" s="218"/>
      <c r="Q411" s="50"/>
      <c r="R411" s="50"/>
      <c r="S411" s="38"/>
      <c r="T411" s="51"/>
      <c r="U411" s="65"/>
      <c r="V411" s="105"/>
      <c r="W411" s="66"/>
      <c r="X411" s="66"/>
      <c r="Y411" s="38"/>
      <c r="Z411" s="66">
        <f t="shared" si="219"/>
        <v>0</v>
      </c>
      <c r="AA411" s="67"/>
      <c r="AC411" s="41" t="e">
        <f>VLOOKUP(A411,'Input Sheet'!$A$2:$B$232,2,0)</f>
        <v>#N/A</v>
      </c>
      <c r="AD411" s="70"/>
      <c r="AI411" s="68"/>
      <c r="AL411" s="107">
        <f t="shared" ca="1" si="201"/>
        <v>0</v>
      </c>
      <c r="AM411" s="49">
        <f t="shared" ca="1" si="226"/>
        <v>55792</v>
      </c>
      <c r="AN411" s="137" t="str">
        <f t="shared" ca="1" si="202"/>
        <v xml:space="preserve"> </v>
      </c>
      <c r="AO411" s="107">
        <f t="shared" ca="1" si="222"/>
        <v>0</v>
      </c>
      <c r="AP411" s="143">
        <f t="shared" ca="1" si="220"/>
        <v>0</v>
      </c>
      <c r="AQ411" s="143">
        <f t="shared" ca="1" si="203"/>
        <v>0</v>
      </c>
      <c r="AR411" s="49" t="str">
        <f t="shared" ca="1" si="204"/>
        <v xml:space="preserve"> </v>
      </c>
      <c r="AS411" s="107">
        <f t="shared" ca="1" si="205"/>
        <v>0</v>
      </c>
      <c r="AT411" s="107">
        <f t="shared" ca="1" si="221"/>
        <v>0</v>
      </c>
      <c r="AU411" s="107"/>
      <c r="AV411" s="107">
        <f ca="1">MAX(SUM($AQ$6:AQ411)-SUM($AT$6:AT411),0)</f>
        <v>0</v>
      </c>
      <c r="AW411" s="107">
        <f t="shared" ca="1" si="227"/>
        <v>0</v>
      </c>
      <c r="AX411" s="107">
        <v>0</v>
      </c>
      <c r="AY411" s="138" t="str">
        <f t="shared" ca="1" si="206"/>
        <v xml:space="preserve"> </v>
      </c>
      <c r="AZ411" s="107">
        <f t="shared" ca="1" si="207"/>
        <v>0</v>
      </c>
      <c r="BA411" s="107">
        <f ca="1">IF(AZ411=1,(SUM($AW$6:AW411,$AX$6:AX411)-SUM($BA$6:BA410)),0)</f>
        <v>0</v>
      </c>
      <c r="BB411" s="107"/>
      <c r="BC411" s="107">
        <f ca="1">AV411+SUM($AW$6:AW411)+SUM($AX$6:AX411)-SUM($BA$6:BA411)</f>
        <v>0</v>
      </c>
      <c r="BD411" s="107">
        <f t="shared" ca="1" si="208"/>
        <v>0</v>
      </c>
      <c r="BE411" s="51">
        <f>'PiT PD Structure'!J451</f>
        <v>0</v>
      </c>
      <c r="BF411" s="139">
        <f t="shared" ca="1" si="228"/>
        <v>0.45</v>
      </c>
      <c r="BG411" s="51">
        <f t="shared" ca="1" si="209"/>
        <v>1</v>
      </c>
      <c r="BH411" s="50">
        <f t="shared" ca="1" si="210"/>
        <v>0</v>
      </c>
      <c r="BI411" s="50">
        <f t="shared" ca="1" si="211"/>
        <v>3.4816594052244909E-13</v>
      </c>
      <c r="BJ411" s="140">
        <v>0</v>
      </c>
      <c r="BK411" s="140">
        <v>0</v>
      </c>
      <c r="BR411" s="75">
        <f t="shared" ca="1" si="229"/>
        <v>55792</v>
      </c>
      <c r="BS411" s="74">
        <f t="shared" ca="1" si="212"/>
        <v>9</v>
      </c>
      <c r="BT411" s="74">
        <f t="shared" ca="1" si="223"/>
        <v>0</v>
      </c>
      <c r="BU411" s="73" t="str">
        <f t="shared" ca="1" si="213"/>
        <v xml:space="preserve"> </v>
      </c>
      <c r="BW411" s="75">
        <f t="shared" ca="1" si="214"/>
        <v>55792</v>
      </c>
      <c r="BX411" s="74">
        <f t="shared" ca="1" si="215"/>
        <v>9</v>
      </c>
      <c r="BY411" s="74">
        <f t="shared" ca="1" si="224"/>
        <v>0</v>
      </c>
      <c r="BZ411" s="73" t="str">
        <f t="shared" ca="1" si="216"/>
        <v xml:space="preserve"> </v>
      </c>
      <c r="CB411" s="75">
        <f t="shared" ca="1" si="230"/>
        <v>55792</v>
      </c>
      <c r="CC411" s="74">
        <f t="shared" ca="1" si="217"/>
        <v>9</v>
      </c>
      <c r="CD411" s="74">
        <f t="shared" ca="1" si="225"/>
        <v>0</v>
      </c>
      <c r="CE411" s="73" t="str">
        <f t="shared" ca="1" si="218"/>
        <v xml:space="preserve"> </v>
      </c>
    </row>
    <row r="412" spans="1:83" x14ac:dyDescent="0.2">
      <c r="A412" s="38" t="str">
        <f t="shared" si="231"/>
        <v xml:space="preserve"> </v>
      </c>
      <c r="B412" s="108"/>
      <c r="C412" s="38"/>
      <c r="D412" s="137"/>
      <c r="E412" s="137"/>
      <c r="F412" s="137"/>
      <c r="G412" s="122"/>
      <c r="H412" s="137"/>
      <c r="I412" s="50"/>
      <c r="J412" s="50"/>
      <c r="K412" s="50"/>
      <c r="L412" s="38"/>
      <c r="M412" s="38"/>
      <c r="N412" s="38"/>
      <c r="O412" s="50"/>
      <c r="P412" s="218"/>
      <c r="Q412" s="50"/>
      <c r="R412" s="50"/>
      <c r="S412" s="38"/>
      <c r="T412" s="51"/>
      <c r="U412" s="65"/>
      <c r="V412" s="105"/>
      <c r="W412" s="66"/>
      <c r="X412" s="66"/>
      <c r="Y412" s="38"/>
      <c r="Z412" s="66">
        <f t="shared" si="219"/>
        <v>0</v>
      </c>
      <c r="AA412" s="67"/>
      <c r="AC412" s="41" t="e">
        <f>VLOOKUP(A412,'Input Sheet'!$A$2:$B$232,2,0)</f>
        <v>#N/A</v>
      </c>
      <c r="AD412" s="70"/>
      <c r="AI412" s="68"/>
      <c r="AL412" s="107">
        <f t="shared" ca="1" si="201"/>
        <v>0</v>
      </c>
      <c r="AM412" s="49">
        <f t="shared" ca="1" si="226"/>
        <v>55823</v>
      </c>
      <c r="AN412" s="137" t="str">
        <f t="shared" ca="1" si="202"/>
        <v xml:space="preserve"> </v>
      </c>
      <c r="AO412" s="107">
        <f t="shared" ca="1" si="222"/>
        <v>0</v>
      </c>
      <c r="AP412" s="143">
        <f t="shared" ca="1" si="220"/>
        <v>0</v>
      </c>
      <c r="AQ412" s="143">
        <f t="shared" ca="1" si="203"/>
        <v>0</v>
      </c>
      <c r="AR412" s="49" t="str">
        <f t="shared" ca="1" si="204"/>
        <v xml:space="preserve"> </v>
      </c>
      <c r="AS412" s="107">
        <f t="shared" ca="1" si="205"/>
        <v>0</v>
      </c>
      <c r="AT412" s="107">
        <f t="shared" ca="1" si="221"/>
        <v>0</v>
      </c>
      <c r="AU412" s="107"/>
      <c r="AV412" s="107">
        <f ca="1">MAX(SUM($AQ$6:AQ412)-SUM($AT$6:AT412),0)</f>
        <v>0</v>
      </c>
      <c r="AW412" s="107">
        <f t="shared" ca="1" si="227"/>
        <v>0</v>
      </c>
      <c r="AX412" s="107">
        <v>0</v>
      </c>
      <c r="AY412" s="138" t="str">
        <f t="shared" ca="1" si="206"/>
        <v xml:space="preserve"> </v>
      </c>
      <c r="AZ412" s="107">
        <f t="shared" ca="1" si="207"/>
        <v>0</v>
      </c>
      <c r="BA412" s="107">
        <f ca="1">IF(AZ412=1,(SUM($AW$6:AW412,$AX$6:AX412)-SUM($BA$6:BA411)),0)</f>
        <v>0</v>
      </c>
      <c r="BB412" s="107"/>
      <c r="BC412" s="107">
        <f ca="1">AV412+SUM($AW$6:AW412)+SUM($AX$6:AX412)-SUM($BA$6:BA412)</f>
        <v>0</v>
      </c>
      <c r="BD412" s="107">
        <f t="shared" ca="1" si="208"/>
        <v>0</v>
      </c>
      <c r="BE412" s="51">
        <f>'PiT PD Structure'!J452</f>
        <v>0</v>
      </c>
      <c r="BF412" s="139">
        <f t="shared" ca="1" si="228"/>
        <v>0.45</v>
      </c>
      <c r="BG412" s="51">
        <f t="shared" ca="1" si="209"/>
        <v>1</v>
      </c>
      <c r="BH412" s="50">
        <f t="shared" ca="1" si="210"/>
        <v>0</v>
      </c>
      <c r="BI412" s="50">
        <f t="shared" ca="1" si="211"/>
        <v>3.4816594052244909E-13</v>
      </c>
      <c r="BJ412" s="140">
        <v>0</v>
      </c>
      <c r="BK412" s="140">
        <v>0</v>
      </c>
      <c r="BR412" s="75">
        <f t="shared" ca="1" si="229"/>
        <v>55823</v>
      </c>
      <c r="BS412" s="74">
        <f t="shared" ca="1" si="212"/>
        <v>10</v>
      </c>
      <c r="BT412" s="74">
        <f t="shared" ca="1" si="223"/>
        <v>0</v>
      </c>
      <c r="BU412" s="73" t="str">
        <f t="shared" ca="1" si="213"/>
        <v xml:space="preserve"> </v>
      </c>
      <c r="BW412" s="75">
        <f t="shared" ca="1" si="214"/>
        <v>55823</v>
      </c>
      <c r="BX412" s="74">
        <f t="shared" ca="1" si="215"/>
        <v>10</v>
      </c>
      <c r="BY412" s="74">
        <f t="shared" ca="1" si="224"/>
        <v>0</v>
      </c>
      <c r="BZ412" s="73" t="str">
        <f t="shared" ca="1" si="216"/>
        <v xml:space="preserve"> </v>
      </c>
      <c r="CB412" s="75">
        <f t="shared" ca="1" si="230"/>
        <v>55823</v>
      </c>
      <c r="CC412" s="74">
        <f t="shared" ca="1" si="217"/>
        <v>10</v>
      </c>
      <c r="CD412" s="74">
        <f t="shared" ca="1" si="225"/>
        <v>0</v>
      </c>
      <c r="CE412" s="73" t="str">
        <f t="shared" ca="1" si="218"/>
        <v xml:space="preserve"> </v>
      </c>
    </row>
    <row r="413" spans="1:83" x14ac:dyDescent="0.2">
      <c r="A413" s="38" t="str">
        <f t="shared" si="231"/>
        <v xml:space="preserve"> </v>
      </c>
      <c r="B413" s="108"/>
      <c r="C413" s="38"/>
      <c r="D413" s="137"/>
      <c r="E413" s="137"/>
      <c r="F413" s="137"/>
      <c r="G413" s="122"/>
      <c r="H413" s="137"/>
      <c r="I413" s="50"/>
      <c r="J413" s="50"/>
      <c r="K413" s="50"/>
      <c r="L413" s="38"/>
      <c r="M413" s="38"/>
      <c r="N413" s="38"/>
      <c r="O413" s="50"/>
      <c r="P413" s="218"/>
      <c r="Q413" s="50"/>
      <c r="R413" s="50"/>
      <c r="S413" s="38"/>
      <c r="T413" s="51"/>
      <c r="U413" s="65"/>
      <c r="V413" s="105"/>
      <c r="W413" s="66"/>
      <c r="X413" s="66"/>
      <c r="Y413" s="38"/>
      <c r="Z413" s="66">
        <f t="shared" si="219"/>
        <v>0</v>
      </c>
      <c r="AA413" s="67"/>
      <c r="AC413" s="41" t="e">
        <f>VLOOKUP(A413,'Input Sheet'!$A$2:$B$232,2,0)</f>
        <v>#N/A</v>
      </c>
      <c r="AD413" s="70"/>
      <c r="AI413" s="68"/>
      <c r="AL413" s="107">
        <f t="shared" ca="1" si="201"/>
        <v>0</v>
      </c>
      <c r="AM413" s="49">
        <f t="shared" ca="1" si="226"/>
        <v>55853</v>
      </c>
      <c r="AN413" s="137" t="str">
        <f t="shared" ca="1" si="202"/>
        <v xml:space="preserve"> </v>
      </c>
      <c r="AO413" s="107">
        <f t="shared" ca="1" si="222"/>
        <v>0</v>
      </c>
      <c r="AP413" s="143">
        <f t="shared" ca="1" si="220"/>
        <v>0</v>
      </c>
      <c r="AQ413" s="143">
        <f t="shared" ca="1" si="203"/>
        <v>0</v>
      </c>
      <c r="AR413" s="49" t="str">
        <f t="shared" ca="1" si="204"/>
        <v xml:space="preserve"> </v>
      </c>
      <c r="AS413" s="107">
        <f t="shared" ca="1" si="205"/>
        <v>0</v>
      </c>
      <c r="AT413" s="107">
        <f t="shared" ca="1" si="221"/>
        <v>0</v>
      </c>
      <c r="AU413" s="107"/>
      <c r="AV413" s="107">
        <f ca="1">MAX(SUM($AQ$6:AQ413)-SUM($AT$6:AT413),0)</f>
        <v>0</v>
      </c>
      <c r="AW413" s="107">
        <f t="shared" ca="1" si="227"/>
        <v>0</v>
      </c>
      <c r="AX413" s="107">
        <v>0</v>
      </c>
      <c r="AY413" s="138" t="str">
        <f t="shared" ca="1" si="206"/>
        <v xml:space="preserve"> </v>
      </c>
      <c r="AZ413" s="107">
        <f t="shared" ca="1" si="207"/>
        <v>0</v>
      </c>
      <c r="BA413" s="107">
        <f ca="1">IF(AZ413=1,(SUM($AW$6:AW413,$AX$6:AX413)-SUM($BA$6:BA412)),0)</f>
        <v>0</v>
      </c>
      <c r="BB413" s="107"/>
      <c r="BC413" s="107">
        <f ca="1">AV413+SUM($AW$6:AW413)+SUM($AX$6:AX413)-SUM($BA$6:BA413)</f>
        <v>0</v>
      </c>
      <c r="BD413" s="107">
        <f t="shared" ca="1" si="208"/>
        <v>0</v>
      </c>
      <c r="BE413" s="51">
        <f>'PiT PD Structure'!J453</f>
        <v>0</v>
      </c>
      <c r="BF413" s="139">
        <f t="shared" ca="1" si="228"/>
        <v>0.45</v>
      </c>
      <c r="BG413" s="51">
        <f t="shared" ca="1" si="209"/>
        <v>1</v>
      </c>
      <c r="BH413" s="50">
        <f t="shared" ca="1" si="210"/>
        <v>0</v>
      </c>
      <c r="BI413" s="50">
        <f t="shared" ca="1" si="211"/>
        <v>3.4816594052244909E-13</v>
      </c>
      <c r="BJ413" s="140">
        <v>0</v>
      </c>
      <c r="BK413" s="140">
        <v>0</v>
      </c>
      <c r="BR413" s="75">
        <f t="shared" ca="1" si="229"/>
        <v>55853</v>
      </c>
      <c r="BS413" s="74">
        <f t="shared" ca="1" si="212"/>
        <v>11</v>
      </c>
      <c r="BT413" s="74">
        <f t="shared" ca="1" si="223"/>
        <v>0</v>
      </c>
      <c r="BU413" s="73" t="str">
        <f t="shared" ca="1" si="213"/>
        <v xml:space="preserve"> </v>
      </c>
      <c r="BW413" s="75">
        <f t="shared" ca="1" si="214"/>
        <v>55853</v>
      </c>
      <c r="BX413" s="74">
        <f t="shared" ca="1" si="215"/>
        <v>11</v>
      </c>
      <c r="BY413" s="74">
        <f t="shared" ca="1" si="224"/>
        <v>0</v>
      </c>
      <c r="BZ413" s="73" t="str">
        <f t="shared" ca="1" si="216"/>
        <v xml:space="preserve"> </v>
      </c>
      <c r="CB413" s="75">
        <f t="shared" ca="1" si="230"/>
        <v>55853</v>
      </c>
      <c r="CC413" s="74">
        <f t="shared" ca="1" si="217"/>
        <v>11</v>
      </c>
      <c r="CD413" s="74">
        <f t="shared" ca="1" si="225"/>
        <v>0</v>
      </c>
      <c r="CE413" s="73" t="str">
        <f t="shared" ca="1" si="218"/>
        <v xml:space="preserve"> </v>
      </c>
    </row>
    <row r="414" spans="1:83" x14ac:dyDescent="0.2">
      <c r="A414" s="38" t="str">
        <f t="shared" si="231"/>
        <v xml:space="preserve"> </v>
      </c>
      <c r="B414" s="108"/>
      <c r="C414" s="38"/>
      <c r="D414" s="137"/>
      <c r="E414" s="137"/>
      <c r="F414" s="137"/>
      <c r="G414" s="122"/>
      <c r="H414" s="137"/>
      <c r="I414" s="50"/>
      <c r="J414" s="50"/>
      <c r="K414" s="50"/>
      <c r="L414" s="38"/>
      <c r="M414" s="38"/>
      <c r="N414" s="38"/>
      <c r="O414" s="50"/>
      <c r="P414" s="218"/>
      <c r="Q414" s="50"/>
      <c r="R414" s="50"/>
      <c r="S414" s="38"/>
      <c r="T414" s="51"/>
      <c r="U414" s="65"/>
      <c r="V414" s="105"/>
      <c r="W414" s="66"/>
      <c r="X414" s="66"/>
      <c r="Y414" s="38"/>
      <c r="Z414" s="66">
        <f t="shared" si="219"/>
        <v>0</v>
      </c>
      <c r="AA414" s="67"/>
      <c r="AC414" s="41" t="e">
        <f>VLOOKUP(A414,'Input Sheet'!$A$2:$B$232,2,0)</f>
        <v>#N/A</v>
      </c>
      <c r="AD414" s="70"/>
      <c r="AI414" s="68"/>
      <c r="AL414" s="107">
        <f t="shared" ca="1" si="201"/>
        <v>0</v>
      </c>
      <c r="AM414" s="49">
        <f t="shared" ca="1" si="226"/>
        <v>55884</v>
      </c>
      <c r="AN414" s="137" t="str">
        <f t="shared" ca="1" si="202"/>
        <v xml:space="preserve"> </v>
      </c>
      <c r="AO414" s="107">
        <f t="shared" ca="1" si="222"/>
        <v>0</v>
      </c>
      <c r="AP414" s="143">
        <f t="shared" ca="1" si="220"/>
        <v>0</v>
      </c>
      <c r="AQ414" s="143">
        <f t="shared" ca="1" si="203"/>
        <v>0</v>
      </c>
      <c r="AR414" s="49" t="str">
        <f t="shared" ca="1" si="204"/>
        <v xml:space="preserve"> </v>
      </c>
      <c r="AS414" s="107">
        <f t="shared" ca="1" si="205"/>
        <v>0</v>
      </c>
      <c r="AT414" s="107">
        <f t="shared" ca="1" si="221"/>
        <v>0</v>
      </c>
      <c r="AU414" s="107"/>
      <c r="AV414" s="107">
        <f ca="1">MAX(SUM($AQ$6:AQ414)-SUM($AT$6:AT414),0)</f>
        <v>0</v>
      </c>
      <c r="AW414" s="107">
        <f t="shared" ca="1" si="227"/>
        <v>0</v>
      </c>
      <c r="AX414" s="107">
        <v>0</v>
      </c>
      <c r="AY414" s="138" t="str">
        <f t="shared" ca="1" si="206"/>
        <v xml:space="preserve"> </v>
      </c>
      <c r="AZ414" s="107">
        <f t="shared" ca="1" si="207"/>
        <v>0</v>
      </c>
      <c r="BA414" s="107">
        <f ca="1">IF(AZ414=1,(SUM($AW$6:AW414,$AX$6:AX414)-SUM($BA$6:BA413)),0)</f>
        <v>0</v>
      </c>
      <c r="BB414" s="107"/>
      <c r="BC414" s="107">
        <f ca="1">AV414+SUM($AW$6:AW414)+SUM($AX$6:AX414)-SUM($BA$6:BA414)</f>
        <v>0</v>
      </c>
      <c r="BD414" s="107">
        <f t="shared" ca="1" si="208"/>
        <v>0</v>
      </c>
      <c r="BE414" s="51">
        <f>'PiT PD Structure'!J454</f>
        <v>0</v>
      </c>
      <c r="BF414" s="139">
        <f t="shared" ca="1" si="228"/>
        <v>0.45</v>
      </c>
      <c r="BG414" s="51">
        <f t="shared" ca="1" si="209"/>
        <v>1</v>
      </c>
      <c r="BH414" s="50">
        <f t="shared" ca="1" si="210"/>
        <v>0</v>
      </c>
      <c r="BI414" s="50">
        <f t="shared" ca="1" si="211"/>
        <v>3.4816594052244909E-13</v>
      </c>
      <c r="BJ414" s="140">
        <v>0</v>
      </c>
      <c r="BK414" s="140">
        <v>0</v>
      </c>
      <c r="BR414" s="75">
        <f t="shared" ca="1" si="229"/>
        <v>55884</v>
      </c>
      <c r="BS414" s="74">
        <f t="shared" ca="1" si="212"/>
        <v>12</v>
      </c>
      <c r="BT414" s="74">
        <f t="shared" ca="1" si="223"/>
        <v>0</v>
      </c>
      <c r="BU414" s="73" t="str">
        <f t="shared" ca="1" si="213"/>
        <v xml:space="preserve"> </v>
      </c>
      <c r="BW414" s="75">
        <f t="shared" ca="1" si="214"/>
        <v>55884</v>
      </c>
      <c r="BX414" s="74">
        <f t="shared" ca="1" si="215"/>
        <v>12</v>
      </c>
      <c r="BY414" s="74">
        <f t="shared" ca="1" si="224"/>
        <v>0</v>
      </c>
      <c r="BZ414" s="73" t="str">
        <f t="shared" ca="1" si="216"/>
        <v xml:space="preserve"> </v>
      </c>
      <c r="CB414" s="75">
        <f t="shared" ca="1" si="230"/>
        <v>55884</v>
      </c>
      <c r="CC414" s="74">
        <f t="shared" ca="1" si="217"/>
        <v>12</v>
      </c>
      <c r="CD414" s="74">
        <f t="shared" ca="1" si="225"/>
        <v>0</v>
      </c>
      <c r="CE414" s="73" t="str">
        <f t="shared" ca="1" si="218"/>
        <v xml:space="preserve"> </v>
      </c>
    </row>
    <row r="415" spans="1:83" x14ac:dyDescent="0.2">
      <c r="A415" s="38" t="str">
        <f t="shared" si="231"/>
        <v xml:space="preserve"> </v>
      </c>
      <c r="B415" s="108"/>
      <c r="C415" s="38"/>
      <c r="D415" s="137"/>
      <c r="E415" s="137"/>
      <c r="F415" s="137"/>
      <c r="G415" s="122"/>
      <c r="H415" s="137"/>
      <c r="I415" s="50"/>
      <c r="J415" s="50"/>
      <c r="K415" s="50"/>
      <c r="L415" s="38"/>
      <c r="M415" s="38"/>
      <c r="N415" s="38"/>
      <c r="O415" s="50"/>
      <c r="P415" s="218"/>
      <c r="Q415" s="50"/>
      <c r="R415" s="50"/>
      <c r="S415" s="38"/>
      <c r="T415" s="51"/>
      <c r="U415" s="65"/>
      <c r="V415" s="105"/>
      <c r="W415" s="66"/>
      <c r="X415" s="66"/>
      <c r="Y415" s="38"/>
      <c r="Z415" s="66">
        <f t="shared" si="219"/>
        <v>0</v>
      </c>
      <c r="AA415" s="67"/>
      <c r="AC415" s="41" t="e">
        <f>VLOOKUP(A415,'Input Sheet'!$A$2:$B$232,2,0)</f>
        <v>#N/A</v>
      </c>
      <c r="AD415" s="70"/>
      <c r="AI415" s="68"/>
      <c r="AL415" s="107">
        <f t="shared" ca="1" si="201"/>
        <v>0</v>
      </c>
      <c r="AM415" s="49">
        <f t="shared" ca="1" si="226"/>
        <v>55915</v>
      </c>
      <c r="AN415" s="137" t="str">
        <f t="shared" ca="1" si="202"/>
        <v xml:space="preserve"> </v>
      </c>
      <c r="AO415" s="107">
        <f t="shared" ca="1" si="222"/>
        <v>0</v>
      </c>
      <c r="AP415" s="143">
        <f t="shared" ca="1" si="220"/>
        <v>0</v>
      </c>
      <c r="AQ415" s="143">
        <f t="shared" ca="1" si="203"/>
        <v>0</v>
      </c>
      <c r="AR415" s="49" t="str">
        <f t="shared" ca="1" si="204"/>
        <v xml:space="preserve"> </v>
      </c>
      <c r="AS415" s="107">
        <f t="shared" ca="1" si="205"/>
        <v>0</v>
      </c>
      <c r="AT415" s="107">
        <f t="shared" ca="1" si="221"/>
        <v>0</v>
      </c>
      <c r="AU415" s="107"/>
      <c r="AV415" s="107">
        <f ca="1">MAX(SUM($AQ$6:AQ415)-SUM($AT$6:AT415),0)</f>
        <v>0</v>
      </c>
      <c r="AW415" s="107">
        <f t="shared" ca="1" si="227"/>
        <v>0</v>
      </c>
      <c r="AX415" s="107">
        <v>0</v>
      </c>
      <c r="AY415" s="138" t="str">
        <f t="shared" ca="1" si="206"/>
        <v xml:space="preserve"> </v>
      </c>
      <c r="AZ415" s="107">
        <f t="shared" ca="1" si="207"/>
        <v>0</v>
      </c>
      <c r="BA415" s="107">
        <f ca="1">IF(AZ415=1,(SUM($AW$6:AW415,$AX$6:AX415)-SUM($BA$6:BA414)),0)</f>
        <v>0</v>
      </c>
      <c r="BB415" s="107"/>
      <c r="BC415" s="107">
        <f ca="1">AV415+SUM($AW$6:AW415)+SUM($AX$6:AX415)-SUM($BA$6:BA415)</f>
        <v>0</v>
      </c>
      <c r="BD415" s="107">
        <f t="shared" ca="1" si="208"/>
        <v>0</v>
      </c>
      <c r="BE415" s="51">
        <f>'PiT PD Structure'!J455</f>
        <v>0</v>
      </c>
      <c r="BF415" s="139">
        <f t="shared" ca="1" si="228"/>
        <v>0.45</v>
      </c>
      <c r="BG415" s="51">
        <f t="shared" ca="1" si="209"/>
        <v>1</v>
      </c>
      <c r="BH415" s="50">
        <f t="shared" ca="1" si="210"/>
        <v>0</v>
      </c>
      <c r="BI415" s="50">
        <f t="shared" ca="1" si="211"/>
        <v>3.4816594052244909E-13</v>
      </c>
      <c r="BJ415" s="140">
        <v>0</v>
      </c>
      <c r="BK415" s="140">
        <v>0</v>
      </c>
      <c r="BR415" s="75">
        <f t="shared" ca="1" si="229"/>
        <v>55915</v>
      </c>
      <c r="BS415" s="74">
        <f t="shared" ca="1" si="212"/>
        <v>1</v>
      </c>
      <c r="BT415" s="74">
        <f t="shared" ca="1" si="223"/>
        <v>0</v>
      </c>
      <c r="BU415" s="73" t="str">
        <f t="shared" ca="1" si="213"/>
        <v xml:space="preserve"> </v>
      </c>
      <c r="BW415" s="75">
        <f t="shared" ca="1" si="214"/>
        <v>55915</v>
      </c>
      <c r="BX415" s="74">
        <f t="shared" ca="1" si="215"/>
        <v>1</v>
      </c>
      <c r="BY415" s="74">
        <f t="shared" ca="1" si="224"/>
        <v>0</v>
      </c>
      <c r="BZ415" s="73" t="str">
        <f t="shared" ca="1" si="216"/>
        <v xml:space="preserve"> </v>
      </c>
      <c r="CB415" s="75">
        <f t="shared" ca="1" si="230"/>
        <v>55915</v>
      </c>
      <c r="CC415" s="74">
        <f t="shared" ca="1" si="217"/>
        <v>1</v>
      </c>
      <c r="CD415" s="74">
        <f t="shared" ca="1" si="225"/>
        <v>0</v>
      </c>
      <c r="CE415" s="73" t="str">
        <f t="shared" ca="1" si="218"/>
        <v xml:space="preserve"> </v>
      </c>
    </row>
    <row r="416" spans="1:83" x14ac:dyDescent="0.2">
      <c r="A416" s="38" t="str">
        <f t="shared" si="231"/>
        <v xml:space="preserve"> </v>
      </c>
      <c r="B416" s="108"/>
      <c r="C416" s="38"/>
      <c r="D416" s="137"/>
      <c r="E416" s="137"/>
      <c r="F416" s="137"/>
      <c r="G416" s="122"/>
      <c r="H416" s="137"/>
      <c r="I416" s="50"/>
      <c r="J416" s="50"/>
      <c r="K416" s="50"/>
      <c r="L416" s="38"/>
      <c r="M416" s="38"/>
      <c r="N416" s="38"/>
      <c r="O416" s="50"/>
      <c r="P416" s="218"/>
      <c r="Q416" s="50"/>
      <c r="R416" s="50"/>
      <c r="S416" s="38"/>
      <c r="T416" s="51"/>
      <c r="U416" s="65"/>
      <c r="V416" s="105"/>
      <c r="W416" s="66"/>
      <c r="X416" s="66"/>
      <c r="Y416" s="38"/>
      <c r="Z416" s="66">
        <f t="shared" si="219"/>
        <v>0</v>
      </c>
      <c r="AA416" s="67"/>
      <c r="AC416" s="41" t="e">
        <f>VLOOKUP(A416,'Input Sheet'!$A$2:$B$232,2,0)</f>
        <v>#N/A</v>
      </c>
      <c r="AD416" s="70"/>
      <c r="AI416" s="68"/>
      <c r="AL416" s="107">
        <f t="shared" ca="1" si="201"/>
        <v>0</v>
      </c>
      <c r="AM416" s="49">
        <f t="shared" ca="1" si="226"/>
        <v>55943</v>
      </c>
      <c r="AN416" s="137" t="str">
        <f t="shared" ca="1" si="202"/>
        <v xml:space="preserve"> </v>
      </c>
      <c r="AO416" s="107">
        <f t="shared" ca="1" si="222"/>
        <v>0</v>
      </c>
      <c r="AP416" s="143">
        <f t="shared" ca="1" si="220"/>
        <v>0</v>
      </c>
      <c r="AQ416" s="143">
        <f t="shared" ca="1" si="203"/>
        <v>0</v>
      </c>
      <c r="AR416" s="49" t="str">
        <f t="shared" ca="1" si="204"/>
        <v xml:space="preserve"> </v>
      </c>
      <c r="AS416" s="107">
        <f t="shared" ca="1" si="205"/>
        <v>0</v>
      </c>
      <c r="AT416" s="107">
        <f t="shared" ca="1" si="221"/>
        <v>0</v>
      </c>
      <c r="AU416" s="107"/>
      <c r="AV416" s="107">
        <f ca="1">MAX(SUM($AQ$6:AQ416)-SUM($AT$6:AT416),0)</f>
        <v>0</v>
      </c>
      <c r="AW416" s="107">
        <f t="shared" ca="1" si="227"/>
        <v>0</v>
      </c>
      <c r="AX416" s="107">
        <v>0</v>
      </c>
      <c r="AY416" s="138" t="str">
        <f t="shared" ca="1" si="206"/>
        <v xml:space="preserve"> </v>
      </c>
      <c r="AZ416" s="107">
        <f t="shared" ca="1" si="207"/>
        <v>0</v>
      </c>
      <c r="BA416" s="107">
        <f ca="1">IF(AZ416=1,(SUM($AW$6:AW416,$AX$6:AX416)-SUM($BA$6:BA415)),0)</f>
        <v>0</v>
      </c>
      <c r="BB416" s="107"/>
      <c r="BC416" s="107">
        <f ca="1">AV416+SUM($AW$6:AW416)+SUM($AX$6:AX416)-SUM($BA$6:BA416)</f>
        <v>0</v>
      </c>
      <c r="BD416" s="107">
        <f t="shared" ca="1" si="208"/>
        <v>0</v>
      </c>
      <c r="BE416" s="51">
        <f>'PiT PD Structure'!J456</f>
        <v>0</v>
      </c>
      <c r="BF416" s="139">
        <f t="shared" ca="1" si="228"/>
        <v>0.45</v>
      </c>
      <c r="BG416" s="51">
        <f t="shared" ca="1" si="209"/>
        <v>1</v>
      </c>
      <c r="BH416" s="50">
        <f t="shared" ca="1" si="210"/>
        <v>0</v>
      </c>
      <c r="BI416" s="50">
        <f t="shared" ca="1" si="211"/>
        <v>3.4816594052244909E-13</v>
      </c>
      <c r="BJ416" s="140">
        <v>0</v>
      </c>
      <c r="BK416" s="140">
        <v>0</v>
      </c>
      <c r="BR416" s="75">
        <f t="shared" ca="1" si="229"/>
        <v>55943</v>
      </c>
      <c r="BS416" s="74">
        <f t="shared" ca="1" si="212"/>
        <v>2</v>
      </c>
      <c r="BT416" s="74">
        <f t="shared" ca="1" si="223"/>
        <v>0</v>
      </c>
      <c r="BU416" s="73" t="str">
        <f t="shared" ca="1" si="213"/>
        <v xml:space="preserve"> </v>
      </c>
      <c r="BW416" s="75">
        <f t="shared" ca="1" si="214"/>
        <v>55943</v>
      </c>
      <c r="BX416" s="74">
        <f t="shared" ca="1" si="215"/>
        <v>2</v>
      </c>
      <c r="BY416" s="74">
        <f t="shared" ca="1" si="224"/>
        <v>0</v>
      </c>
      <c r="BZ416" s="73" t="str">
        <f t="shared" ca="1" si="216"/>
        <v xml:space="preserve"> </v>
      </c>
      <c r="CB416" s="75">
        <f t="shared" ca="1" si="230"/>
        <v>55943</v>
      </c>
      <c r="CC416" s="74">
        <f t="shared" ca="1" si="217"/>
        <v>2</v>
      </c>
      <c r="CD416" s="74">
        <f t="shared" ca="1" si="225"/>
        <v>0</v>
      </c>
      <c r="CE416" s="73" t="str">
        <f t="shared" ca="1" si="218"/>
        <v xml:space="preserve"> </v>
      </c>
    </row>
    <row r="417" spans="1:83" x14ac:dyDescent="0.2">
      <c r="A417" s="38" t="str">
        <f t="shared" si="231"/>
        <v xml:space="preserve"> </v>
      </c>
      <c r="B417" s="108"/>
      <c r="C417" s="38"/>
      <c r="D417" s="137"/>
      <c r="E417" s="137"/>
      <c r="F417" s="137"/>
      <c r="G417" s="122"/>
      <c r="H417" s="137"/>
      <c r="I417" s="50"/>
      <c r="J417" s="50"/>
      <c r="K417" s="50"/>
      <c r="L417" s="38"/>
      <c r="M417" s="38"/>
      <c r="N417" s="38"/>
      <c r="O417" s="50"/>
      <c r="P417" s="218"/>
      <c r="Q417" s="50"/>
      <c r="R417" s="50"/>
      <c r="S417" s="38"/>
      <c r="T417" s="51"/>
      <c r="U417" s="65"/>
      <c r="V417" s="105"/>
      <c r="W417" s="66"/>
      <c r="X417" s="66"/>
      <c r="Y417" s="38"/>
      <c r="Z417" s="66">
        <f t="shared" si="219"/>
        <v>0</v>
      </c>
      <c r="AA417" s="67"/>
      <c r="AC417" s="41" t="e">
        <f>VLOOKUP(A417,'Input Sheet'!$A$2:$B$232,2,0)</f>
        <v>#N/A</v>
      </c>
      <c r="AD417" s="70"/>
      <c r="AI417" s="68"/>
      <c r="AL417" s="107">
        <f t="shared" ca="1" si="201"/>
        <v>0</v>
      </c>
      <c r="AM417" s="49">
        <f t="shared" ca="1" si="226"/>
        <v>55974</v>
      </c>
      <c r="AN417" s="137" t="str">
        <f t="shared" ca="1" si="202"/>
        <v xml:space="preserve"> </v>
      </c>
      <c r="AO417" s="107">
        <f t="shared" ca="1" si="222"/>
        <v>0</v>
      </c>
      <c r="AP417" s="143">
        <f t="shared" ca="1" si="220"/>
        <v>0</v>
      </c>
      <c r="AQ417" s="143">
        <f t="shared" ca="1" si="203"/>
        <v>0</v>
      </c>
      <c r="AR417" s="49" t="str">
        <f t="shared" ca="1" si="204"/>
        <v xml:space="preserve"> </v>
      </c>
      <c r="AS417" s="107">
        <f t="shared" ca="1" si="205"/>
        <v>0</v>
      </c>
      <c r="AT417" s="107">
        <f t="shared" ca="1" si="221"/>
        <v>0</v>
      </c>
      <c r="AU417" s="107"/>
      <c r="AV417" s="107">
        <f ca="1">MAX(SUM($AQ$6:AQ417)-SUM($AT$6:AT417),0)</f>
        <v>0</v>
      </c>
      <c r="AW417" s="107">
        <f t="shared" ca="1" si="227"/>
        <v>0</v>
      </c>
      <c r="AX417" s="107">
        <v>0</v>
      </c>
      <c r="AY417" s="138" t="str">
        <f t="shared" ca="1" si="206"/>
        <v xml:space="preserve"> </v>
      </c>
      <c r="AZ417" s="107">
        <f t="shared" ca="1" si="207"/>
        <v>0</v>
      </c>
      <c r="BA417" s="107">
        <f ca="1">IF(AZ417=1,(SUM($AW$6:AW417,$AX$6:AX417)-SUM($BA$6:BA416)),0)</f>
        <v>0</v>
      </c>
      <c r="BB417" s="107"/>
      <c r="BC417" s="107">
        <f ca="1">AV417+SUM($AW$6:AW417)+SUM($AX$6:AX417)-SUM($BA$6:BA417)</f>
        <v>0</v>
      </c>
      <c r="BD417" s="107">
        <f t="shared" ca="1" si="208"/>
        <v>0</v>
      </c>
      <c r="BE417" s="51">
        <f>'PiT PD Structure'!J457</f>
        <v>0</v>
      </c>
      <c r="BF417" s="139">
        <f t="shared" ca="1" si="228"/>
        <v>0.45</v>
      </c>
      <c r="BG417" s="51">
        <f t="shared" ca="1" si="209"/>
        <v>1</v>
      </c>
      <c r="BH417" s="50">
        <f t="shared" ca="1" si="210"/>
        <v>0</v>
      </c>
      <c r="BI417" s="50">
        <f t="shared" ca="1" si="211"/>
        <v>3.4816594052244909E-13</v>
      </c>
      <c r="BJ417" s="140">
        <v>0</v>
      </c>
      <c r="BK417" s="140">
        <v>0</v>
      </c>
      <c r="BR417" s="75">
        <f t="shared" ca="1" si="229"/>
        <v>55974</v>
      </c>
      <c r="BS417" s="74">
        <f t="shared" ca="1" si="212"/>
        <v>3</v>
      </c>
      <c r="BT417" s="74">
        <f t="shared" ca="1" si="223"/>
        <v>0</v>
      </c>
      <c r="BU417" s="73" t="str">
        <f t="shared" ca="1" si="213"/>
        <v xml:space="preserve"> </v>
      </c>
      <c r="BW417" s="75">
        <f t="shared" ca="1" si="214"/>
        <v>55974</v>
      </c>
      <c r="BX417" s="74">
        <f t="shared" ca="1" si="215"/>
        <v>3</v>
      </c>
      <c r="BY417" s="74">
        <f t="shared" ca="1" si="224"/>
        <v>0</v>
      </c>
      <c r="BZ417" s="73" t="str">
        <f t="shared" ca="1" si="216"/>
        <v xml:space="preserve"> </v>
      </c>
      <c r="CB417" s="75">
        <f t="shared" ca="1" si="230"/>
        <v>55974</v>
      </c>
      <c r="CC417" s="74">
        <f t="shared" ca="1" si="217"/>
        <v>3</v>
      </c>
      <c r="CD417" s="74">
        <f t="shared" ca="1" si="225"/>
        <v>0</v>
      </c>
      <c r="CE417" s="73" t="str">
        <f t="shared" ca="1" si="218"/>
        <v xml:space="preserve"> </v>
      </c>
    </row>
    <row r="418" spans="1:83" x14ac:dyDescent="0.2">
      <c r="A418" s="38" t="str">
        <f t="shared" si="231"/>
        <v xml:space="preserve"> </v>
      </c>
      <c r="B418" s="108"/>
      <c r="C418" s="38"/>
      <c r="D418" s="137"/>
      <c r="E418" s="137"/>
      <c r="F418" s="137"/>
      <c r="G418" s="122"/>
      <c r="H418" s="137"/>
      <c r="I418" s="50"/>
      <c r="J418" s="50"/>
      <c r="K418" s="50"/>
      <c r="L418" s="38"/>
      <c r="M418" s="38"/>
      <c r="N418" s="38"/>
      <c r="O418" s="50"/>
      <c r="P418" s="218"/>
      <c r="Q418" s="50"/>
      <c r="R418" s="50"/>
      <c r="S418" s="38"/>
      <c r="T418" s="51"/>
      <c r="U418" s="65"/>
      <c r="V418" s="105"/>
      <c r="W418" s="66"/>
      <c r="X418" s="66"/>
      <c r="Y418" s="38"/>
      <c r="Z418" s="66">
        <f t="shared" si="219"/>
        <v>0</v>
      </c>
      <c r="AA418" s="67"/>
      <c r="AC418" s="41" t="e">
        <f>VLOOKUP(A418,'Input Sheet'!$A$2:$B$232,2,0)</f>
        <v>#N/A</v>
      </c>
      <c r="AD418" s="70"/>
      <c r="AI418" s="68"/>
      <c r="AL418" s="107">
        <f t="shared" ca="1" si="201"/>
        <v>0</v>
      </c>
      <c r="AM418" s="49">
        <f t="shared" ca="1" si="226"/>
        <v>56004</v>
      </c>
      <c r="AN418" s="137" t="str">
        <f t="shared" ca="1" si="202"/>
        <v xml:space="preserve"> </v>
      </c>
      <c r="AO418" s="107">
        <f t="shared" ca="1" si="222"/>
        <v>0</v>
      </c>
      <c r="AP418" s="143">
        <f t="shared" ca="1" si="220"/>
        <v>0</v>
      </c>
      <c r="AQ418" s="143">
        <f t="shared" ca="1" si="203"/>
        <v>0</v>
      </c>
      <c r="AR418" s="49" t="str">
        <f t="shared" ca="1" si="204"/>
        <v xml:space="preserve"> </v>
      </c>
      <c r="AS418" s="107">
        <f t="shared" ca="1" si="205"/>
        <v>0</v>
      </c>
      <c r="AT418" s="107">
        <f t="shared" ca="1" si="221"/>
        <v>0</v>
      </c>
      <c r="AU418" s="107"/>
      <c r="AV418" s="107">
        <f ca="1">MAX(SUM($AQ$6:AQ418)-SUM($AT$6:AT418),0)</f>
        <v>0</v>
      </c>
      <c r="AW418" s="107">
        <f t="shared" ca="1" si="227"/>
        <v>0</v>
      </c>
      <c r="AX418" s="107">
        <v>0</v>
      </c>
      <c r="AY418" s="138" t="str">
        <f t="shared" ca="1" si="206"/>
        <v xml:space="preserve"> </v>
      </c>
      <c r="AZ418" s="107">
        <f t="shared" ca="1" si="207"/>
        <v>0</v>
      </c>
      <c r="BA418" s="107">
        <f ca="1">IF(AZ418=1,(SUM($AW$6:AW418,$AX$6:AX418)-SUM($BA$6:BA417)),0)</f>
        <v>0</v>
      </c>
      <c r="BB418" s="107"/>
      <c r="BC418" s="107">
        <f ca="1">AV418+SUM($AW$6:AW418)+SUM($AX$6:AX418)-SUM($BA$6:BA418)</f>
        <v>0</v>
      </c>
      <c r="BD418" s="107">
        <f t="shared" ca="1" si="208"/>
        <v>0</v>
      </c>
      <c r="BE418" s="51">
        <f>'PiT PD Structure'!J458</f>
        <v>0</v>
      </c>
      <c r="BF418" s="139">
        <f t="shared" ca="1" si="228"/>
        <v>0.45</v>
      </c>
      <c r="BG418" s="51">
        <f t="shared" ca="1" si="209"/>
        <v>1</v>
      </c>
      <c r="BH418" s="50">
        <f t="shared" ca="1" si="210"/>
        <v>0</v>
      </c>
      <c r="BI418" s="50">
        <f t="shared" ca="1" si="211"/>
        <v>3.4816594052244909E-13</v>
      </c>
      <c r="BJ418" s="140">
        <v>0</v>
      </c>
      <c r="BK418" s="140">
        <v>0</v>
      </c>
      <c r="BR418" s="75">
        <f t="shared" ca="1" si="229"/>
        <v>56004</v>
      </c>
      <c r="BS418" s="74">
        <f t="shared" ca="1" si="212"/>
        <v>4</v>
      </c>
      <c r="BT418" s="74">
        <f t="shared" ca="1" si="223"/>
        <v>0</v>
      </c>
      <c r="BU418" s="73" t="str">
        <f t="shared" ca="1" si="213"/>
        <v xml:space="preserve"> </v>
      </c>
      <c r="BW418" s="75">
        <f t="shared" ca="1" si="214"/>
        <v>56004</v>
      </c>
      <c r="BX418" s="74">
        <f t="shared" ca="1" si="215"/>
        <v>4</v>
      </c>
      <c r="BY418" s="74">
        <f t="shared" ca="1" si="224"/>
        <v>0</v>
      </c>
      <c r="BZ418" s="73" t="str">
        <f t="shared" ca="1" si="216"/>
        <v xml:space="preserve"> </v>
      </c>
      <c r="CB418" s="75">
        <f t="shared" ca="1" si="230"/>
        <v>56004</v>
      </c>
      <c r="CC418" s="74">
        <f t="shared" ca="1" si="217"/>
        <v>4</v>
      </c>
      <c r="CD418" s="74">
        <f t="shared" ca="1" si="225"/>
        <v>0</v>
      </c>
      <c r="CE418" s="73" t="str">
        <f t="shared" ca="1" si="218"/>
        <v xml:space="preserve"> </v>
      </c>
    </row>
    <row r="419" spans="1:83" x14ac:dyDescent="0.2">
      <c r="A419" s="38" t="str">
        <f t="shared" si="231"/>
        <v xml:space="preserve"> </v>
      </c>
      <c r="B419" s="108"/>
      <c r="C419" s="38"/>
      <c r="D419" s="137"/>
      <c r="E419" s="137"/>
      <c r="F419" s="137"/>
      <c r="G419" s="122"/>
      <c r="H419" s="137"/>
      <c r="I419" s="50"/>
      <c r="J419" s="50"/>
      <c r="K419" s="50"/>
      <c r="L419" s="38"/>
      <c r="M419" s="38"/>
      <c r="N419" s="38"/>
      <c r="O419" s="50"/>
      <c r="P419" s="218"/>
      <c r="Q419" s="50"/>
      <c r="R419" s="50"/>
      <c r="S419" s="38"/>
      <c r="T419" s="51"/>
      <c r="U419" s="65"/>
      <c r="V419" s="105"/>
      <c r="W419" s="66"/>
      <c r="X419" s="66"/>
      <c r="Y419" s="38"/>
      <c r="Z419" s="66">
        <f t="shared" si="219"/>
        <v>0</v>
      </c>
      <c r="AA419" s="67"/>
      <c r="AC419" s="41" t="e">
        <f>VLOOKUP(A419,'Input Sheet'!$A$2:$B$232,2,0)</f>
        <v>#N/A</v>
      </c>
      <c r="AD419" s="70"/>
      <c r="AI419" s="68"/>
      <c r="AL419" s="107">
        <f t="shared" ca="1" si="201"/>
        <v>0</v>
      </c>
      <c r="AM419" s="49">
        <f t="shared" ca="1" si="226"/>
        <v>56035</v>
      </c>
      <c r="AN419" s="137" t="str">
        <f t="shared" ca="1" si="202"/>
        <v xml:space="preserve"> </v>
      </c>
      <c r="AO419" s="107">
        <f t="shared" ca="1" si="222"/>
        <v>0</v>
      </c>
      <c r="AP419" s="143">
        <f t="shared" ca="1" si="220"/>
        <v>0</v>
      </c>
      <c r="AQ419" s="143">
        <f t="shared" ca="1" si="203"/>
        <v>0</v>
      </c>
      <c r="AR419" s="49" t="str">
        <f t="shared" ca="1" si="204"/>
        <v xml:space="preserve"> </v>
      </c>
      <c r="AS419" s="107">
        <f t="shared" ca="1" si="205"/>
        <v>0</v>
      </c>
      <c r="AT419" s="107">
        <f t="shared" ca="1" si="221"/>
        <v>0</v>
      </c>
      <c r="AU419" s="107"/>
      <c r="AV419" s="107">
        <f ca="1">MAX(SUM($AQ$6:AQ419)-SUM($AT$6:AT419),0)</f>
        <v>0</v>
      </c>
      <c r="AW419" s="107">
        <f t="shared" ca="1" si="227"/>
        <v>0</v>
      </c>
      <c r="AX419" s="107">
        <v>0</v>
      </c>
      <c r="AY419" s="138" t="str">
        <f t="shared" ca="1" si="206"/>
        <v xml:space="preserve"> </v>
      </c>
      <c r="AZ419" s="107">
        <f t="shared" ca="1" si="207"/>
        <v>0</v>
      </c>
      <c r="BA419" s="107">
        <f ca="1">IF(AZ419=1,(SUM($AW$6:AW419,$AX$6:AX419)-SUM($BA$6:BA418)),0)</f>
        <v>0</v>
      </c>
      <c r="BB419" s="107"/>
      <c r="BC419" s="107">
        <f ca="1">AV419+SUM($AW$6:AW419)+SUM($AX$6:AX419)-SUM($BA$6:BA419)</f>
        <v>0</v>
      </c>
      <c r="BD419" s="107">
        <f t="shared" ca="1" si="208"/>
        <v>0</v>
      </c>
      <c r="BE419" s="51">
        <f>'PiT PD Structure'!J459</f>
        <v>0</v>
      </c>
      <c r="BF419" s="139">
        <f t="shared" ca="1" si="228"/>
        <v>0.45</v>
      </c>
      <c r="BG419" s="51">
        <f t="shared" ca="1" si="209"/>
        <v>1</v>
      </c>
      <c r="BH419" s="50">
        <f t="shared" ca="1" si="210"/>
        <v>0</v>
      </c>
      <c r="BI419" s="50">
        <f t="shared" ca="1" si="211"/>
        <v>3.4816594052244909E-13</v>
      </c>
      <c r="BJ419" s="140">
        <v>0</v>
      </c>
      <c r="BK419" s="140">
        <v>0</v>
      </c>
      <c r="BR419" s="75">
        <f t="shared" ca="1" si="229"/>
        <v>56035</v>
      </c>
      <c r="BS419" s="74">
        <f t="shared" ca="1" si="212"/>
        <v>5</v>
      </c>
      <c r="BT419" s="74">
        <f t="shared" ca="1" si="223"/>
        <v>0</v>
      </c>
      <c r="BU419" s="73" t="str">
        <f t="shared" ca="1" si="213"/>
        <v xml:space="preserve"> </v>
      </c>
      <c r="BW419" s="75">
        <f t="shared" ca="1" si="214"/>
        <v>56035</v>
      </c>
      <c r="BX419" s="74">
        <f t="shared" ca="1" si="215"/>
        <v>5</v>
      </c>
      <c r="BY419" s="74">
        <f t="shared" ca="1" si="224"/>
        <v>0</v>
      </c>
      <c r="BZ419" s="73" t="str">
        <f t="shared" ca="1" si="216"/>
        <v xml:space="preserve"> </v>
      </c>
      <c r="CB419" s="75">
        <f t="shared" ca="1" si="230"/>
        <v>56035</v>
      </c>
      <c r="CC419" s="74">
        <f t="shared" ca="1" si="217"/>
        <v>5</v>
      </c>
      <c r="CD419" s="74">
        <f t="shared" ca="1" si="225"/>
        <v>0</v>
      </c>
      <c r="CE419" s="73" t="str">
        <f t="shared" ca="1" si="218"/>
        <v xml:space="preserve"> </v>
      </c>
    </row>
    <row r="420" spans="1:83" x14ac:dyDescent="0.2">
      <c r="A420" s="38" t="str">
        <f t="shared" si="231"/>
        <v xml:space="preserve"> </v>
      </c>
      <c r="B420" s="108"/>
      <c r="C420" s="38"/>
      <c r="D420" s="137"/>
      <c r="E420" s="137"/>
      <c r="F420" s="137"/>
      <c r="G420" s="122"/>
      <c r="H420" s="137"/>
      <c r="I420" s="50"/>
      <c r="J420" s="50"/>
      <c r="K420" s="50"/>
      <c r="L420" s="38"/>
      <c r="M420" s="38"/>
      <c r="N420" s="38"/>
      <c r="O420" s="50"/>
      <c r="P420" s="218"/>
      <c r="Q420" s="50"/>
      <c r="R420" s="50"/>
      <c r="S420" s="38"/>
      <c r="T420" s="51"/>
      <c r="U420" s="65"/>
      <c r="V420" s="105"/>
      <c r="W420" s="66"/>
      <c r="X420" s="66"/>
      <c r="Y420" s="38"/>
      <c r="Z420" s="66">
        <f t="shared" si="219"/>
        <v>0</v>
      </c>
      <c r="AA420" s="67"/>
      <c r="AC420" s="41" t="e">
        <f>VLOOKUP(A420,'Input Sheet'!$A$2:$B$232,2,0)</f>
        <v>#N/A</v>
      </c>
      <c r="AD420" s="70"/>
      <c r="AI420" s="68"/>
      <c r="AL420" s="107">
        <f t="shared" ca="1" si="201"/>
        <v>0</v>
      </c>
      <c r="AM420" s="49">
        <f t="shared" ca="1" si="226"/>
        <v>56065</v>
      </c>
      <c r="AN420" s="137" t="str">
        <f t="shared" ca="1" si="202"/>
        <v xml:space="preserve"> </v>
      </c>
      <c r="AO420" s="107">
        <f t="shared" ca="1" si="222"/>
        <v>0</v>
      </c>
      <c r="AP420" s="143">
        <f t="shared" ca="1" si="220"/>
        <v>0</v>
      </c>
      <c r="AQ420" s="143">
        <f t="shared" ca="1" si="203"/>
        <v>0</v>
      </c>
      <c r="AR420" s="49" t="str">
        <f t="shared" ca="1" si="204"/>
        <v xml:space="preserve"> </v>
      </c>
      <c r="AS420" s="107">
        <f t="shared" ca="1" si="205"/>
        <v>0</v>
      </c>
      <c r="AT420" s="107">
        <f t="shared" ca="1" si="221"/>
        <v>0</v>
      </c>
      <c r="AU420" s="107"/>
      <c r="AV420" s="107">
        <f ca="1">MAX(SUM($AQ$6:AQ420)-SUM($AT$6:AT420),0)</f>
        <v>0</v>
      </c>
      <c r="AW420" s="107">
        <f t="shared" ca="1" si="227"/>
        <v>0</v>
      </c>
      <c r="AX420" s="107">
        <v>0</v>
      </c>
      <c r="AY420" s="138" t="str">
        <f t="shared" ca="1" si="206"/>
        <v xml:space="preserve"> </v>
      </c>
      <c r="AZ420" s="107">
        <f t="shared" ca="1" si="207"/>
        <v>0</v>
      </c>
      <c r="BA420" s="107">
        <f ca="1">IF(AZ420=1,(SUM($AW$6:AW420,$AX$6:AX420)-SUM($BA$6:BA419)),0)</f>
        <v>0</v>
      </c>
      <c r="BB420" s="107"/>
      <c r="BC420" s="107">
        <f ca="1">AV420+SUM($AW$6:AW420)+SUM($AX$6:AX420)-SUM($BA$6:BA420)</f>
        <v>0</v>
      </c>
      <c r="BD420" s="107">
        <f t="shared" ca="1" si="208"/>
        <v>0</v>
      </c>
      <c r="BE420" s="51">
        <f>'PiT PD Structure'!J460</f>
        <v>0</v>
      </c>
      <c r="BF420" s="139">
        <f t="shared" ca="1" si="228"/>
        <v>0.45</v>
      </c>
      <c r="BG420" s="51">
        <f t="shared" ca="1" si="209"/>
        <v>1</v>
      </c>
      <c r="BH420" s="50">
        <f t="shared" ca="1" si="210"/>
        <v>0</v>
      </c>
      <c r="BI420" s="50">
        <f t="shared" ca="1" si="211"/>
        <v>3.4816594052244909E-13</v>
      </c>
      <c r="BJ420" s="140">
        <v>0</v>
      </c>
      <c r="BK420" s="140">
        <v>0</v>
      </c>
      <c r="BR420" s="75">
        <f t="shared" ca="1" si="229"/>
        <v>56065</v>
      </c>
      <c r="BS420" s="74">
        <f t="shared" ca="1" si="212"/>
        <v>6</v>
      </c>
      <c r="BT420" s="74">
        <f t="shared" ca="1" si="223"/>
        <v>0</v>
      </c>
      <c r="BU420" s="73" t="str">
        <f t="shared" ca="1" si="213"/>
        <v xml:space="preserve"> </v>
      </c>
      <c r="BW420" s="75">
        <f t="shared" ca="1" si="214"/>
        <v>56065</v>
      </c>
      <c r="BX420" s="74">
        <f t="shared" ca="1" si="215"/>
        <v>6</v>
      </c>
      <c r="BY420" s="74">
        <f t="shared" ca="1" si="224"/>
        <v>0</v>
      </c>
      <c r="BZ420" s="73" t="str">
        <f t="shared" ca="1" si="216"/>
        <v xml:space="preserve"> </v>
      </c>
      <c r="CB420" s="75">
        <f t="shared" ca="1" si="230"/>
        <v>56065</v>
      </c>
      <c r="CC420" s="74">
        <f t="shared" ca="1" si="217"/>
        <v>6</v>
      </c>
      <c r="CD420" s="74">
        <f t="shared" ca="1" si="225"/>
        <v>0</v>
      </c>
      <c r="CE420" s="73" t="str">
        <f t="shared" ca="1" si="218"/>
        <v xml:space="preserve"> </v>
      </c>
    </row>
    <row r="421" spans="1:83" x14ac:dyDescent="0.2">
      <c r="A421" s="38" t="str">
        <f t="shared" si="231"/>
        <v xml:space="preserve"> </v>
      </c>
      <c r="B421" s="108"/>
      <c r="C421" s="38"/>
      <c r="D421" s="137"/>
      <c r="E421" s="137"/>
      <c r="F421" s="137"/>
      <c r="G421" s="122"/>
      <c r="H421" s="137"/>
      <c r="I421" s="50"/>
      <c r="J421" s="50"/>
      <c r="K421" s="50"/>
      <c r="L421" s="38"/>
      <c r="M421" s="38"/>
      <c r="N421" s="38"/>
      <c r="O421" s="50"/>
      <c r="P421" s="218"/>
      <c r="Q421" s="50"/>
      <c r="R421" s="50"/>
      <c r="S421" s="38"/>
      <c r="T421" s="51"/>
      <c r="U421" s="65"/>
      <c r="V421" s="105"/>
      <c r="W421" s="66"/>
      <c r="X421" s="66"/>
      <c r="Y421" s="38"/>
      <c r="Z421" s="66">
        <f t="shared" si="219"/>
        <v>0</v>
      </c>
      <c r="AA421" s="67"/>
      <c r="AC421" s="41" t="e">
        <f>VLOOKUP(A421,'Input Sheet'!$A$2:$B$232,2,0)</f>
        <v>#N/A</v>
      </c>
      <c r="AD421" s="70"/>
      <c r="AI421" s="68"/>
      <c r="AL421" s="107">
        <f t="shared" ca="1" si="201"/>
        <v>0</v>
      </c>
      <c r="AM421" s="49">
        <f t="shared" ca="1" si="226"/>
        <v>56096</v>
      </c>
      <c r="AN421" s="137" t="str">
        <f t="shared" ca="1" si="202"/>
        <v xml:space="preserve"> </v>
      </c>
      <c r="AO421" s="107">
        <f t="shared" ca="1" si="222"/>
        <v>0</v>
      </c>
      <c r="AP421" s="143">
        <f t="shared" ca="1" si="220"/>
        <v>0</v>
      </c>
      <c r="AQ421" s="143">
        <f t="shared" ca="1" si="203"/>
        <v>0</v>
      </c>
      <c r="AR421" s="49" t="str">
        <f t="shared" ca="1" si="204"/>
        <v xml:space="preserve"> </v>
      </c>
      <c r="AS421" s="107">
        <f t="shared" ca="1" si="205"/>
        <v>0</v>
      </c>
      <c r="AT421" s="107">
        <f t="shared" ca="1" si="221"/>
        <v>0</v>
      </c>
      <c r="AU421" s="107"/>
      <c r="AV421" s="107">
        <f ca="1">MAX(SUM($AQ$6:AQ421)-SUM($AT$6:AT421),0)</f>
        <v>0</v>
      </c>
      <c r="AW421" s="107">
        <f t="shared" ca="1" si="227"/>
        <v>0</v>
      </c>
      <c r="AX421" s="107">
        <v>0</v>
      </c>
      <c r="AY421" s="138" t="str">
        <f t="shared" ca="1" si="206"/>
        <v xml:space="preserve"> </v>
      </c>
      <c r="AZ421" s="107">
        <f t="shared" ca="1" si="207"/>
        <v>0</v>
      </c>
      <c r="BA421" s="107">
        <f ca="1">IF(AZ421=1,(SUM($AW$6:AW421,$AX$6:AX421)-SUM($BA$6:BA420)),0)</f>
        <v>0</v>
      </c>
      <c r="BB421" s="107"/>
      <c r="BC421" s="107">
        <f ca="1">AV421+SUM($AW$6:AW421)+SUM($AX$6:AX421)-SUM($BA$6:BA421)</f>
        <v>0</v>
      </c>
      <c r="BD421" s="107">
        <f t="shared" ca="1" si="208"/>
        <v>0</v>
      </c>
      <c r="BE421" s="51">
        <f>'PiT PD Structure'!J461</f>
        <v>0</v>
      </c>
      <c r="BF421" s="139">
        <f t="shared" ca="1" si="228"/>
        <v>0.45</v>
      </c>
      <c r="BG421" s="51">
        <f t="shared" ca="1" si="209"/>
        <v>1</v>
      </c>
      <c r="BH421" s="50">
        <f t="shared" ca="1" si="210"/>
        <v>0</v>
      </c>
      <c r="BI421" s="50">
        <f t="shared" ca="1" si="211"/>
        <v>3.4816594052244909E-13</v>
      </c>
      <c r="BJ421" s="140">
        <v>0</v>
      </c>
      <c r="BK421" s="140">
        <v>0</v>
      </c>
      <c r="BR421" s="75">
        <f t="shared" ca="1" si="229"/>
        <v>56096</v>
      </c>
      <c r="BS421" s="74">
        <f t="shared" ca="1" si="212"/>
        <v>7</v>
      </c>
      <c r="BT421" s="74">
        <f t="shared" ca="1" si="223"/>
        <v>0</v>
      </c>
      <c r="BU421" s="73" t="str">
        <f t="shared" ca="1" si="213"/>
        <v xml:space="preserve"> </v>
      </c>
      <c r="BW421" s="75">
        <f t="shared" ca="1" si="214"/>
        <v>56096</v>
      </c>
      <c r="BX421" s="74">
        <f t="shared" ca="1" si="215"/>
        <v>7</v>
      </c>
      <c r="BY421" s="74">
        <f t="shared" ca="1" si="224"/>
        <v>0</v>
      </c>
      <c r="BZ421" s="73" t="str">
        <f t="shared" ca="1" si="216"/>
        <v xml:space="preserve"> </v>
      </c>
      <c r="CB421" s="75">
        <f t="shared" ca="1" si="230"/>
        <v>56096</v>
      </c>
      <c r="CC421" s="74">
        <f t="shared" ca="1" si="217"/>
        <v>7</v>
      </c>
      <c r="CD421" s="74">
        <f t="shared" ca="1" si="225"/>
        <v>0</v>
      </c>
      <c r="CE421" s="73" t="str">
        <f t="shared" ca="1" si="218"/>
        <v xml:space="preserve"> </v>
      </c>
    </row>
    <row r="422" spans="1:83" x14ac:dyDescent="0.2">
      <c r="A422" s="38" t="str">
        <f t="shared" si="231"/>
        <v xml:space="preserve"> </v>
      </c>
      <c r="B422" s="108"/>
      <c r="C422" s="38"/>
      <c r="D422" s="137"/>
      <c r="E422" s="137"/>
      <c r="F422" s="137"/>
      <c r="G422" s="122"/>
      <c r="H422" s="137"/>
      <c r="I422" s="50"/>
      <c r="J422" s="50"/>
      <c r="K422" s="50"/>
      <c r="L422" s="38"/>
      <c r="M422" s="38"/>
      <c r="N422" s="38"/>
      <c r="O422" s="50"/>
      <c r="P422" s="218"/>
      <c r="Q422" s="50"/>
      <c r="R422" s="50"/>
      <c r="S422" s="38"/>
      <c r="T422" s="51"/>
      <c r="U422" s="65"/>
      <c r="V422" s="105"/>
      <c r="W422" s="66"/>
      <c r="X422" s="66"/>
      <c r="Y422" s="38"/>
      <c r="Z422" s="66">
        <f t="shared" si="219"/>
        <v>0</v>
      </c>
      <c r="AA422" s="67"/>
      <c r="AC422" s="41" t="e">
        <f>VLOOKUP(A422,'Input Sheet'!$A$2:$B$232,2,0)</f>
        <v>#N/A</v>
      </c>
      <c r="AD422" s="70"/>
      <c r="AI422" s="68"/>
      <c r="AL422" s="107">
        <f t="shared" ref="AL422:AL443" ca="1" si="232">IF(AM422&lt;=$AR$2,AL421+1,0)</f>
        <v>0</v>
      </c>
      <c r="AM422" s="49">
        <f t="shared" ca="1" si="226"/>
        <v>56127</v>
      </c>
      <c r="AN422" s="137" t="str">
        <f t="shared" ref="AN422:AN443" ca="1" si="233">CE422</f>
        <v xml:space="preserve"> </v>
      </c>
      <c r="AO422" s="107">
        <f t="shared" ca="1" si="222"/>
        <v>0</v>
      </c>
      <c r="AP422" s="143">
        <f t="shared" ca="1" si="220"/>
        <v>0</v>
      </c>
      <c r="AQ422" s="143">
        <f t="shared" ref="AQ422:AQ443" ca="1" si="234">IF(AND(AP422&gt;0,AM422&lt;=$AR$2),AQ421+AP422,0)</f>
        <v>0</v>
      </c>
      <c r="AR422" s="49" t="str">
        <f t="shared" ref="AR422:AR443" ca="1" si="235">BU422</f>
        <v xml:space="preserve"> </v>
      </c>
      <c r="AS422" s="107">
        <f t="shared" ref="AS422:AS443" ca="1" si="236">BT422</f>
        <v>0</v>
      </c>
      <c r="AT422" s="107">
        <f t="shared" ca="1" si="221"/>
        <v>0</v>
      </c>
      <c r="AU422" s="107"/>
      <c r="AV422" s="107">
        <f ca="1">MAX(SUM($AQ$6:AQ422)-SUM($AT$6:AT422),0)</f>
        <v>0</v>
      </c>
      <c r="AW422" s="107">
        <f t="shared" ca="1" si="227"/>
        <v>0</v>
      </c>
      <c r="AX422" s="107">
        <v>0</v>
      </c>
      <c r="AY422" s="138" t="str">
        <f t="shared" ref="AY422:AY443" ca="1" si="237">BZ422</f>
        <v xml:space="preserve"> </v>
      </c>
      <c r="AZ422" s="107">
        <f t="shared" ref="AZ422:AZ443" ca="1" si="238">BY422</f>
        <v>0</v>
      </c>
      <c r="BA422" s="107">
        <f ca="1">IF(AZ422=1,(SUM($AW$6:AW422,$AX$6:AX422)-SUM($BA$6:BA421)),0)</f>
        <v>0</v>
      </c>
      <c r="BB422" s="107"/>
      <c r="BC422" s="107">
        <f ca="1">AV422+SUM($AW$6:AW422)+SUM($AX$6:AX422)-SUM($BA$6:BA422)</f>
        <v>0</v>
      </c>
      <c r="BD422" s="107">
        <f t="shared" ref="BD422:BD443" ca="1" si="239">IF(AL422&gt;0,AM422-AM421,0)</f>
        <v>0</v>
      </c>
      <c r="BE422" s="51">
        <f>'PiT PD Structure'!J462</f>
        <v>0</v>
      </c>
      <c r="BF422" s="139">
        <f t="shared" ca="1" si="228"/>
        <v>0.45</v>
      </c>
      <c r="BG422" s="51">
        <f t="shared" ref="BG422:BG443" ca="1" si="240">1/(1+$BE$2)^(BD422/360)</f>
        <v>1</v>
      </c>
      <c r="BH422" s="50">
        <f t="shared" ref="BH422:BH443" ca="1" si="241">IF(AL422=0,0,BC422*BE422*BF422*BG422)</f>
        <v>0</v>
      </c>
      <c r="BI422" s="50">
        <f t="shared" ref="BI422:BI443" ca="1" si="242">BI421-BH421</f>
        <v>3.4816594052244909E-13</v>
      </c>
      <c r="BJ422" s="140">
        <v>0</v>
      </c>
      <c r="BK422" s="140">
        <v>0</v>
      </c>
      <c r="BR422" s="75">
        <f t="shared" ca="1" si="229"/>
        <v>56127</v>
      </c>
      <c r="BS422" s="74">
        <f t="shared" ref="BS422:BS485" ca="1" si="243">MONTH(BR422)</f>
        <v>8</v>
      </c>
      <c r="BT422" s="74">
        <f t="shared" ca="1" si="223"/>
        <v>0</v>
      </c>
      <c r="BU422" s="73" t="str">
        <f t="shared" ref="BU422:BU485" ca="1" si="244">IF(BT422=1,BR422," ")</f>
        <v xml:space="preserve"> </v>
      </c>
      <c r="BW422" s="75">
        <f t="shared" ref="BW422:BW485" ca="1" si="245">EOMONTH(BR421,1)</f>
        <v>56127</v>
      </c>
      <c r="BX422" s="74">
        <f t="shared" ref="BX422:BX485" ca="1" si="246">MONTH(BR422)</f>
        <v>8</v>
      </c>
      <c r="BY422" s="74">
        <f t="shared" ca="1" si="224"/>
        <v>0</v>
      </c>
      <c r="BZ422" s="73" t="str">
        <f t="shared" ref="BZ422:BZ485" ca="1" si="247">IF(BY422=1,BW422," ")</f>
        <v xml:space="preserve"> </v>
      </c>
      <c r="CB422" s="75">
        <f t="shared" ca="1" si="230"/>
        <v>56127</v>
      </c>
      <c r="CC422" s="74">
        <f t="shared" ref="CC422:CC485" ca="1" si="248">MONTH(CB422)</f>
        <v>8</v>
      </c>
      <c r="CD422" s="74">
        <f t="shared" ca="1" si="225"/>
        <v>0</v>
      </c>
      <c r="CE422" s="73" t="str">
        <f t="shared" ref="CE422:CE485" ca="1" si="249">IF(CD422=1,CB422," ")</f>
        <v xml:space="preserve"> </v>
      </c>
    </row>
    <row r="423" spans="1:83" x14ac:dyDescent="0.2">
      <c r="A423" s="38" t="str">
        <f t="shared" si="231"/>
        <v xml:space="preserve"> </v>
      </c>
      <c r="B423" s="108"/>
      <c r="C423" s="38"/>
      <c r="D423" s="137"/>
      <c r="E423" s="137"/>
      <c r="F423" s="137"/>
      <c r="G423" s="122"/>
      <c r="H423" s="137"/>
      <c r="I423" s="50"/>
      <c r="J423" s="50"/>
      <c r="K423" s="50"/>
      <c r="L423" s="38"/>
      <c r="M423" s="38"/>
      <c r="N423" s="38"/>
      <c r="O423" s="50"/>
      <c r="P423" s="218"/>
      <c r="Q423" s="50"/>
      <c r="R423" s="50"/>
      <c r="S423" s="38"/>
      <c r="T423" s="51"/>
      <c r="U423" s="65"/>
      <c r="V423" s="105"/>
      <c r="W423" s="66"/>
      <c r="X423" s="66"/>
      <c r="Y423" s="38"/>
      <c r="Z423" s="66">
        <f t="shared" si="219"/>
        <v>0</v>
      </c>
      <c r="AA423" s="67"/>
      <c r="AC423" s="41" t="e">
        <f>VLOOKUP(A423,'Input Sheet'!$A$2:$B$232,2,0)</f>
        <v>#N/A</v>
      </c>
      <c r="AD423" s="70"/>
      <c r="AI423" s="68"/>
      <c r="AL423" s="107">
        <f t="shared" ca="1" si="232"/>
        <v>0</v>
      </c>
      <c r="AM423" s="49">
        <f t="shared" ca="1" si="226"/>
        <v>56157</v>
      </c>
      <c r="AN423" s="137" t="str">
        <f t="shared" ca="1" si="233"/>
        <v xml:space="preserve"> </v>
      </c>
      <c r="AO423" s="107">
        <f t="shared" ca="1" si="222"/>
        <v>0</v>
      </c>
      <c r="AP423" s="143">
        <f t="shared" ca="1" si="220"/>
        <v>0</v>
      </c>
      <c r="AQ423" s="143">
        <f t="shared" ca="1" si="234"/>
        <v>0</v>
      </c>
      <c r="AR423" s="49" t="str">
        <f t="shared" ca="1" si="235"/>
        <v xml:space="preserve"> </v>
      </c>
      <c r="AS423" s="107">
        <f t="shared" ca="1" si="236"/>
        <v>0</v>
      </c>
      <c r="AT423" s="107">
        <f t="shared" ca="1" si="221"/>
        <v>0</v>
      </c>
      <c r="AU423" s="107"/>
      <c r="AV423" s="107">
        <f ca="1">MAX(SUM($AQ$6:AQ423)-SUM($AT$6:AT423),0)</f>
        <v>0</v>
      </c>
      <c r="AW423" s="107">
        <f t="shared" ca="1" si="227"/>
        <v>0</v>
      </c>
      <c r="AX423" s="107">
        <v>0</v>
      </c>
      <c r="AY423" s="138" t="str">
        <f t="shared" ca="1" si="237"/>
        <v xml:space="preserve"> </v>
      </c>
      <c r="AZ423" s="107">
        <f t="shared" ca="1" si="238"/>
        <v>0</v>
      </c>
      <c r="BA423" s="107">
        <f ca="1">IF(AZ423=1,(SUM($AW$6:AW423,$AX$6:AX423)-SUM($BA$6:BA422)),0)</f>
        <v>0</v>
      </c>
      <c r="BB423" s="107"/>
      <c r="BC423" s="107">
        <f ca="1">AV423+SUM($AW$6:AW423)+SUM($AX$6:AX423)-SUM($BA$6:BA423)</f>
        <v>0</v>
      </c>
      <c r="BD423" s="107">
        <f t="shared" ca="1" si="239"/>
        <v>0</v>
      </c>
      <c r="BE423" s="51">
        <f>'PiT PD Structure'!J463</f>
        <v>0</v>
      </c>
      <c r="BF423" s="139">
        <f t="shared" ca="1" si="228"/>
        <v>0.45</v>
      </c>
      <c r="BG423" s="51">
        <f t="shared" ca="1" si="240"/>
        <v>1</v>
      </c>
      <c r="BH423" s="50">
        <f t="shared" ca="1" si="241"/>
        <v>0</v>
      </c>
      <c r="BI423" s="50">
        <f t="shared" ca="1" si="242"/>
        <v>3.4816594052244909E-13</v>
      </c>
      <c r="BJ423" s="140">
        <v>0</v>
      </c>
      <c r="BK423" s="140">
        <v>0</v>
      </c>
      <c r="BR423" s="75">
        <f t="shared" ca="1" si="229"/>
        <v>56157</v>
      </c>
      <c r="BS423" s="74">
        <f t="shared" ca="1" si="243"/>
        <v>9</v>
      </c>
      <c r="BT423" s="74">
        <f t="shared" ca="1" si="223"/>
        <v>0</v>
      </c>
      <c r="BU423" s="73" t="str">
        <f t="shared" ca="1" si="244"/>
        <v xml:space="preserve"> </v>
      </c>
      <c r="BW423" s="75">
        <f t="shared" ca="1" si="245"/>
        <v>56157</v>
      </c>
      <c r="BX423" s="74">
        <f t="shared" ca="1" si="246"/>
        <v>9</v>
      </c>
      <c r="BY423" s="74">
        <f t="shared" ca="1" si="224"/>
        <v>0</v>
      </c>
      <c r="BZ423" s="73" t="str">
        <f t="shared" ca="1" si="247"/>
        <v xml:space="preserve"> </v>
      </c>
      <c r="CB423" s="75">
        <f t="shared" ca="1" si="230"/>
        <v>56157</v>
      </c>
      <c r="CC423" s="74">
        <f t="shared" ca="1" si="248"/>
        <v>9</v>
      </c>
      <c r="CD423" s="74">
        <f t="shared" ca="1" si="225"/>
        <v>0</v>
      </c>
      <c r="CE423" s="73" t="str">
        <f t="shared" ca="1" si="249"/>
        <v xml:space="preserve"> </v>
      </c>
    </row>
    <row r="424" spans="1:83" x14ac:dyDescent="0.2">
      <c r="A424" s="38" t="str">
        <f t="shared" si="231"/>
        <v xml:space="preserve"> </v>
      </c>
      <c r="B424" s="108"/>
      <c r="C424" s="38"/>
      <c r="D424" s="137"/>
      <c r="E424" s="137"/>
      <c r="F424" s="137"/>
      <c r="G424" s="122"/>
      <c r="H424" s="137"/>
      <c r="I424" s="50"/>
      <c r="J424" s="50"/>
      <c r="K424" s="50"/>
      <c r="L424" s="38"/>
      <c r="M424" s="38"/>
      <c r="N424" s="38"/>
      <c r="O424" s="50"/>
      <c r="P424" s="218"/>
      <c r="Q424" s="50"/>
      <c r="R424" s="50"/>
      <c r="S424" s="38"/>
      <c r="T424" s="51"/>
      <c r="U424" s="65"/>
      <c r="V424" s="105"/>
      <c r="W424" s="66"/>
      <c r="X424" s="66"/>
      <c r="Y424" s="38"/>
      <c r="Z424" s="66">
        <f t="shared" si="219"/>
        <v>0</v>
      </c>
      <c r="AA424" s="67"/>
      <c r="AC424" s="41" t="e">
        <f>VLOOKUP(A424,'Input Sheet'!$A$2:$B$232,2,0)</f>
        <v>#N/A</v>
      </c>
      <c r="AD424" s="70"/>
      <c r="AI424" s="68"/>
      <c r="AL424" s="107">
        <f t="shared" ca="1" si="232"/>
        <v>0</v>
      </c>
      <c r="AM424" s="49">
        <f t="shared" ca="1" si="226"/>
        <v>56188</v>
      </c>
      <c r="AN424" s="137" t="str">
        <f t="shared" ca="1" si="233"/>
        <v xml:space="preserve"> </v>
      </c>
      <c r="AO424" s="107">
        <f t="shared" ca="1" si="222"/>
        <v>0</v>
      </c>
      <c r="AP424" s="143">
        <f t="shared" ca="1" si="220"/>
        <v>0</v>
      </c>
      <c r="AQ424" s="143">
        <f t="shared" ca="1" si="234"/>
        <v>0</v>
      </c>
      <c r="AR424" s="49" t="str">
        <f t="shared" ca="1" si="235"/>
        <v xml:space="preserve"> </v>
      </c>
      <c r="AS424" s="107">
        <f t="shared" ca="1" si="236"/>
        <v>0</v>
      </c>
      <c r="AT424" s="107">
        <f t="shared" ca="1" si="221"/>
        <v>0</v>
      </c>
      <c r="AU424" s="107"/>
      <c r="AV424" s="107">
        <f ca="1">MAX(SUM($AQ$6:AQ424)-SUM($AT$6:AT424),0)</f>
        <v>0</v>
      </c>
      <c r="AW424" s="107">
        <f t="shared" ca="1" si="227"/>
        <v>0</v>
      </c>
      <c r="AX424" s="107">
        <v>0</v>
      </c>
      <c r="AY424" s="138" t="str">
        <f t="shared" ca="1" si="237"/>
        <v xml:space="preserve"> </v>
      </c>
      <c r="AZ424" s="107">
        <f t="shared" ca="1" si="238"/>
        <v>0</v>
      </c>
      <c r="BA424" s="107">
        <f ca="1">IF(AZ424=1,(SUM($AW$6:AW424,$AX$6:AX424)-SUM($BA$6:BA423)),0)</f>
        <v>0</v>
      </c>
      <c r="BB424" s="107"/>
      <c r="BC424" s="107">
        <f ca="1">AV424+SUM($AW$6:AW424)+SUM($AX$6:AX424)-SUM($BA$6:BA424)</f>
        <v>0</v>
      </c>
      <c r="BD424" s="107">
        <f t="shared" ca="1" si="239"/>
        <v>0</v>
      </c>
      <c r="BE424" s="51">
        <f>'PiT PD Structure'!J464</f>
        <v>0</v>
      </c>
      <c r="BF424" s="139">
        <f t="shared" ca="1" si="228"/>
        <v>0.45</v>
      </c>
      <c r="BG424" s="51">
        <f t="shared" ca="1" si="240"/>
        <v>1</v>
      </c>
      <c r="BH424" s="50">
        <f t="shared" ca="1" si="241"/>
        <v>0</v>
      </c>
      <c r="BI424" s="50">
        <f t="shared" ca="1" si="242"/>
        <v>3.4816594052244909E-13</v>
      </c>
      <c r="BJ424" s="140">
        <v>0</v>
      </c>
      <c r="BK424" s="140">
        <v>0</v>
      </c>
      <c r="BR424" s="75">
        <f t="shared" ca="1" si="229"/>
        <v>56188</v>
      </c>
      <c r="BS424" s="74">
        <f t="shared" ca="1" si="243"/>
        <v>10</v>
      </c>
      <c r="BT424" s="74">
        <f t="shared" ca="1" si="223"/>
        <v>0</v>
      </c>
      <c r="BU424" s="73" t="str">
        <f t="shared" ca="1" si="244"/>
        <v xml:space="preserve"> </v>
      </c>
      <c r="BW424" s="75">
        <f t="shared" ca="1" si="245"/>
        <v>56188</v>
      </c>
      <c r="BX424" s="74">
        <f t="shared" ca="1" si="246"/>
        <v>10</v>
      </c>
      <c r="BY424" s="74">
        <f t="shared" ca="1" si="224"/>
        <v>0</v>
      </c>
      <c r="BZ424" s="73" t="str">
        <f t="shared" ca="1" si="247"/>
        <v xml:space="preserve"> </v>
      </c>
      <c r="CB424" s="75">
        <f t="shared" ca="1" si="230"/>
        <v>56188</v>
      </c>
      <c r="CC424" s="74">
        <f t="shared" ca="1" si="248"/>
        <v>10</v>
      </c>
      <c r="CD424" s="74">
        <f t="shared" ca="1" si="225"/>
        <v>0</v>
      </c>
      <c r="CE424" s="73" t="str">
        <f t="shared" ca="1" si="249"/>
        <v xml:space="preserve"> </v>
      </c>
    </row>
    <row r="425" spans="1:83" x14ac:dyDescent="0.2">
      <c r="A425" s="38" t="str">
        <f t="shared" si="231"/>
        <v xml:space="preserve"> </v>
      </c>
      <c r="B425" s="108"/>
      <c r="C425" s="38"/>
      <c r="D425" s="137"/>
      <c r="E425" s="137"/>
      <c r="F425" s="137"/>
      <c r="G425" s="122"/>
      <c r="H425" s="137"/>
      <c r="I425" s="50"/>
      <c r="J425" s="50"/>
      <c r="K425" s="50"/>
      <c r="L425" s="38"/>
      <c r="M425" s="38"/>
      <c r="N425" s="38"/>
      <c r="O425" s="50"/>
      <c r="P425" s="218"/>
      <c r="Q425" s="50"/>
      <c r="R425" s="50"/>
      <c r="S425" s="38"/>
      <c r="T425" s="51"/>
      <c r="U425" s="65"/>
      <c r="V425" s="105"/>
      <c r="W425" s="66"/>
      <c r="X425" s="66"/>
      <c r="Y425" s="38"/>
      <c r="Z425" s="66">
        <f t="shared" si="219"/>
        <v>0</v>
      </c>
      <c r="AA425" s="67"/>
      <c r="AC425" s="41" t="e">
        <f>VLOOKUP(A425,'Input Sheet'!$A$2:$B$232,2,0)</f>
        <v>#N/A</v>
      </c>
      <c r="AD425" s="70"/>
      <c r="AI425" s="68"/>
      <c r="AL425" s="107">
        <f t="shared" ca="1" si="232"/>
        <v>0</v>
      </c>
      <c r="AM425" s="49">
        <f t="shared" ca="1" si="226"/>
        <v>56218</v>
      </c>
      <c r="AN425" s="137" t="str">
        <f t="shared" ca="1" si="233"/>
        <v xml:space="preserve"> </v>
      </c>
      <c r="AO425" s="107">
        <f t="shared" ca="1" si="222"/>
        <v>0</v>
      </c>
      <c r="AP425" s="143">
        <f t="shared" ca="1" si="220"/>
        <v>0</v>
      </c>
      <c r="AQ425" s="143">
        <f t="shared" ca="1" si="234"/>
        <v>0</v>
      </c>
      <c r="AR425" s="49" t="str">
        <f t="shared" ca="1" si="235"/>
        <v xml:space="preserve"> </v>
      </c>
      <c r="AS425" s="107">
        <f t="shared" ca="1" si="236"/>
        <v>0</v>
      </c>
      <c r="AT425" s="107">
        <f t="shared" ca="1" si="221"/>
        <v>0</v>
      </c>
      <c r="AU425" s="107"/>
      <c r="AV425" s="107">
        <f ca="1">MAX(SUM($AQ$6:AQ425)-SUM($AT$6:AT425),0)</f>
        <v>0</v>
      </c>
      <c r="AW425" s="107">
        <f t="shared" ca="1" si="227"/>
        <v>0</v>
      </c>
      <c r="AX425" s="107">
        <v>0</v>
      </c>
      <c r="AY425" s="138" t="str">
        <f t="shared" ca="1" si="237"/>
        <v xml:space="preserve"> </v>
      </c>
      <c r="AZ425" s="107">
        <f t="shared" ca="1" si="238"/>
        <v>0</v>
      </c>
      <c r="BA425" s="107">
        <f ca="1">IF(AZ425=1,(SUM($AW$6:AW425,$AX$6:AX425)-SUM($BA$6:BA424)),0)</f>
        <v>0</v>
      </c>
      <c r="BB425" s="107"/>
      <c r="BC425" s="107">
        <f ca="1">AV425+SUM($AW$6:AW425)+SUM($AX$6:AX425)-SUM($BA$6:BA425)</f>
        <v>0</v>
      </c>
      <c r="BD425" s="107">
        <f t="shared" ca="1" si="239"/>
        <v>0</v>
      </c>
      <c r="BE425" s="51">
        <f>'PiT PD Structure'!J465</f>
        <v>0</v>
      </c>
      <c r="BF425" s="139">
        <f t="shared" ca="1" si="228"/>
        <v>0.45</v>
      </c>
      <c r="BG425" s="51">
        <f t="shared" ca="1" si="240"/>
        <v>1</v>
      </c>
      <c r="BH425" s="50">
        <f t="shared" ca="1" si="241"/>
        <v>0</v>
      </c>
      <c r="BI425" s="50">
        <f t="shared" ca="1" si="242"/>
        <v>3.4816594052244909E-13</v>
      </c>
      <c r="BJ425" s="140">
        <v>0</v>
      </c>
      <c r="BK425" s="140">
        <v>0</v>
      </c>
      <c r="BR425" s="75">
        <f t="shared" ca="1" si="229"/>
        <v>56218</v>
      </c>
      <c r="BS425" s="74">
        <f t="shared" ca="1" si="243"/>
        <v>11</v>
      </c>
      <c r="BT425" s="74">
        <f t="shared" ca="1" si="223"/>
        <v>0</v>
      </c>
      <c r="BU425" s="73" t="str">
        <f t="shared" ca="1" si="244"/>
        <v xml:space="preserve"> </v>
      </c>
      <c r="BW425" s="75">
        <f t="shared" ca="1" si="245"/>
        <v>56218</v>
      </c>
      <c r="BX425" s="74">
        <f t="shared" ca="1" si="246"/>
        <v>11</v>
      </c>
      <c r="BY425" s="74">
        <f t="shared" ca="1" si="224"/>
        <v>0</v>
      </c>
      <c r="BZ425" s="73" t="str">
        <f t="shared" ca="1" si="247"/>
        <v xml:space="preserve"> </v>
      </c>
      <c r="CB425" s="75">
        <f t="shared" ca="1" si="230"/>
        <v>56218</v>
      </c>
      <c r="CC425" s="74">
        <f t="shared" ca="1" si="248"/>
        <v>11</v>
      </c>
      <c r="CD425" s="74">
        <f t="shared" ca="1" si="225"/>
        <v>0</v>
      </c>
      <c r="CE425" s="73" t="str">
        <f t="shared" ca="1" si="249"/>
        <v xml:space="preserve"> </v>
      </c>
    </row>
    <row r="426" spans="1:83" x14ac:dyDescent="0.2">
      <c r="A426" s="38" t="str">
        <f t="shared" si="231"/>
        <v xml:space="preserve"> </v>
      </c>
      <c r="B426" s="108"/>
      <c r="C426" s="38"/>
      <c r="D426" s="137"/>
      <c r="E426" s="137"/>
      <c r="F426" s="137"/>
      <c r="G426" s="122"/>
      <c r="H426" s="137"/>
      <c r="I426" s="50"/>
      <c r="J426" s="50"/>
      <c r="K426" s="50"/>
      <c r="L426" s="38"/>
      <c r="M426" s="38"/>
      <c r="N426" s="38"/>
      <c r="O426" s="50"/>
      <c r="P426" s="218"/>
      <c r="Q426" s="50"/>
      <c r="R426" s="50"/>
      <c r="S426" s="38"/>
      <c r="T426" s="51"/>
      <c r="U426" s="65"/>
      <c r="V426" s="105"/>
      <c r="W426" s="66"/>
      <c r="X426" s="66"/>
      <c r="Y426" s="38"/>
      <c r="Z426" s="66">
        <f t="shared" si="219"/>
        <v>0</v>
      </c>
      <c r="AA426" s="67"/>
      <c r="AC426" s="41" t="e">
        <f>VLOOKUP(A426,'Input Sheet'!$A$2:$B$232,2,0)</f>
        <v>#N/A</v>
      </c>
      <c r="AD426" s="70"/>
      <c r="AI426" s="68"/>
      <c r="AL426" s="107">
        <f t="shared" ca="1" si="232"/>
        <v>0</v>
      </c>
      <c r="AM426" s="49">
        <f t="shared" ca="1" si="226"/>
        <v>56249</v>
      </c>
      <c r="AN426" s="137" t="str">
        <f t="shared" ca="1" si="233"/>
        <v xml:space="preserve"> </v>
      </c>
      <c r="AO426" s="107">
        <f t="shared" ca="1" si="222"/>
        <v>0</v>
      </c>
      <c r="AP426" s="143">
        <f t="shared" ca="1" si="220"/>
        <v>0</v>
      </c>
      <c r="AQ426" s="143">
        <f t="shared" ca="1" si="234"/>
        <v>0</v>
      </c>
      <c r="AR426" s="49" t="str">
        <f t="shared" ca="1" si="235"/>
        <v xml:space="preserve"> </v>
      </c>
      <c r="AS426" s="107">
        <f t="shared" ca="1" si="236"/>
        <v>0</v>
      </c>
      <c r="AT426" s="107">
        <f t="shared" ca="1" si="221"/>
        <v>0</v>
      </c>
      <c r="AU426" s="107"/>
      <c r="AV426" s="107">
        <f ca="1">MAX(SUM($AQ$6:AQ426)-SUM($AT$6:AT426),0)</f>
        <v>0</v>
      </c>
      <c r="AW426" s="107">
        <f t="shared" ca="1" si="227"/>
        <v>0</v>
      </c>
      <c r="AX426" s="107">
        <v>0</v>
      </c>
      <c r="AY426" s="138" t="str">
        <f t="shared" ca="1" si="237"/>
        <v xml:space="preserve"> </v>
      </c>
      <c r="AZ426" s="107">
        <f t="shared" ca="1" si="238"/>
        <v>0</v>
      </c>
      <c r="BA426" s="107">
        <f ca="1">IF(AZ426=1,(SUM($AW$6:AW426,$AX$6:AX426)-SUM($BA$6:BA425)),0)</f>
        <v>0</v>
      </c>
      <c r="BB426" s="107"/>
      <c r="BC426" s="107">
        <f ca="1">AV426+SUM($AW$6:AW426)+SUM($AX$6:AX426)-SUM($BA$6:BA426)</f>
        <v>0</v>
      </c>
      <c r="BD426" s="107">
        <f t="shared" ca="1" si="239"/>
        <v>0</v>
      </c>
      <c r="BE426" s="51">
        <f>'PiT PD Structure'!J466</f>
        <v>0</v>
      </c>
      <c r="BF426" s="139">
        <f t="shared" ca="1" si="228"/>
        <v>0.45</v>
      </c>
      <c r="BG426" s="51">
        <f t="shared" ca="1" si="240"/>
        <v>1</v>
      </c>
      <c r="BH426" s="50">
        <f t="shared" ca="1" si="241"/>
        <v>0</v>
      </c>
      <c r="BI426" s="50">
        <f t="shared" ca="1" si="242"/>
        <v>3.4816594052244909E-13</v>
      </c>
      <c r="BJ426" s="140">
        <v>0</v>
      </c>
      <c r="BK426" s="140">
        <v>0</v>
      </c>
      <c r="BR426" s="75">
        <f t="shared" ca="1" si="229"/>
        <v>56249</v>
      </c>
      <c r="BS426" s="74">
        <f t="shared" ca="1" si="243"/>
        <v>12</v>
      </c>
      <c r="BT426" s="74">
        <f t="shared" ca="1" si="223"/>
        <v>0</v>
      </c>
      <c r="BU426" s="73" t="str">
        <f t="shared" ca="1" si="244"/>
        <v xml:space="preserve"> </v>
      </c>
      <c r="BW426" s="75">
        <f t="shared" ca="1" si="245"/>
        <v>56249</v>
      </c>
      <c r="BX426" s="74">
        <f t="shared" ca="1" si="246"/>
        <v>12</v>
      </c>
      <c r="BY426" s="74">
        <f t="shared" ca="1" si="224"/>
        <v>0</v>
      </c>
      <c r="BZ426" s="73" t="str">
        <f t="shared" ca="1" si="247"/>
        <v xml:space="preserve"> </v>
      </c>
      <c r="CB426" s="75">
        <f t="shared" ca="1" si="230"/>
        <v>56249</v>
      </c>
      <c r="CC426" s="74">
        <f t="shared" ca="1" si="248"/>
        <v>12</v>
      </c>
      <c r="CD426" s="74">
        <f t="shared" ca="1" si="225"/>
        <v>0</v>
      </c>
      <c r="CE426" s="73" t="str">
        <f t="shared" ca="1" si="249"/>
        <v xml:space="preserve"> </v>
      </c>
    </row>
    <row r="427" spans="1:83" x14ac:dyDescent="0.2">
      <c r="A427" s="38" t="str">
        <f t="shared" si="231"/>
        <v xml:space="preserve"> </v>
      </c>
      <c r="B427" s="108"/>
      <c r="C427" s="38"/>
      <c r="D427" s="137"/>
      <c r="E427" s="137"/>
      <c r="F427" s="137"/>
      <c r="G427" s="122"/>
      <c r="H427" s="137"/>
      <c r="I427" s="50"/>
      <c r="J427" s="50"/>
      <c r="K427" s="50"/>
      <c r="L427" s="38"/>
      <c r="M427" s="38"/>
      <c r="N427" s="38"/>
      <c r="O427" s="50"/>
      <c r="P427" s="218"/>
      <c r="Q427" s="50"/>
      <c r="R427" s="50"/>
      <c r="S427" s="38"/>
      <c r="T427" s="51"/>
      <c r="U427" s="65"/>
      <c r="V427" s="105"/>
      <c r="W427" s="66"/>
      <c r="X427" s="66"/>
      <c r="Y427" s="38"/>
      <c r="Z427" s="66">
        <f t="shared" si="219"/>
        <v>0</v>
      </c>
      <c r="AA427" s="67"/>
      <c r="AC427" s="41" t="e">
        <f>VLOOKUP(A427,'Input Sheet'!$A$2:$B$232,2,0)</f>
        <v>#N/A</v>
      </c>
      <c r="AD427" s="70"/>
      <c r="AI427" s="68"/>
      <c r="AL427" s="107">
        <f t="shared" ca="1" si="232"/>
        <v>0</v>
      </c>
      <c r="AM427" s="49">
        <f t="shared" ca="1" si="226"/>
        <v>56280</v>
      </c>
      <c r="AN427" s="137" t="str">
        <f t="shared" ca="1" si="233"/>
        <v xml:space="preserve"> </v>
      </c>
      <c r="AO427" s="107">
        <f t="shared" ca="1" si="222"/>
        <v>0</v>
      </c>
      <c r="AP427" s="143">
        <f t="shared" ca="1" si="220"/>
        <v>0</v>
      </c>
      <c r="AQ427" s="143">
        <f t="shared" ca="1" si="234"/>
        <v>0</v>
      </c>
      <c r="AR427" s="49" t="str">
        <f t="shared" ca="1" si="235"/>
        <v xml:space="preserve"> </v>
      </c>
      <c r="AS427" s="107">
        <f t="shared" ca="1" si="236"/>
        <v>0</v>
      </c>
      <c r="AT427" s="107">
        <f t="shared" ca="1" si="221"/>
        <v>0</v>
      </c>
      <c r="AU427" s="107"/>
      <c r="AV427" s="107">
        <f ca="1">MAX(SUM($AQ$6:AQ427)-SUM($AT$6:AT427),0)</f>
        <v>0</v>
      </c>
      <c r="AW427" s="107">
        <f t="shared" ca="1" si="227"/>
        <v>0</v>
      </c>
      <c r="AX427" s="107">
        <v>0</v>
      </c>
      <c r="AY427" s="138" t="str">
        <f t="shared" ca="1" si="237"/>
        <v xml:space="preserve"> </v>
      </c>
      <c r="AZ427" s="107">
        <f t="shared" ca="1" si="238"/>
        <v>0</v>
      </c>
      <c r="BA427" s="107">
        <f ca="1">IF(AZ427=1,(SUM($AW$6:AW427,$AX$6:AX427)-SUM($BA$6:BA426)),0)</f>
        <v>0</v>
      </c>
      <c r="BB427" s="107"/>
      <c r="BC427" s="107">
        <f ca="1">AV427+SUM($AW$6:AW427)+SUM($AX$6:AX427)-SUM($BA$6:BA427)</f>
        <v>0</v>
      </c>
      <c r="BD427" s="107">
        <f t="shared" ca="1" si="239"/>
        <v>0</v>
      </c>
      <c r="BE427" s="51">
        <f>'PiT PD Structure'!J467</f>
        <v>0</v>
      </c>
      <c r="BF427" s="139">
        <f t="shared" ca="1" si="228"/>
        <v>0.45</v>
      </c>
      <c r="BG427" s="51">
        <f t="shared" ca="1" si="240"/>
        <v>1</v>
      </c>
      <c r="BH427" s="50">
        <f t="shared" ca="1" si="241"/>
        <v>0</v>
      </c>
      <c r="BI427" s="50">
        <f t="shared" ca="1" si="242"/>
        <v>3.4816594052244909E-13</v>
      </c>
      <c r="BJ427" s="140">
        <v>0</v>
      </c>
      <c r="BK427" s="140">
        <v>0</v>
      </c>
      <c r="BR427" s="75">
        <f t="shared" ca="1" si="229"/>
        <v>56280</v>
      </c>
      <c r="BS427" s="74">
        <f t="shared" ca="1" si="243"/>
        <v>1</v>
      </c>
      <c r="BT427" s="74">
        <f t="shared" ca="1" si="223"/>
        <v>0</v>
      </c>
      <c r="BU427" s="73" t="str">
        <f t="shared" ca="1" si="244"/>
        <v xml:space="preserve"> </v>
      </c>
      <c r="BW427" s="75">
        <f t="shared" ca="1" si="245"/>
        <v>56280</v>
      </c>
      <c r="BX427" s="74">
        <f t="shared" ca="1" si="246"/>
        <v>1</v>
      </c>
      <c r="BY427" s="74">
        <f t="shared" ca="1" si="224"/>
        <v>0</v>
      </c>
      <c r="BZ427" s="73" t="str">
        <f t="shared" ca="1" si="247"/>
        <v xml:space="preserve"> </v>
      </c>
      <c r="CB427" s="75">
        <f t="shared" ca="1" si="230"/>
        <v>56280</v>
      </c>
      <c r="CC427" s="74">
        <f t="shared" ca="1" si="248"/>
        <v>1</v>
      </c>
      <c r="CD427" s="74">
        <f t="shared" ca="1" si="225"/>
        <v>0</v>
      </c>
      <c r="CE427" s="73" t="str">
        <f t="shared" ca="1" si="249"/>
        <v xml:space="preserve"> </v>
      </c>
    </row>
    <row r="428" spans="1:83" x14ac:dyDescent="0.2">
      <c r="A428" s="38" t="str">
        <f t="shared" si="231"/>
        <v xml:space="preserve"> </v>
      </c>
      <c r="B428" s="108"/>
      <c r="C428" s="38"/>
      <c r="D428" s="137"/>
      <c r="E428" s="137"/>
      <c r="F428" s="137"/>
      <c r="G428" s="122"/>
      <c r="H428" s="137"/>
      <c r="I428" s="50"/>
      <c r="J428" s="50"/>
      <c r="K428" s="50"/>
      <c r="L428" s="38"/>
      <c r="M428" s="38"/>
      <c r="N428" s="38"/>
      <c r="O428" s="50"/>
      <c r="P428" s="218"/>
      <c r="Q428" s="50"/>
      <c r="R428" s="50"/>
      <c r="S428" s="38"/>
      <c r="T428" s="51"/>
      <c r="U428" s="65"/>
      <c r="V428" s="105"/>
      <c r="W428" s="66"/>
      <c r="X428" s="66"/>
      <c r="Y428" s="38"/>
      <c r="Z428" s="66">
        <f t="shared" si="219"/>
        <v>0</v>
      </c>
      <c r="AA428" s="67"/>
      <c r="AC428" s="41" t="e">
        <f>VLOOKUP(A428,'Input Sheet'!$A$2:$B$232,2,0)</f>
        <v>#N/A</v>
      </c>
      <c r="AD428" s="70"/>
      <c r="AI428" s="68"/>
      <c r="AL428" s="107">
        <f t="shared" ca="1" si="232"/>
        <v>0</v>
      </c>
      <c r="AM428" s="49">
        <f t="shared" ca="1" si="226"/>
        <v>56308</v>
      </c>
      <c r="AN428" s="137" t="str">
        <f t="shared" ca="1" si="233"/>
        <v xml:space="preserve"> </v>
      </c>
      <c r="AO428" s="107">
        <f t="shared" ca="1" si="222"/>
        <v>0</v>
      </c>
      <c r="AP428" s="143">
        <f t="shared" ca="1" si="220"/>
        <v>0</v>
      </c>
      <c r="AQ428" s="143">
        <f t="shared" ca="1" si="234"/>
        <v>0</v>
      </c>
      <c r="AR428" s="49" t="str">
        <f t="shared" ca="1" si="235"/>
        <v xml:space="preserve"> </v>
      </c>
      <c r="AS428" s="107">
        <f t="shared" ca="1" si="236"/>
        <v>0</v>
      </c>
      <c r="AT428" s="107">
        <f t="shared" ca="1" si="221"/>
        <v>0</v>
      </c>
      <c r="AU428" s="107"/>
      <c r="AV428" s="107">
        <f ca="1">MAX(SUM($AQ$6:AQ428)-SUM($AT$6:AT428),0)</f>
        <v>0</v>
      </c>
      <c r="AW428" s="107">
        <f t="shared" ca="1" si="227"/>
        <v>0</v>
      </c>
      <c r="AX428" s="107">
        <v>0</v>
      </c>
      <c r="AY428" s="138" t="str">
        <f t="shared" ca="1" si="237"/>
        <v xml:space="preserve"> </v>
      </c>
      <c r="AZ428" s="107">
        <f t="shared" ca="1" si="238"/>
        <v>0</v>
      </c>
      <c r="BA428" s="107">
        <f ca="1">IF(AZ428=1,(SUM($AW$6:AW428,$AX$6:AX428)-SUM($BA$6:BA427)),0)</f>
        <v>0</v>
      </c>
      <c r="BB428" s="107"/>
      <c r="BC428" s="107">
        <f ca="1">AV428+SUM($AW$6:AW428)+SUM($AX$6:AX428)-SUM($BA$6:BA428)</f>
        <v>0</v>
      </c>
      <c r="BD428" s="107">
        <f t="shared" ca="1" si="239"/>
        <v>0</v>
      </c>
      <c r="BE428" s="51">
        <f>'PiT PD Structure'!J468</f>
        <v>0</v>
      </c>
      <c r="BF428" s="139">
        <f t="shared" ca="1" si="228"/>
        <v>0.45</v>
      </c>
      <c r="BG428" s="51">
        <f t="shared" ca="1" si="240"/>
        <v>1</v>
      </c>
      <c r="BH428" s="50">
        <f t="shared" ca="1" si="241"/>
        <v>0</v>
      </c>
      <c r="BI428" s="50">
        <f t="shared" ca="1" si="242"/>
        <v>3.4816594052244909E-13</v>
      </c>
      <c r="BJ428" s="140">
        <v>0</v>
      </c>
      <c r="BK428" s="140">
        <v>0</v>
      </c>
      <c r="BR428" s="75">
        <f t="shared" ca="1" si="229"/>
        <v>56308</v>
      </c>
      <c r="BS428" s="74">
        <f t="shared" ca="1" si="243"/>
        <v>2</v>
      </c>
      <c r="BT428" s="74">
        <f t="shared" ca="1" si="223"/>
        <v>0</v>
      </c>
      <c r="BU428" s="73" t="str">
        <f t="shared" ca="1" si="244"/>
        <v xml:space="preserve"> </v>
      </c>
      <c r="BW428" s="75">
        <f t="shared" ca="1" si="245"/>
        <v>56308</v>
      </c>
      <c r="BX428" s="74">
        <f t="shared" ca="1" si="246"/>
        <v>2</v>
      </c>
      <c r="BY428" s="74">
        <f t="shared" ca="1" si="224"/>
        <v>0</v>
      </c>
      <c r="BZ428" s="73" t="str">
        <f t="shared" ca="1" si="247"/>
        <v xml:space="preserve"> </v>
      </c>
      <c r="CB428" s="75">
        <f t="shared" ca="1" si="230"/>
        <v>56308</v>
      </c>
      <c r="CC428" s="74">
        <f t="shared" ca="1" si="248"/>
        <v>2</v>
      </c>
      <c r="CD428" s="74">
        <f t="shared" ca="1" si="225"/>
        <v>0</v>
      </c>
      <c r="CE428" s="73" t="str">
        <f t="shared" ca="1" si="249"/>
        <v xml:space="preserve"> </v>
      </c>
    </row>
    <row r="429" spans="1:83" x14ac:dyDescent="0.2">
      <c r="A429" s="38" t="str">
        <f t="shared" si="231"/>
        <v xml:space="preserve"> </v>
      </c>
      <c r="B429" s="108"/>
      <c r="C429" s="38"/>
      <c r="D429" s="137"/>
      <c r="E429" s="137"/>
      <c r="F429" s="137"/>
      <c r="G429" s="122"/>
      <c r="H429" s="137"/>
      <c r="I429" s="50"/>
      <c r="J429" s="50"/>
      <c r="K429" s="50"/>
      <c r="L429" s="38"/>
      <c r="M429" s="38"/>
      <c r="N429" s="38"/>
      <c r="O429" s="50"/>
      <c r="P429" s="218"/>
      <c r="Q429" s="50"/>
      <c r="R429" s="50"/>
      <c r="S429" s="38"/>
      <c r="T429" s="51"/>
      <c r="U429" s="65"/>
      <c r="V429" s="105"/>
      <c r="W429" s="66"/>
      <c r="X429" s="66"/>
      <c r="Y429" s="38"/>
      <c r="Z429" s="66">
        <f t="shared" si="219"/>
        <v>0</v>
      </c>
      <c r="AA429" s="67"/>
      <c r="AC429" s="41" t="e">
        <f>VLOOKUP(A429,'Input Sheet'!$A$2:$B$232,2,0)</f>
        <v>#N/A</v>
      </c>
      <c r="AD429" s="70"/>
      <c r="AI429" s="68"/>
      <c r="AL429" s="107">
        <f t="shared" ca="1" si="232"/>
        <v>0</v>
      </c>
      <c r="AM429" s="49">
        <f t="shared" ca="1" si="226"/>
        <v>56339</v>
      </c>
      <c r="AN429" s="137" t="str">
        <f t="shared" ca="1" si="233"/>
        <v xml:space="preserve"> </v>
      </c>
      <c r="AO429" s="107">
        <f t="shared" ca="1" si="222"/>
        <v>0</v>
      </c>
      <c r="AP429" s="143">
        <f t="shared" ca="1" si="220"/>
        <v>0</v>
      </c>
      <c r="AQ429" s="143">
        <f t="shared" ca="1" si="234"/>
        <v>0</v>
      </c>
      <c r="AR429" s="49" t="str">
        <f t="shared" ca="1" si="235"/>
        <v xml:space="preserve"> </v>
      </c>
      <c r="AS429" s="107">
        <f t="shared" ca="1" si="236"/>
        <v>0</v>
      </c>
      <c r="AT429" s="107">
        <f t="shared" ca="1" si="221"/>
        <v>0</v>
      </c>
      <c r="AU429" s="107"/>
      <c r="AV429" s="107">
        <f ca="1">MAX(SUM($AQ$6:AQ429)-SUM($AT$6:AT429),0)</f>
        <v>0</v>
      </c>
      <c r="AW429" s="107">
        <f t="shared" ca="1" si="227"/>
        <v>0</v>
      </c>
      <c r="AX429" s="107">
        <v>0</v>
      </c>
      <c r="AY429" s="138" t="str">
        <f t="shared" ca="1" si="237"/>
        <v xml:space="preserve"> </v>
      </c>
      <c r="AZ429" s="107">
        <f t="shared" ca="1" si="238"/>
        <v>0</v>
      </c>
      <c r="BA429" s="107">
        <f ca="1">IF(AZ429=1,(SUM($AW$6:AW429,$AX$6:AX429)-SUM($BA$6:BA428)),0)</f>
        <v>0</v>
      </c>
      <c r="BB429" s="107"/>
      <c r="BC429" s="107">
        <f ca="1">AV429+SUM($AW$6:AW429)+SUM($AX$6:AX429)-SUM($BA$6:BA429)</f>
        <v>0</v>
      </c>
      <c r="BD429" s="107">
        <f t="shared" ca="1" si="239"/>
        <v>0</v>
      </c>
      <c r="BE429" s="51">
        <f>'PiT PD Structure'!J469</f>
        <v>0</v>
      </c>
      <c r="BF429" s="139">
        <f t="shared" ca="1" si="228"/>
        <v>0.45</v>
      </c>
      <c r="BG429" s="51">
        <f t="shared" ca="1" si="240"/>
        <v>1</v>
      </c>
      <c r="BH429" s="50">
        <f t="shared" ca="1" si="241"/>
        <v>0</v>
      </c>
      <c r="BI429" s="50">
        <f t="shared" ca="1" si="242"/>
        <v>3.4816594052244909E-13</v>
      </c>
      <c r="BJ429" s="140">
        <v>0</v>
      </c>
      <c r="BK429" s="140">
        <v>0</v>
      </c>
      <c r="BR429" s="75">
        <f t="shared" ca="1" si="229"/>
        <v>56339</v>
      </c>
      <c r="BS429" s="74">
        <f t="shared" ca="1" si="243"/>
        <v>3</v>
      </c>
      <c r="BT429" s="74">
        <f t="shared" ca="1" si="223"/>
        <v>0</v>
      </c>
      <c r="BU429" s="73" t="str">
        <f t="shared" ca="1" si="244"/>
        <v xml:space="preserve"> </v>
      </c>
      <c r="BW429" s="75">
        <f t="shared" ca="1" si="245"/>
        <v>56339</v>
      </c>
      <c r="BX429" s="74">
        <f t="shared" ca="1" si="246"/>
        <v>3</v>
      </c>
      <c r="BY429" s="74">
        <f t="shared" ca="1" si="224"/>
        <v>0</v>
      </c>
      <c r="BZ429" s="73" t="str">
        <f t="shared" ca="1" si="247"/>
        <v xml:space="preserve"> </v>
      </c>
      <c r="CB429" s="75">
        <f t="shared" ca="1" si="230"/>
        <v>56339</v>
      </c>
      <c r="CC429" s="74">
        <f t="shared" ca="1" si="248"/>
        <v>3</v>
      </c>
      <c r="CD429" s="74">
        <f t="shared" ca="1" si="225"/>
        <v>0</v>
      </c>
      <c r="CE429" s="73" t="str">
        <f t="shared" ca="1" si="249"/>
        <v xml:space="preserve"> </v>
      </c>
    </row>
    <row r="430" spans="1:83" x14ac:dyDescent="0.2">
      <c r="A430" s="38" t="str">
        <f t="shared" si="231"/>
        <v xml:space="preserve"> </v>
      </c>
      <c r="B430" s="108"/>
      <c r="C430" s="38"/>
      <c r="D430" s="137"/>
      <c r="E430" s="137"/>
      <c r="F430" s="137"/>
      <c r="G430" s="122"/>
      <c r="H430" s="137"/>
      <c r="I430" s="50"/>
      <c r="J430" s="50"/>
      <c r="K430" s="50"/>
      <c r="L430" s="38"/>
      <c r="M430" s="38"/>
      <c r="N430" s="38"/>
      <c r="O430" s="50"/>
      <c r="P430" s="218"/>
      <c r="Q430" s="50"/>
      <c r="R430" s="50"/>
      <c r="S430" s="38"/>
      <c r="T430" s="51"/>
      <c r="U430" s="65"/>
      <c r="V430" s="105"/>
      <c r="W430" s="66"/>
      <c r="X430" s="66"/>
      <c r="Y430" s="38"/>
      <c r="Z430" s="66">
        <f t="shared" si="219"/>
        <v>0</v>
      </c>
      <c r="AA430" s="67"/>
      <c r="AC430" s="41" t="e">
        <f>VLOOKUP(A430,'Input Sheet'!$A$2:$B$232,2,0)</f>
        <v>#N/A</v>
      </c>
      <c r="AD430" s="70"/>
      <c r="AI430" s="68"/>
      <c r="AL430" s="107">
        <f t="shared" ca="1" si="232"/>
        <v>0</v>
      </c>
      <c r="AM430" s="49">
        <f t="shared" ca="1" si="226"/>
        <v>56369</v>
      </c>
      <c r="AN430" s="137" t="str">
        <f t="shared" ca="1" si="233"/>
        <v xml:space="preserve"> </v>
      </c>
      <c r="AO430" s="107">
        <f t="shared" ca="1" si="222"/>
        <v>0</v>
      </c>
      <c r="AP430" s="143">
        <f t="shared" ca="1" si="220"/>
        <v>0</v>
      </c>
      <c r="AQ430" s="143">
        <f t="shared" ca="1" si="234"/>
        <v>0</v>
      </c>
      <c r="AR430" s="49" t="str">
        <f t="shared" ca="1" si="235"/>
        <v xml:space="preserve"> </v>
      </c>
      <c r="AS430" s="107">
        <f t="shared" ca="1" si="236"/>
        <v>0</v>
      </c>
      <c r="AT430" s="107">
        <f t="shared" ca="1" si="221"/>
        <v>0</v>
      </c>
      <c r="AU430" s="107"/>
      <c r="AV430" s="107">
        <f ca="1">MAX(SUM($AQ$6:AQ430)-SUM($AT$6:AT430),0)</f>
        <v>0</v>
      </c>
      <c r="AW430" s="107">
        <f t="shared" ca="1" si="227"/>
        <v>0</v>
      </c>
      <c r="AX430" s="107">
        <v>0</v>
      </c>
      <c r="AY430" s="138" t="str">
        <f t="shared" ca="1" si="237"/>
        <v xml:space="preserve"> </v>
      </c>
      <c r="AZ430" s="107">
        <f t="shared" ca="1" si="238"/>
        <v>0</v>
      </c>
      <c r="BA430" s="107">
        <f ca="1">IF(AZ430=1,(SUM($AW$6:AW430,$AX$6:AX430)-SUM($BA$6:BA429)),0)</f>
        <v>0</v>
      </c>
      <c r="BB430" s="107"/>
      <c r="BC430" s="107">
        <f ca="1">AV430+SUM($AW$6:AW430)+SUM($AX$6:AX430)-SUM($BA$6:BA430)</f>
        <v>0</v>
      </c>
      <c r="BD430" s="107">
        <f t="shared" ca="1" si="239"/>
        <v>0</v>
      </c>
      <c r="BE430" s="51">
        <f>'PiT PD Structure'!J470</f>
        <v>0</v>
      </c>
      <c r="BF430" s="139">
        <f t="shared" ca="1" si="228"/>
        <v>0.45</v>
      </c>
      <c r="BG430" s="51">
        <f t="shared" ca="1" si="240"/>
        <v>1</v>
      </c>
      <c r="BH430" s="50">
        <f t="shared" ca="1" si="241"/>
        <v>0</v>
      </c>
      <c r="BI430" s="50">
        <f t="shared" ca="1" si="242"/>
        <v>3.4816594052244909E-13</v>
      </c>
      <c r="BJ430" s="140">
        <v>0</v>
      </c>
      <c r="BK430" s="140">
        <v>0</v>
      </c>
      <c r="BR430" s="75">
        <f t="shared" ca="1" si="229"/>
        <v>56369</v>
      </c>
      <c r="BS430" s="74">
        <f t="shared" ca="1" si="243"/>
        <v>4</v>
      </c>
      <c r="BT430" s="74">
        <f t="shared" ca="1" si="223"/>
        <v>0</v>
      </c>
      <c r="BU430" s="73" t="str">
        <f t="shared" ca="1" si="244"/>
        <v xml:space="preserve"> </v>
      </c>
      <c r="BW430" s="75">
        <f t="shared" ca="1" si="245"/>
        <v>56369</v>
      </c>
      <c r="BX430" s="74">
        <f t="shared" ca="1" si="246"/>
        <v>4</v>
      </c>
      <c r="BY430" s="74">
        <f t="shared" ca="1" si="224"/>
        <v>0</v>
      </c>
      <c r="BZ430" s="73" t="str">
        <f t="shared" ca="1" si="247"/>
        <v xml:space="preserve"> </v>
      </c>
      <c r="CB430" s="75">
        <f t="shared" ca="1" si="230"/>
        <v>56369</v>
      </c>
      <c r="CC430" s="74">
        <f t="shared" ca="1" si="248"/>
        <v>4</v>
      </c>
      <c r="CD430" s="74">
        <f t="shared" ca="1" si="225"/>
        <v>0</v>
      </c>
      <c r="CE430" s="73" t="str">
        <f t="shared" ca="1" si="249"/>
        <v xml:space="preserve"> </v>
      </c>
    </row>
    <row r="431" spans="1:83" x14ac:dyDescent="0.2">
      <c r="A431" s="38" t="str">
        <f t="shared" si="231"/>
        <v xml:space="preserve"> </v>
      </c>
      <c r="B431" s="108"/>
      <c r="C431" s="38"/>
      <c r="D431" s="137"/>
      <c r="E431" s="137"/>
      <c r="F431" s="137"/>
      <c r="G431" s="122"/>
      <c r="H431" s="137"/>
      <c r="I431" s="50"/>
      <c r="J431" s="50"/>
      <c r="K431" s="50"/>
      <c r="L431" s="38"/>
      <c r="M431" s="38"/>
      <c r="N431" s="38"/>
      <c r="O431" s="50"/>
      <c r="P431" s="218"/>
      <c r="Q431" s="50"/>
      <c r="R431" s="50"/>
      <c r="S431" s="38"/>
      <c r="T431" s="51"/>
      <c r="U431" s="65"/>
      <c r="V431" s="105"/>
      <c r="W431" s="66"/>
      <c r="X431" s="66"/>
      <c r="Y431" s="38"/>
      <c r="Z431" s="66">
        <f t="shared" si="219"/>
        <v>0</v>
      </c>
      <c r="AA431" s="67"/>
      <c r="AC431" s="41" t="e">
        <f>VLOOKUP(A431,'Input Sheet'!$A$2:$B$232,2,0)</f>
        <v>#N/A</v>
      </c>
      <c r="AD431" s="70"/>
      <c r="AI431" s="68"/>
      <c r="AL431" s="107">
        <f t="shared" ca="1" si="232"/>
        <v>0</v>
      </c>
      <c r="AM431" s="49">
        <f t="shared" ca="1" si="226"/>
        <v>56400</v>
      </c>
      <c r="AN431" s="137" t="str">
        <f t="shared" ca="1" si="233"/>
        <v xml:space="preserve"> </v>
      </c>
      <c r="AO431" s="107">
        <f t="shared" ca="1" si="222"/>
        <v>0</v>
      </c>
      <c r="AP431" s="143">
        <f t="shared" ca="1" si="220"/>
        <v>0</v>
      </c>
      <c r="AQ431" s="143">
        <f t="shared" ca="1" si="234"/>
        <v>0</v>
      </c>
      <c r="AR431" s="49" t="str">
        <f t="shared" ca="1" si="235"/>
        <v xml:space="preserve"> </v>
      </c>
      <c r="AS431" s="107">
        <f t="shared" ca="1" si="236"/>
        <v>0</v>
      </c>
      <c r="AT431" s="107">
        <f t="shared" ca="1" si="221"/>
        <v>0</v>
      </c>
      <c r="AU431" s="107"/>
      <c r="AV431" s="107">
        <f ca="1">MAX(SUM($AQ$6:AQ431)-SUM($AT$6:AT431),0)</f>
        <v>0</v>
      </c>
      <c r="AW431" s="107">
        <f t="shared" ca="1" si="227"/>
        <v>0</v>
      </c>
      <c r="AX431" s="107">
        <v>0</v>
      </c>
      <c r="AY431" s="138" t="str">
        <f t="shared" ca="1" si="237"/>
        <v xml:space="preserve"> </v>
      </c>
      <c r="AZ431" s="107">
        <f t="shared" ca="1" si="238"/>
        <v>0</v>
      </c>
      <c r="BA431" s="107">
        <f ca="1">IF(AZ431=1,(SUM($AW$6:AW431,$AX$6:AX431)-SUM($BA$6:BA430)),0)</f>
        <v>0</v>
      </c>
      <c r="BB431" s="107"/>
      <c r="BC431" s="107">
        <f ca="1">AV431+SUM($AW$6:AW431)+SUM($AX$6:AX431)-SUM($BA$6:BA431)</f>
        <v>0</v>
      </c>
      <c r="BD431" s="107">
        <f t="shared" ca="1" si="239"/>
        <v>0</v>
      </c>
      <c r="BE431" s="51">
        <f>'PiT PD Structure'!J471</f>
        <v>0</v>
      </c>
      <c r="BF431" s="139">
        <f t="shared" ca="1" si="228"/>
        <v>0.45</v>
      </c>
      <c r="BG431" s="51">
        <f t="shared" ca="1" si="240"/>
        <v>1</v>
      </c>
      <c r="BH431" s="50">
        <f t="shared" ca="1" si="241"/>
        <v>0</v>
      </c>
      <c r="BI431" s="50">
        <f t="shared" ca="1" si="242"/>
        <v>3.4816594052244909E-13</v>
      </c>
      <c r="BJ431" s="140">
        <v>0</v>
      </c>
      <c r="BK431" s="140">
        <v>0</v>
      </c>
      <c r="BR431" s="75">
        <f t="shared" ca="1" si="229"/>
        <v>56400</v>
      </c>
      <c r="BS431" s="74">
        <f t="shared" ca="1" si="243"/>
        <v>5</v>
      </c>
      <c r="BT431" s="74">
        <f t="shared" ca="1" si="223"/>
        <v>0</v>
      </c>
      <c r="BU431" s="73" t="str">
        <f t="shared" ca="1" si="244"/>
        <v xml:space="preserve"> </v>
      </c>
      <c r="BW431" s="75">
        <f t="shared" ca="1" si="245"/>
        <v>56400</v>
      </c>
      <c r="BX431" s="74">
        <f t="shared" ca="1" si="246"/>
        <v>5</v>
      </c>
      <c r="BY431" s="74">
        <f t="shared" ca="1" si="224"/>
        <v>0</v>
      </c>
      <c r="BZ431" s="73" t="str">
        <f t="shared" ca="1" si="247"/>
        <v xml:space="preserve"> </v>
      </c>
      <c r="CB431" s="75">
        <f t="shared" ca="1" si="230"/>
        <v>56400</v>
      </c>
      <c r="CC431" s="74">
        <f t="shared" ca="1" si="248"/>
        <v>5</v>
      </c>
      <c r="CD431" s="74">
        <f t="shared" ca="1" si="225"/>
        <v>0</v>
      </c>
      <c r="CE431" s="73" t="str">
        <f t="shared" ca="1" si="249"/>
        <v xml:space="preserve"> </v>
      </c>
    </row>
    <row r="432" spans="1:83" x14ac:dyDescent="0.2">
      <c r="A432" s="38" t="str">
        <f t="shared" si="231"/>
        <v xml:space="preserve"> </v>
      </c>
      <c r="B432" s="108"/>
      <c r="C432" s="38"/>
      <c r="D432" s="137"/>
      <c r="E432" s="137"/>
      <c r="F432" s="137"/>
      <c r="G432" s="122"/>
      <c r="H432" s="137"/>
      <c r="I432" s="50"/>
      <c r="J432" s="50"/>
      <c r="K432" s="50"/>
      <c r="L432" s="38"/>
      <c r="M432" s="38"/>
      <c r="N432" s="38"/>
      <c r="O432" s="50"/>
      <c r="P432" s="218"/>
      <c r="Q432" s="50"/>
      <c r="R432" s="50"/>
      <c r="S432" s="38"/>
      <c r="T432" s="51"/>
      <c r="U432" s="65"/>
      <c r="V432" s="105"/>
      <c r="W432" s="66"/>
      <c r="X432" s="66"/>
      <c r="Y432" s="38"/>
      <c r="Z432" s="66">
        <f t="shared" si="219"/>
        <v>0</v>
      </c>
      <c r="AA432" s="67"/>
      <c r="AC432" s="41" t="e">
        <f>VLOOKUP(A432,'Input Sheet'!$A$2:$B$232,2,0)</f>
        <v>#N/A</v>
      </c>
      <c r="AD432" s="70"/>
      <c r="AI432" s="68"/>
      <c r="AL432" s="107">
        <f t="shared" ca="1" si="232"/>
        <v>0</v>
      </c>
      <c r="AM432" s="49">
        <f t="shared" ca="1" si="226"/>
        <v>56430</v>
      </c>
      <c r="AN432" s="137" t="str">
        <f t="shared" ca="1" si="233"/>
        <v xml:space="preserve"> </v>
      </c>
      <c r="AO432" s="107">
        <f t="shared" ca="1" si="222"/>
        <v>0</v>
      </c>
      <c r="AP432" s="143">
        <f t="shared" ca="1" si="220"/>
        <v>0</v>
      </c>
      <c r="AQ432" s="143">
        <f t="shared" ca="1" si="234"/>
        <v>0</v>
      </c>
      <c r="AR432" s="49" t="str">
        <f t="shared" ca="1" si="235"/>
        <v xml:space="preserve"> </v>
      </c>
      <c r="AS432" s="107">
        <f t="shared" ca="1" si="236"/>
        <v>0</v>
      </c>
      <c r="AT432" s="107">
        <f t="shared" ca="1" si="221"/>
        <v>0</v>
      </c>
      <c r="AU432" s="107"/>
      <c r="AV432" s="107">
        <f ca="1">MAX(SUM($AQ$6:AQ432)-SUM($AT$6:AT432),0)</f>
        <v>0</v>
      </c>
      <c r="AW432" s="107">
        <f t="shared" ca="1" si="227"/>
        <v>0</v>
      </c>
      <c r="AX432" s="107">
        <v>0</v>
      </c>
      <c r="AY432" s="138" t="str">
        <f t="shared" ca="1" si="237"/>
        <v xml:space="preserve"> </v>
      </c>
      <c r="AZ432" s="107">
        <f t="shared" ca="1" si="238"/>
        <v>0</v>
      </c>
      <c r="BA432" s="107">
        <f ca="1">IF(AZ432=1,(SUM($AW$6:AW432,$AX$6:AX432)-SUM($BA$6:BA431)),0)</f>
        <v>0</v>
      </c>
      <c r="BB432" s="107"/>
      <c r="BC432" s="107">
        <f ca="1">AV432+SUM($AW$6:AW432)+SUM($AX$6:AX432)-SUM($BA$6:BA432)</f>
        <v>0</v>
      </c>
      <c r="BD432" s="107">
        <f t="shared" ca="1" si="239"/>
        <v>0</v>
      </c>
      <c r="BE432" s="51">
        <f>'PiT PD Structure'!J472</f>
        <v>0</v>
      </c>
      <c r="BF432" s="139">
        <f t="shared" ca="1" si="228"/>
        <v>0.45</v>
      </c>
      <c r="BG432" s="51">
        <f t="shared" ca="1" si="240"/>
        <v>1</v>
      </c>
      <c r="BH432" s="50">
        <f t="shared" ca="1" si="241"/>
        <v>0</v>
      </c>
      <c r="BI432" s="50">
        <f t="shared" ca="1" si="242"/>
        <v>3.4816594052244909E-13</v>
      </c>
      <c r="BJ432" s="140">
        <v>0</v>
      </c>
      <c r="BK432" s="140">
        <v>0</v>
      </c>
      <c r="BR432" s="75">
        <f t="shared" ca="1" si="229"/>
        <v>56430</v>
      </c>
      <c r="BS432" s="74">
        <f t="shared" ca="1" si="243"/>
        <v>6</v>
      </c>
      <c r="BT432" s="74">
        <f t="shared" ca="1" si="223"/>
        <v>0</v>
      </c>
      <c r="BU432" s="73" t="str">
        <f t="shared" ca="1" si="244"/>
        <v xml:space="preserve"> </v>
      </c>
      <c r="BW432" s="75">
        <f t="shared" ca="1" si="245"/>
        <v>56430</v>
      </c>
      <c r="BX432" s="74">
        <f t="shared" ca="1" si="246"/>
        <v>6</v>
      </c>
      <c r="BY432" s="74">
        <f t="shared" ca="1" si="224"/>
        <v>0</v>
      </c>
      <c r="BZ432" s="73" t="str">
        <f t="shared" ca="1" si="247"/>
        <v xml:space="preserve"> </v>
      </c>
      <c r="CB432" s="75">
        <f t="shared" ca="1" si="230"/>
        <v>56430</v>
      </c>
      <c r="CC432" s="74">
        <f t="shared" ca="1" si="248"/>
        <v>6</v>
      </c>
      <c r="CD432" s="74">
        <f t="shared" ca="1" si="225"/>
        <v>0</v>
      </c>
      <c r="CE432" s="73" t="str">
        <f t="shared" ca="1" si="249"/>
        <v xml:space="preserve"> </v>
      </c>
    </row>
    <row r="433" spans="1:83" x14ac:dyDescent="0.2">
      <c r="A433" s="38" t="str">
        <f t="shared" si="231"/>
        <v xml:space="preserve"> </v>
      </c>
      <c r="B433" s="108"/>
      <c r="C433" s="38"/>
      <c r="D433" s="137"/>
      <c r="E433" s="137"/>
      <c r="F433" s="137"/>
      <c r="G433" s="122"/>
      <c r="H433" s="137"/>
      <c r="I433" s="50"/>
      <c r="J433" s="50"/>
      <c r="K433" s="50"/>
      <c r="L433" s="38"/>
      <c r="M433" s="38"/>
      <c r="N433" s="38"/>
      <c r="O433" s="50"/>
      <c r="P433" s="218"/>
      <c r="Q433" s="50"/>
      <c r="R433" s="50"/>
      <c r="S433" s="38"/>
      <c r="T433" s="51"/>
      <c r="U433" s="65"/>
      <c r="V433" s="105"/>
      <c r="W433" s="66"/>
      <c r="X433" s="66"/>
      <c r="Y433" s="38"/>
      <c r="Z433" s="66">
        <f t="shared" si="219"/>
        <v>0</v>
      </c>
      <c r="AA433" s="67"/>
      <c r="AC433" s="41" t="e">
        <f>VLOOKUP(A433,'Input Sheet'!$A$2:$B$232,2,0)</f>
        <v>#N/A</v>
      </c>
      <c r="AD433" s="70"/>
      <c r="AI433" s="68"/>
      <c r="AL433" s="107">
        <f t="shared" ca="1" si="232"/>
        <v>0</v>
      </c>
      <c r="AM433" s="49">
        <f t="shared" ca="1" si="226"/>
        <v>56461</v>
      </c>
      <c r="AN433" s="137" t="str">
        <f t="shared" ca="1" si="233"/>
        <v xml:space="preserve"> </v>
      </c>
      <c r="AO433" s="107">
        <f t="shared" ca="1" si="222"/>
        <v>0</v>
      </c>
      <c r="AP433" s="143">
        <f t="shared" ca="1" si="220"/>
        <v>0</v>
      </c>
      <c r="AQ433" s="143">
        <f t="shared" ca="1" si="234"/>
        <v>0</v>
      </c>
      <c r="AR433" s="49" t="str">
        <f t="shared" ca="1" si="235"/>
        <v xml:space="preserve"> </v>
      </c>
      <c r="AS433" s="107">
        <f t="shared" ca="1" si="236"/>
        <v>0</v>
      </c>
      <c r="AT433" s="107">
        <f t="shared" ca="1" si="221"/>
        <v>0</v>
      </c>
      <c r="AU433" s="107"/>
      <c r="AV433" s="107">
        <f ca="1">MAX(SUM($AQ$6:AQ433)-SUM($AT$6:AT433),0)</f>
        <v>0</v>
      </c>
      <c r="AW433" s="107">
        <f t="shared" ca="1" si="227"/>
        <v>0</v>
      </c>
      <c r="AX433" s="107">
        <v>0</v>
      </c>
      <c r="AY433" s="138" t="str">
        <f t="shared" ca="1" si="237"/>
        <v xml:space="preserve"> </v>
      </c>
      <c r="AZ433" s="107">
        <f t="shared" ca="1" si="238"/>
        <v>0</v>
      </c>
      <c r="BA433" s="107">
        <f ca="1">IF(AZ433=1,(SUM($AW$6:AW433,$AX$6:AX433)-SUM($BA$6:BA432)),0)</f>
        <v>0</v>
      </c>
      <c r="BB433" s="107"/>
      <c r="BC433" s="107">
        <f ca="1">AV433+SUM($AW$6:AW433)+SUM($AX$6:AX433)-SUM($BA$6:BA433)</f>
        <v>0</v>
      </c>
      <c r="BD433" s="107">
        <f t="shared" ca="1" si="239"/>
        <v>0</v>
      </c>
      <c r="BE433" s="51">
        <f>'PiT PD Structure'!J473</f>
        <v>0</v>
      </c>
      <c r="BF433" s="139">
        <f t="shared" ca="1" si="228"/>
        <v>0.45</v>
      </c>
      <c r="BG433" s="51">
        <f t="shared" ca="1" si="240"/>
        <v>1</v>
      </c>
      <c r="BH433" s="50">
        <f t="shared" ca="1" si="241"/>
        <v>0</v>
      </c>
      <c r="BI433" s="50">
        <f t="shared" ca="1" si="242"/>
        <v>3.4816594052244909E-13</v>
      </c>
      <c r="BJ433" s="140">
        <v>0</v>
      </c>
      <c r="BK433" s="140">
        <v>0</v>
      </c>
      <c r="BR433" s="75">
        <f t="shared" ca="1" si="229"/>
        <v>56461</v>
      </c>
      <c r="BS433" s="74">
        <f t="shared" ca="1" si="243"/>
        <v>7</v>
      </c>
      <c r="BT433" s="74">
        <f t="shared" ca="1" si="223"/>
        <v>0</v>
      </c>
      <c r="BU433" s="73" t="str">
        <f t="shared" ca="1" si="244"/>
        <v xml:space="preserve"> </v>
      </c>
      <c r="BW433" s="75">
        <f t="shared" ca="1" si="245"/>
        <v>56461</v>
      </c>
      <c r="BX433" s="74">
        <f t="shared" ca="1" si="246"/>
        <v>7</v>
      </c>
      <c r="BY433" s="74">
        <f t="shared" ca="1" si="224"/>
        <v>0</v>
      </c>
      <c r="BZ433" s="73" t="str">
        <f t="shared" ca="1" si="247"/>
        <v xml:space="preserve"> </v>
      </c>
      <c r="CB433" s="75">
        <f t="shared" ca="1" si="230"/>
        <v>56461</v>
      </c>
      <c r="CC433" s="74">
        <f t="shared" ca="1" si="248"/>
        <v>7</v>
      </c>
      <c r="CD433" s="74">
        <f t="shared" ca="1" si="225"/>
        <v>0</v>
      </c>
      <c r="CE433" s="73" t="str">
        <f t="shared" ca="1" si="249"/>
        <v xml:space="preserve"> </v>
      </c>
    </row>
    <row r="434" spans="1:83" x14ac:dyDescent="0.2">
      <c r="A434" s="38" t="str">
        <f t="shared" si="231"/>
        <v xml:space="preserve"> </v>
      </c>
      <c r="B434" s="108"/>
      <c r="C434" s="38"/>
      <c r="D434" s="137"/>
      <c r="E434" s="137"/>
      <c r="F434" s="137"/>
      <c r="G434" s="122"/>
      <c r="H434" s="137"/>
      <c r="I434" s="50"/>
      <c r="J434" s="50"/>
      <c r="K434" s="50"/>
      <c r="L434" s="38"/>
      <c r="M434" s="38"/>
      <c r="N434" s="38"/>
      <c r="O434" s="50"/>
      <c r="P434" s="218"/>
      <c r="Q434" s="50"/>
      <c r="R434" s="50"/>
      <c r="S434" s="38"/>
      <c r="T434" s="51"/>
      <c r="U434" s="65"/>
      <c r="V434" s="105"/>
      <c r="W434" s="66"/>
      <c r="X434" s="66"/>
      <c r="Y434" s="38"/>
      <c r="Z434" s="66">
        <f t="shared" si="219"/>
        <v>0</v>
      </c>
      <c r="AA434" s="67"/>
      <c r="AC434" s="41" t="e">
        <f>VLOOKUP(A434,'Input Sheet'!$A$2:$B$232,2,0)</f>
        <v>#N/A</v>
      </c>
      <c r="AD434" s="70"/>
      <c r="AI434" s="68"/>
      <c r="AL434" s="107">
        <f t="shared" ca="1" si="232"/>
        <v>0</v>
      </c>
      <c r="AM434" s="49">
        <f t="shared" ca="1" si="226"/>
        <v>56492</v>
      </c>
      <c r="AN434" s="137" t="str">
        <f t="shared" ca="1" si="233"/>
        <v xml:space="preserve"> </v>
      </c>
      <c r="AO434" s="107">
        <f t="shared" ca="1" si="222"/>
        <v>0</v>
      </c>
      <c r="AP434" s="143">
        <f t="shared" ca="1" si="220"/>
        <v>0</v>
      </c>
      <c r="AQ434" s="143">
        <f t="shared" ca="1" si="234"/>
        <v>0</v>
      </c>
      <c r="AR434" s="49" t="str">
        <f t="shared" ca="1" si="235"/>
        <v xml:space="preserve"> </v>
      </c>
      <c r="AS434" s="107">
        <f t="shared" ca="1" si="236"/>
        <v>0</v>
      </c>
      <c r="AT434" s="107">
        <f t="shared" ca="1" si="221"/>
        <v>0</v>
      </c>
      <c r="AU434" s="107"/>
      <c r="AV434" s="107">
        <f ca="1">MAX(SUM($AQ$6:AQ434)-SUM($AT$6:AT434),0)</f>
        <v>0</v>
      </c>
      <c r="AW434" s="107">
        <f t="shared" ca="1" si="227"/>
        <v>0</v>
      </c>
      <c r="AX434" s="107">
        <v>0</v>
      </c>
      <c r="AY434" s="138" t="str">
        <f t="shared" ca="1" si="237"/>
        <v xml:space="preserve"> </v>
      </c>
      <c r="AZ434" s="107">
        <f t="shared" ca="1" si="238"/>
        <v>0</v>
      </c>
      <c r="BA434" s="107">
        <f ca="1">IF(AZ434=1,(SUM($AW$6:AW434,$AX$6:AX434)-SUM($BA$6:BA433)),0)</f>
        <v>0</v>
      </c>
      <c r="BB434" s="107"/>
      <c r="BC434" s="107">
        <f ca="1">AV434+SUM($AW$6:AW434)+SUM($AX$6:AX434)-SUM($BA$6:BA434)</f>
        <v>0</v>
      </c>
      <c r="BD434" s="107">
        <f t="shared" ca="1" si="239"/>
        <v>0</v>
      </c>
      <c r="BE434" s="51">
        <f>'PiT PD Structure'!J474</f>
        <v>0</v>
      </c>
      <c r="BF434" s="139">
        <f t="shared" ca="1" si="228"/>
        <v>0.45</v>
      </c>
      <c r="BG434" s="51">
        <f t="shared" ca="1" si="240"/>
        <v>1</v>
      </c>
      <c r="BH434" s="50">
        <f t="shared" ca="1" si="241"/>
        <v>0</v>
      </c>
      <c r="BI434" s="50">
        <f t="shared" ca="1" si="242"/>
        <v>3.4816594052244909E-13</v>
      </c>
      <c r="BJ434" s="140">
        <v>0</v>
      </c>
      <c r="BK434" s="140">
        <v>0</v>
      </c>
      <c r="BR434" s="75">
        <f t="shared" ca="1" si="229"/>
        <v>56492</v>
      </c>
      <c r="BS434" s="74">
        <f t="shared" ca="1" si="243"/>
        <v>8</v>
      </c>
      <c r="BT434" s="74">
        <f t="shared" ca="1" si="223"/>
        <v>0</v>
      </c>
      <c r="BU434" s="73" t="str">
        <f t="shared" ca="1" si="244"/>
        <v xml:space="preserve"> </v>
      </c>
      <c r="BW434" s="75">
        <f t="shared" ca="1" si="245"/>
        <v>56492</v>
      </c>
      <c r="BX434" s="74">
        <f t="shared" ca="1" si="246"/>
        <v>8</v>
      </c>
      <c r="BY434" s="74">
        <f t="shared" ca="1" si="224"/>
        <v>0</v>
      </c>
      <c r="BZ434" s="73" t="str">
        <f t="shared" ca="1" si="247"/>
        <v xml:space="preserve"> </v>
      </c>
      <c r="CB434" s="75">
        <f t="shared" ca="1" si="230"/>
        <v>56492</v>
      </c>
      <c r="CC434" s="74">
        <f t="shared" ca="1" si="248"/>
        <v>8</v>
      </c>
      <c r="CD434" s="74">
        <f t="shared" ca="1" si="225"/>
        <v>0</v>
      </c>
      <c r="CE434" s="73" t="str">
        <f t="shared" ca="1" si="249"/>
        <v xml:space="preserve"> </v>
      </c>
    </row>
    <row r="435" spans="1:83" x14ac:dyDescent="0.2">
      <c r="A435" s="38" t="str">
        <f t="shared" si="231"/>
        <v xml:space="preserve"> </v>
      </c>
      <c r="B435" s="108"/>
      <c r="C435" s="38"/>
      <c r="D435" s="137"/>
      <c r="E435" s="137"/>
      <c r="F435" s="137"/>
      <c r="G435" s="122"/>
      <c r="H435" s="137"/>
      <c r="I435" s="50"/>
      <c r="J435" s="50"/>
      <c r="K435" s="50"/>
      <c r="L435" s="38"/>
      <c r="M435" s="38"/>
      <c r="N435" s="38"/>
      <c r="O435" s="50"/>
      <c r="P435" s="218"/>
      <c r="Q435" s="50"/>
      <c r="R435" s="50"/>
      <c r="S435" s="38"/>
      <c r="T435" s="51"/>
      <c r="U435" s="65"/>
      <c r="V435" s="105"/>
      <c r="W435" s="66"/>
      <c r="X435" s="66"/>
      <c r="Y435" s="38"/>
      <c r="Z435" s="66">
        <f t="shared" si="219"/>
        <v>0</v>
      </c>
      <c r="AA435" s="67"/>
      <c r="AC435" s="41" t="e">
        <f>VLOOKUP(A435,'Input Sheet'!$A$2:$B$232,2,0)</f>
        <v>#N/A</v>
      </c>
      <c r="AD435" s="70"/>
      <c r="AI435" s="68"/>
      <c r="AL435" s="107">
        <f t="shared" ca="1" si="232"/>
        <v>0</v>
      </c>
      <c r="AM435" s="49">
        <f t="shared" ca="1" si="226"/>
        <v>56522</v>
      </c>
      <c r="AN435" s="137" t="str">
        <f t="shared" ca="1" si="233"/>
        <v xml:space="preserve"> </v>
      </c>
      <c r="AO435" s="107">
        <f t="shared" ca="1" si="222"/>
        <v>0</v>
      </c>
      <c r="AP435" s="143">
        <f t="shared" ca="1" si="220"/>
        <v>0</v>
      </c>
      <c r="AQ435" s="143">
        <f t="shared" ca="1" si="234"/>
        <v>0</v>
      </c>
      <c r="AR435" s="49" t="str">
        <f t="shared" ca="1" si="235"/>
        <v xml:space="preserve"> </v>
      </c>
      <c r="AS435" s="107">
        <f t="shared" ca="1" si="236"/>
        <v>0</v>
      </c>
      <c r="AT435" s="107">
        <f t="shared" ca="1" si="221"/>
        <v>0</v>
      </c>
      <c r="AU435" s="107"/>
      <c r="AV435" s="107">
        <f ca="1">MAX(SUM($AQ$6:AQ435)-SUM($AT$6:AT435),0)</f>
        <v>0</v>
      </c>
      <c r="AW435" s="107">
        <f t="shared" ca="1" si="227"/>
        <v>0</v>
      </c>
      <c r="AX435" s="107">
        <v>0</v>
      </c>
      <c r="AY435" s="138" t="str">
        <f t="shared" ca="1" si="237"/>
        <v xml:space="preserve"> </v>
      </c>
      <c r="AZ435" s="107">
        <f t="shared" ca="1" si="238"/>
        <v>0</v>
      </c>
      <c r="BA435" s="107">
        <f ca="1">IF(AZ435=1,(SUM($AW$6:AW435,$AX$6:AX435)-SUM($BA$6:BA434)),0)</f>
        <v>0</v>
      </c>
      <c r="BB435" s="107"/>
      <c r="BC435" s="107">
        <f ca="1">AV435+SUM($AW$6:AW435)+SUM($AX$6:AX435)-SUM($BA$6:BA435)</f>
        <v>0</v>
      </c>
      <c r="BD435" s="107">
        <f t="shared" ca="1" si="239"/>
        <v>0</v>
      </c>
      <c r="BE435" s="51">
        <f>'PiT PD Structure'!J475</f>
        <v>0</v>
      </c>
      <c r="BF435" s="139">
        <f t="shared" ca="1" si="228"/>
        <v>0.45</v>
      </c>
      <c r="BG435" s="51">
        <f t="shared" ca="1" si="240"/>
        <v>1</v>
      </c>
      <c r="BH435" s="50">
        <f t="shared" ca="1" si="241"/>
        <v>0</v>
      </c>
      <c r="BI435" s="50">
        <f t="shared" ca="1" si="242"/>
        <v>3.4816594052244909E-13</v>
      </c>
      <c r="BJ435" s="140">
        <v>0</v>
      </c>
      <c r="BK435" s="140">
        <v>0</v>
      </c>
      <c r="BR435" s="75">
        <f t="shared" ca="1" si="229"/>
        <v>56522</v>
      </c>
      <c r="BS435" s="74">
        <f t="shared" ca="1" si="243"/>
        <v>9</v>
      </c>
      <c r="BT435" s="74">
        <f t="shared" ca="1" si="223"/>
        <v>0</v>
      </c>
      <c r="BU435" s="73" t="str">
        <f t="shared" ca="1" si="244"/>
        <v xml:space="preserve"> </v>
      </c>
      <c r="BW435" s="75">
        <f t="shared" ca="1" si="245"/>
        <v>56522</v>
      </c>
      <c r="BX435" s="74">
        <f t="shared" ca="1" si="246"/>
        <v>9</v>
      </c>
      <c r="BY435" s="74">
        <f t="shared" ca="1" si="224"/>
        <v>0</v>
      </c>
      <c r="BZ435" s="73" t="str">
        <f t="shared" ca="1" si="247"/>
        <v xml:space="preserve"> </v>
      </c>
      <c r="CB435" s="75">
        <f t="shared" ca="1" si="230"/>
        <v>56522</v>
      </c>
      <c r="CC435" s="74">
        <f t="shared" ca="1" si="248"/>
        <v>9</v>
      </c>
      <c r="CD435" s="74">
        <f t="shared" ca="1" si="225"/>
        <v>0</v>
      </c>
      <c r="CE435" s="73" t="str">
        <f t="shared" ca="1" si="249"/>
        <v xml:space="preserve"> </v>
      </c>
    </row>
    <row r="436" spans="1:83" x14ac:dyDescent="0.2">
      <c r="A436" s="38" t="str">
        <f t="shared" si="231"/>
        <v xml:space="preserve"> </v>
      </c>
      <c r="B436" s="108"/>
      <c r="C436" s="38"/>
      <c r="D436" s="137"/>
      <c r="E436" s="137"/>
      <c r="F436" s="137"/>
      <c r="G436" s="122"/>
      <c r="H436" s="137"/>
      <c r="I436" s="50"/>
      <c r="J436" s="50"/>
      <c r="K436" s="50"/>
      <c r="L436" s="38"/>
      <c r="M436" s="38"/>
      <c r="N436" s="38"/>
      <c r="O436" s="50"/>
      <c r="P436" s="218"/>
      <c r="Q436" s="50"/>
      <c r="R436" s="50"/>
      <c r="S436" s="38"/>
      <c r="T436" s="51"/>
      <c r="U436" s="65"/>
      <c r="V436" s="105"/>
      <c r="W436" s="66"/>
      <c r="X436" s="66"/>
      <c r="Y436" s="38"/>
      <c r="Z436" s="66">
        <f t="shared" si="219"/>
        <v>0</v>
      </c>
      <c r="AA436" s="67"/>
      <c r="AC436" s="41" t="e">
        <f>VLOOKUP(A436,'Input Sheet'!$A$2:$B$232,2,0)</f>
        <v>#N/A</v>
      </c>
      <c r="AD436" s="70"/>
      <c r="AI436" s="68"/>
      <c r="AL436" s="107">
        <f t="shared" ca="1" si="232"/>
        <v>0</v>
      </c>
      <c r="AM436" s="49">
        <f t="shared" ca="1" si="226"/>
        <v>56553</v>
      </c>
      <c r="AN436" s="137" t="str">
        <f t="shared" ca="1" si="233"/>
        <v xml:space="preserve"> </v>
      </c>
      <c r="AO436" s="107">
        <f t="shared" ca="1" si="222"/>
        <v>0</v>
      </c>
      <c r="AP436" s="143">
        <f t="shared" ca="1" si="220"/>
        <v>0</v>
      </c>
      <c r="AQ436" s="143">
        <f t="shared" ca="1" si="234"/>
        <v>0</v>
      </c>
      <c r="AR436" s="49" t="str">
        <f t="shared" ca="1" si="235"/>
        <v xml:space="preserve"> </v>
      </c>
      <c r="AS436" s="107">
        <f t="shared" ca="1" si="236"/>
        <v>0</v>
      </c>
      <c r="AT436" s="107">
        <f t="shared" ca="1" si="221"/>
        <v>0</v>
      </c>
      <c r="AU436" s="107"/>
      <c r="AV436" s="107">
        <f ca="1">MAX(SUM($AQ$6:AQ436)-SUM($AT$6:AT436),0)</f>
        <v>0</v>
      </c>
      <c r="AW436" s="107">
        <f t="shared" ca="1" si="227"/>
        <v>0</v>
      </c>
      <c r="AX436" s="107">
        <v>0</v>
      </c>
      <c r="AY436" s="138" t="str">
        <f t="shared" ca="1" si="237"/>
        <v xml:space="preserve"> </v>
      </c>
      <c r="AZ436" s="107">
        <f t="shared" ca="1" si="238"/>
        <v>0</v>
      </c>
      <c r="BA436" s="107">
        <f ca="1">IF(AZ436=1,(SUM($AW$6:AW436,$AX$6:AX436)-SUM($BA$6:BA435)),0)</f>
        <v>0</v>
      </c>
      <c r="BB436" s="107"/>
      <c r="BC436" s="107">
        <f ca="1">AV436+SUM($AW$6:AW436)+SUM($AX$6:AX436)-SUM($BA$6:BA436)</f>
        <v>0</v>
      </c>
      <c r="BD436" s="107">
        <f t="shared" ca="1" si="239"/>
        <v>0</v>
      </c>
      <c r="BE436" s="51">
        <f>'PiT PD Structure'!J476</f>
        <v>0</v>
      </c>
      <c r="BF436" s="139">
        <f t="shared" ca="1" si="228"/>
        <v>0.45</v>
      </c>
      <c r="BG436" s="51">
        <f t="shared" ca="1" si="240"/>
        <v>1</v>
      </c>
      <c r="BH436" s="50">
        <f t="shared" ca="1" si="241"/>
        <v>0</v>
      </c>
      <c r="BI436" s="50">
        <f t="shared" ca="1" si="242"/>
        <v>3.4816594052244909E-13</v>
      </c>
      <c r="BJ436" s="140">
        <v>0</v>
      </c>
      <c r="BK436" s="140">
        <v>0</v>
      </c>
      <c r="BR436" s="75">
        <f t="shared" ca="1" si="229"/>
        <v>56553</v>
      </c>
      <c r="BS436" s="74">
        <f t="shared" ca="1" si="243"/>
        <v>10</v>
      </c>
      <c r="BT436" s="74">
        <f t="shared" ca="1" si="223"/>
        <v>0</v>
      </c>
      <c r="BU436" s="73" t="str">
        <f t="shared" ca="1" si="244"/>
        <v xml:space="preserve"> </v>
      </c>
      <c r="BW436" s="75">
        <f t="shared" ca="1" si="245"/>
        <v>56553</v>
      </c>
      <c r="BX436" s="74">
        <f t="shared" ca="1" si="246"/>
        <v>10</v>
      </c>
      <c r="BY436" s="74">
        <f t="shared" ca="1" si="224"/>
        <v>0</v>
      </c>
      <c r="BZ436" s="73" t="str">
        <f t="shared" ca="1" si="247"/>
        <v xml:space="preserve"> </v>
      </c>
      <c r="CB436" s="75">
        <f t="shared" ca="1" si="230"/>
        <v>56553</v>
      </c>
      <c r="CC436" s="74">
        <f t="shared" ca="1" si="248"/>
        <v>10</v>
      </c>
      <c r="CD436" s="74">
        <f t="shared" ca="1" si="225"/>
        <v>0</v>
      </c>
      <c r="CE436" s="73" t="str">
        <f t="shared" ca="1" si="249"/>
        <v xml:space="preserve"> </v>
      </c>
    </row>
    <row r="437" spans="1:83" x14ac:dyDescent="0.2">
      <c r="A437" s="38" t="str">
        <f t="shared" si="231"/>
        <v xml:space="preserve"> </v>
      </c>
      <c r="B437" s="108"/>
      <c r="C437" s="38"/>
      <c r="D437" s="137"/>
      <c r="E437" s="137"/>
      <c r="F437" s="137"/>
      <c r="G437" s="122"/>
      <c r="H437" s="137"/>
      <c r="I437" s="50"/>
      <c r="J437" s="50"/>
      <c r="K437" s="50"/>
      <c r="L437" s="38"/>
      <c r="M437" s="38"/>
      <c r="N437" s="38"/>
      <c r="O437" s="50"/>
      <c r="P437" s="218"/>
      <c r="Q437" s="50"/>
      <c r="R437" s="50"/>
      <c r="S437" s="38"/>
      <c r="T437" s="51"/>
      <c r="U437" s="65"/>
      <c r="V437" s="105"/>
      <c r="W437" s="66"/>
      <c r="X437" s="66"/>
      <c r="Y437" s="38"/>
      <c r="Z437" s="66">
        <f t="shared" si="219"/>
        <v>0</v>
      </c>
      <c r="AA437" s="67"/>
      <c r="AC437" s="41" t="e">
        <f>VLOOKUP(A437,'Input Sheet'!$A$2:$B$232,2,0)</f>
        <v>#N/A</v>
      </c>
      <c r="AD437" s="70"/>
      <c r="AI437" s="68"/>
      <c r="AL437" s="107">
        <f t="shared" ca="1" si="232"/>
        <v>0</v>
      </c>
      <c r="AM437" s="49">
        <f t="shared" ca="1" si="226"/>
        <v>56583</v>
      </c>
      <c r="AN437" s="137" t="str">
        <f t="shared" ca="1" si="233"/>
        <v xml:space="preserve"> </v>
      </c>
      <c r="AO437" s="107">
        <f t="shared" ca="1" si="222"/>
        <v>0</v>
      </c>
      <c r="AP437" s="143">
        <f t="shared" ca="1" si="220"/>
        <v>0</v>
      </c>
      <c r="AQ437" s="143">
        <f t="shared" ca="1" si="234"/>
        <v>0</v>
      </c>
      <c r="AR437" s="49" t="str">
        <f t="shared" ca="1" si="235"/>
        <v xml:space="preserve"> </v>
      </c>
      <c r="AS437" s="107">
        <f t="shared" ca="1" si="236"/>
        <v>0</v>
      </c>
      <c r="AT437" s="107">
        <f t="shared" ca="1" si="221"/>
        <v>0</v>
      </c>
      <c r="AU437" s="107"/>
      <c r="AV437" s="107">
        <f ca="1">MAX(SUM($AQ$6:AQ437)-SUM($AT$6:AT437),0)</f>
        <v>0</v>
      </c>
      <c r="AW437" s="107">
        <f t="shared" ca="1" si="227"/>
        <v>0</v>
      </c>
      <c r="AX437" s="107">
        <v>0</v>
      </c>
      <c r="AY437" s="138" t="str">
        <f t="shared" ca="1" si="237"/>
        <v xml:space="preserve"> </v>
      </c>
      <c r="AZ437" s="107">
        <f t="shared" ca="1" si="238"/>
        <v>0</v>
      </c>
      <c r="BA437" s="107">
        <f ca="1">IF(AZ437=1,(SUM($AW$6:AW437,$AX$6:AX437)-SUM($BA$6:BA436)),0)</f>
        <v>0</v>
      </c>
      <c r="BB437" s="107"/>
      <c r="BC437" s="107">
        <f ca="1">AV437+SUM($AW$6:AW437)+SUM($AX$6:AX437)-SUM($BA$6:BA437)</f>
        <v>0</v>
      </c>
      <c r="BD437" s="107">
        <f t="shared" ca="1" si="239"/>
        <v>0</v>
      </c>
      <c r="BE437" s="51">
        <f>'PiT PD Structure'!J477</f>
        <v>0</v>
      </c>
      <c r="BF437" s="139">
        <f t="shared" ca="1" si="228"/>
        <v>0.45</v>
      </c>
      <c r="BG437" s="51">
        <f t="shared" ca="1" si="240"/>
        <v>1</v>
      </c>
      <c r="BH437" s="50">
        <f t="shared" ca="1" si="241"/>
        <v>0</v>
      </c>
      <c r="BI437" s="50">
        <f t="shared" ca="1" si="242"/>
        <v>3.4816594052244909E-13</v>
      </c>
      <c r="BJ437" s="140">
        <v>0</v>
      </c>
      <c r="BK437" s="140">
        <v>0</v>
      </c>
      <c r="BR437" s="75">
        <f t="shared" ca="1" si="229"/>
        <v>56583</v>
      </c>
      <c r="BS437" s="74">
        <f t="shared" ca="1" si="243"/>
        <v>11</v>
      </c>
      <c r="BT437" s="74">
        <f t="shared" ca="1" si="223"/>
        <v>0</v>
      </c>
      <c r="BU437" s="73" t="str">
        <f t="shared" ca="1" si="244"/>
        <v xml:space="preserve"> </v>
      </c>
      <c r="BW437" s="75">
        <f t="shared" ca="1" si="245"/>
        <v>56583</v>
      </c>
      <c r="BX437" s="74">
        <f t="shared" ca="1" si="246"/>
        <v>11</v>
      </c>
      <c r="BY437" s="74">
        <f t="shared" ca="1" si="224"/>
        <v>0</v>
      </c>
      <c r="BZ437" s="73" t="str">
        <f t="shared" ca="1" si="247"/>
        <v xml:space="preserve"> </v>
      </c>
      <c r="CB437" s="75">
        <f t="shared" ca="1" si="230"/>
        <v>56583</v>
      </c>
      <c r="CC437" s="74">
        <f t="shared" ca="1" si="248"/>
        <v>11</v>
      </c>
      <c r="CD437" s="74">
        <f t="shared" ca="1" si="225"/>
        <v>0</v>
      </c>
      <c r="CE437" s="73" t="str">
        <f t="shared" ca="1" si="249"/>
        <v xml:space="preserve"> </v>
      </c>
    </row>
    <row r="438" spans="1:83" x14ac:dyDescent="0.2">
      <c r="A438" s="38" t="str">
        <f t="shared" si="231"/>
        <v xml:space="preserve"> </v>
      </c>
      <c r="B438" s="108"/>
      <c r="C438" s="38"/>
      <c r="D438" s="137"/>
      <c r="E438" s="137"/>
      <c r="F438" s="137"/>
      <c r="G438" s="122"/>
      <c r="H438" s="137"/>
      <c r="I438" s="50"/>
      <c r="J438" s="50"/>
      <c r="K438" s="50"/>
      <c r="L438" s="38"/>
      <c r="M438" s="38"/>
      <c r="N438" s="38"/>
      <c r="O438" s="50"/>
      <c r="P438" s="218"/>
      <c r="Q438" s="50"/>
      <c r="R438" s="50"/>
      <c r="S438" s="38"/>
      <c r="T438" s="51"/>
      <c r="U438" s="65"/>
      <c r="V438" s="105"/>
      <c r="W438" s="66"/>
      <c r="X438" s="66"/>
      <c r="Y438" s="38"/>
      <c r="Z438" s="66">
        <f t="shared" si="219"/>
        <v>0</v>
      </c>
      <c r="AA438" s="67"/>
      <c r="AC438" s="41" t="e">
        <f>VLOOKUP(A438,'Input Sheet'!$A$2:$B$232,2,0)</f>
        <v>#N/A</v>
      </c>
      <c r="AD438" s="70"/>
      <c r="AI438" s="68"/>
      <c r="AL438" s="107">
        <f t="shared" ca="1" si="232"/>
        <v>0</v>
      </c>
      <c r="AM438" s="49">
        <f t="shared" ca="1" si="226"/>
        <v>56614</v>
      </c>
      <c r="AN438" s="137" t="str">
        <f t="shared" ca="1" si="233"/>
        <v xml:space="preserve"> </v>
      </c>
      <c r="AO438" s="107">
        <f t="shared" ca="1" si="222"/>
        <v>0</v>
      </c>
      <c r="AP438" s="143">
        <f t="shared" ca="1" si="220"/>
        <v>0</v>
      </c>
      <c r="AQ438" s="143">
        <f t="shared" ca="1" si="234"/>
        <v>0</v>
      </c>
      <c r="AR438" s="49" t="str">
        <f t="shared" ca="1" si="235"/>
        <v xml:space="preserve"> </v>
      </c>
      <c r="AS438" s="107">
        <f t="shared" ca="1" si="236"/>
        <v>0</v>
      </c>
      <c r="AT438" s="107">
        <f t="shared" ca="1" si="221"/>
        <v>0</v>
      </c>
      <c r="AU438" s="107"/>
      <c r="AV438" s="107">
        <f ca="1">MAX(SUM($AQ$6:AQ438)-SUM($AT$6:AT438),0)</f>
        <v>0</v>
      </c>
      <c r="AW438" s="107">
        <f t="shared" ca="1" si="227"/>
        <v>0</v>
      </c>
      <c r="AX438" s="107">
        <v>0</v>
      </c>
      <c r="AY438" s="138" t="str">
        <f t="shared" ca="1" si="237"/>
        <v xml:space="preserve"> </v>
      </c>
      <c r="AZ438" s="107">
        <f t="shared" ca="1" si="238"/>
        <v>0</v>
      </c>
      <c r="BA438" s="107">
        <f ca="1">IF(AZ438=1,(SUM($AW$6:AW438,$AX$6:AX438)-SUM($BA$6:BA437)),0)</f>
        <v>0</v>
      </c>
      <c r="BB438" s="107"/>
      <c r="BC438" s="107">
        <f ca="1">AV438+SUM($AW$6:AW438)+SUM($AX$6:AX438)-SUM($BA$6:BA438)</f>
        <v>0</v>
      </c>
      <c r="BD438" s="107">
        <f t="shared" ca="1" si="239"/>
        <v>0</v>
      </c>
      <c r="BE438" s="51">
        <f>'PiT PD Structure'!J478</f>
        <v>0</v>
      </c>
      <c r="BF438" s="139">
        <f t="shared" ca="1" si="228"/>
        <v>0.45</v>
      </c>
      <c r="BG438" s="51">
        <f t="shared" ca="1" si="240"/>
        <v>1</v>
      </c>
      <c r="BH438" s="50">
        <f t="shared" ca="1" si="241"/>
        <v>0</v>
      </c>
      <c r="BI438" s="50">
        <f t="shared" ca="1" si="242"/>
        <v>3.4816594052244909E-13</v>
      </c>
      <c r="BJ438" s="140">
        <v>0</v>
      </c>
      <c r="BK438" s="140">
        <v>0</v>
      </c>
      <c r="BR438" s="75">
        <f t="shared" ca="1" si="229"/>
        <v>56614</v>
      </c>
      <c r="BS438" s="74">
        <f t="shared" ca="1" si="243"/>
        <v>12</v>
      </c>
      <c r="BT438" s="74">
        <f t="shared" ca="1" si="223"/>
        <v>0</v>
      </c>
      <c r="BU438" s="73" t="str">
        <f t="shared" ca="1" si="244"/>
        <v xml:space="preserve"> </v>
      </c>
      <c r="BW438" s="75">
        <f t="shared" ca="1" si="245"/>
        <v>56614</v>
      </c>
      <c r="BX438" s="74">
        <f t="shared" ca="1" si="246"/>
        <v>12</v>
      </c>
      <c r="BY438" s="74">
        <f t="shared" ca="1" si="224"/>
        <v>0</v>
      </c>
      <c r="BZ438" s="73" t="str">
        <f t="shared" ca="1" si="247"/>
        <v xml:space="preserve"> </v>
      </c>
      <c r="CB438" s="75">
        <f t="shared" ca="1" si="230"/>
        <v>56614</v>
      </c>
      <c r="CC438" s="74">
        <f t="shared" ca="1" si="248"/>
        <v>12</v>
      </c>
      <c r="CD438" s="74">
        <f t="shared" ca="1" si="225"/>
        <v>0</v>
      </c>
      <c r="CE438" s="73" t="str">
        <f t="shared" ca="1" si="249"/>
        <v xml:space="preserve"> </v>
      </c>
    </row>
    <row r="439" spans="1:83" x14ac:dyDescent="0.2">
      <c r="A439" s="38" t="str">
        <f t="shared" si="231"/>
        <v xml:space="preserve"> </v>
      </c>
      <c r="B439" s="108"/>
      <c r="C439" s="38"/>
      <c r="D439" s="137"/>
      <c r="E439" s="137"/>
      <c r="F439" s="137"/>
      <c r="G439" s="122"/>
      <c r="H439" s="137"/>
      <c r="I439" s="50"/>
      <c r="J439" s="50"/>
      <c r="K439" s="50"/>
      <c r="L439" s="38"/>
      <c r="M439" s="38"/>
      <c r="N439" s="38"/>
      <c r="O439" s="50"/>
      <c r="P439" s="218"/>
      <c r="Q439" s="50"/>
      <c r="R439" s="50"/>
      <c r="S439" s="38"/>
      <c r="T439" s="51"/>
      <c r="U439" s="65"/>
      <c r="V439" s="105"/>
      <c r="W439" s="66"/>
      <c r="X439" s="66"/>
      <c r="Y439" s="38"/>
      <c r="Z439" s="66">
        <f t="shared" si="219"/>
        <v>0</v>
      </c>
      <c r="AA439" s="67"/>
      <c r="AC439" s="41" t="e">
        <f>VLOOKUP(A439,'Input Sheet'!$A$2:$B$232,2,0)</f>
        <v>#N/A</v>
      </c>
      <c r="AD439" s="70"/>
      <c r="AI439" s="68"/>
      <c r="AL439" s="107">
        <f t="shared" ca="1" si="232"/>
        <v>0</v>
      </c>
      <c r="AM439" s="49">
        <f t="shared" ca="1" si="226"/>
        <v>56645</v>
      </c>
      <c r="AN439" s="137" t="str">
        <f t="shared" ca="1" si="233"/>
        <v xml:space="preserve"> </v>
      </c>
      <c r="AO439" s="107">
        <f t="shared" ca="1" si="222"/>
        <v>0</v>
      </c>
      <c r="AP439" s="143">
        <f t="shared" ca="1" si="220"/>
        <v>0</v>
      </c>
      <c r="AQ439" s="143">
        <f t="shared" ca="1" si="234"/>
        <v>0</v>
      </c>
      <c r="AR439" s="49" t="str">
        <f t="shared" ca="1" si="235"/>
        <v xml:space="preserve"> </v>
      </c>
      <c r="AS439" s="107">
        <f t="shared" ca="1" si="236"/>
        <v>0</v>
      </c>
      <c r="AT439" s="107">
        <f t="shared" ca="1" si="221"/>
        <v>0</v>
      </c>
      <c r="AU439" s="107"/>
      <c r="AV439" s="107">
        <f ca="1">MAX(SUM($AQ$6:AQ439)-SUM($AT$6:AT439),0)</f>
        <v>0</v>
      </c>
      <c r="AW439" s="107">
        <f t="shared" ca="1" si="227"/>
        <v>0</v>
      </c>
      <c r="AX439" s="107">
        <v>0</v>
      </c>
      <c r="AY439" s="138" t="str">
        <f t="shared" ca="1" si="237"/>
        <v xml:space="preserve"> </v>
      </c>
      <c r="AZ439" s="107">
        <f t="shared" ca="1" si="238"/>
        <v>0</v>
      </c>
      <c r="BA439" s="107">
        <f ca="1">IF(AZ439=1,(SUM($AW$6:AW439,$AX$6:AX439)-SUM($BA$6:BA438)),0)</f>
        <v>0</v>
      </c>
      <c r="BB439" s="107"/>
      <c r="BC439" s="107">
        <f ca="1">AV439+SUM($AW$6:AW439)+SUM($AX$6:AX439)-SUM($BA$6:BA439)</f>
        <v>0</v>
      </c>
      <c r="BD439" s="107">
        <f t="shared" ca="1" si="239"/>
        <v>0</v>
      </c>
      <c r="BE439" s="51">
        <f>'PiT PD Structure'!J479</f>
        <v>0</v>
      </c>
      <c r="BF439" s="139">
        <f t="shared" ca="1" si="228"/>
        <v>0.45</v>
      </c>
      <c r="BG439" s="51">
        <f t="shared" ca="1" si="240"/>
        <v>1</v>
      </c>
      <c r="BH439" s="50">
        <f t="shared" ca="1" si="241"/>
        <v>0</v>
      </c>
      <c r="BI439" s="50">
        <f t="shared" ca="1" si="242"/>
        <v>3.4816594052244909E-13</v>
      </c>
      <c r="BJ439" s="140">
        <v>0</v>
      </c>
      <c r="BK439" s="140">
        <v>0</v>
      </c>
      <c r="BR439" s="75">
        <f t="shared" ca="1" si="229"/>
        <v>56645</v>
      </c>
      <c r="BS439" s="74">
        <f t="shared" ca="1" si="243"/>
        <v>1</v>
      </c>
      <c r="BT439" s="74">
        <f t="shared" ca="1" si="223"/>
        <v>0</v>
      </c>
      <c r="BU439" s="73" t="str">
        <f t="shared" ca="1" si="244"/>
        <v xml:space="preserve"> </v>
      </c>
      <c r="BW439" s="75">
        <f t="shared" ca="1" si="245"/>
        <v>56645</v>
      </c>
      <c r="BX439" s="74">
        <f t="shared" ca="1" si="246"/>
        <v>1</v>
      </c>
      <c r="BY439" s="74">
        <f t="shared" ca="1" si="224"/>
        <v>0</v>
      </c>
      <c r="BZ439" s="73" t="str">
        <f t="shared" ca="1" si="247"/>
        <v xml:space="preserve"> </v>
      </c>
      <c r="CB439" s="75">
        <f t="shared" ca="1" si="230"/>
        <v>56645</v>
      </c>
      <c r="CC439" s="74">
        <f t="shared" ca="1" si="248"/>
        <v>1</v>
      </c>
      <c r="CD439" s="74">
        <f t="shared" ca="1" si="225"/>
        <v>0</v>
      </c>
      <c r="CE439" s="73" t="str">
        <f t="shared" ca="1" si="249"/>
        <v xml:space="preserve"> </v>
      </c>
    </row>
    <row r="440" spans="1:83" x14ac:dyDescent="0.2">
      <c r="A440" s="38" t="str">
        <f t="shared" si="231"/>
        <v xml:space="preserve"> </v>
      </c>
      <c r="B440" s="108"/>
      <c r="C440" s="38"/>
      <c r="D440" s="137"/>
      <c r="E440" s="137"/>
      <c r="F440" s="137"/>
      <c r="G440" s="122"/>
      <c r="H440" s="137"/>
      <c r="I440" s="50"/>
      <c r="J440" s="50"/>
      <c r="K440" s="50"/>
      <c r="L440" s="38"/>
      <c r="M440" s="38"/>
      <c r="N440" s="38"/>
      <c r="O440" s="50"/>
      <c r="P440" s="218"/>
      <c r="Q440" s="50"/>
      <c r="R440" s="50"/>
      <c r="S440" s="38"/>
      <c r="T440" s="51"/>
      <c r="U440" s="65"/>
      <c r="V440" s="105"/>
      <c r="W440" s="66"/>
      <c r="X440" s="66"/>
      <c r="Y440" s="38"/>
      <c r="Z440" s="66">
        <f t="shared" si="219"/>
        <v>0</v>
      </c>
      <c r="AA440" s="67"/>
      <c r="AC440" s="41" t="e">
        <f>VLOOKUP(A440,'Input Sheet'!$A$2:$B$232,2,0)</f>
        <v>#N/A</v>
      </c>
      <c r="AD440" s="70"/>
      <c r="AI440" s="68"/>
      <c r="AL440" s="107">
        <f t="shared" ca="1" si="232"/>
        <v>0</v>
      </c>
      <c r="AM440" s="49">
        <f t="shared" ca="1" si="226"/>
        <v>56673</v>
      </c>
      <c r="AN440" s="137" t="str">
        <f t="shared" ca="1" si="233"/>
        <v xml:space="preserve"> </v>
      </c>
      <c r="AO440" s="107">
        <f t="shared" ca="1" si="222"/>
        <v>0</v>
      </c>
      <c r="AP440" s="143">
        <f t="shared" ca="1" si="220"/>
        <v>0</v>
      </c>
      <c r="AQ440" s="143">
        <f t="shared" ca="1" si="234"/>
        <v>0</v>
      </c>
      <c r="AR440" s="49" t="str">
        <f t="shared" ca="1" si="235"/>
        <v xml:space="preserve"> </v>
      </c>
      <c r="AS440" s="107">
        <f t="shared" ca="1" si="236"/>
        <v>0</v>
      </c>
      <c r="AT440" s="107">
        <f t="shared" ca="1" si="221"/>
        <v>0</v>
      </c>
      <c r="AU440" s="107"/>
      <c r="AV440" s="107">
        <f ca="1">MAX(SUM($AQ$6:AQ440)-SUM($AT$6:AT440),0)</f>
        <v>0</v>
      </c>
      <c r="AW440" s="107">
        <f t="shared" ca="1" si="227"/>
        <v>0</v>
      </c>
      <c r="AX440" s="107">
        <v>0</v>
      </c>
      <c r="AY440" s="138" t="str">
        <f t="shared" ca="1" si="237"/>
        <v xml:space="preserve"> </v>
      </c>
      <c r="AZ440" s="107">
        <f t="shared" ca="1" si="238"/>
        <v>0</v>
      </c>
      <c r="BA440" s="107">
        <f ca="1">IF(AZ440=1,(SUM($AW$6:AW440,$AX$6:AX440)-SUM($BA$6:BA439)),0)</f>
        <v>0</v>
      </c>
      <c r="BB440" s="107"/>
      <c r="BC440" s="107">
        <f ca="1">AV440+SUM($AW$6:AW440)+SUM($AX$6:AX440)-SUM($BA$6:BA440)</f>
        <v>0</v>
      </c>
      <c r="BD440" s="107">
        <f t="shared" ca="1" si="239"/>
        <v>0</v>
      </c>
      <c r="BE440" s="51">
        <f>'PiT PD Structure'!J480</f>
        <v>0</v>
      </c>
      <c r="BF440" s="139">
        <f t="shared" ca="1" si="228"/>
        <v>0.45</v>
      </c>
      <c r="BG440" s="51">
        <f t="shared" ca="1" si="240"/>
        <v>1</v>
      </c>
      <c r="BH440" s="50">
        <f t="shared" ca="1" si="241"/>
        <v>0</v>
      </c>
      <c r="BI440" s="50">
        <f t="shared" ca="1" si="242"/>
        <v>3.4816594052244909E-13</v>
      </c>
      <c r="BJ440" s="140">
        <v>0</v>
      </c>
      <c r="BK440" s="140">
        <v>0</v>
      </c>
      <c r="BR440" s="75">
        <f t="shared" ca="1" si="229"/>
        <v>56673</v>
      </c>
      <c r="BS440" s="74">
        <f t="shared" ca="1" si="243"/>
        <v>2</v>
      </c>
      <c r="BT440" s="74">
        <f t="shared" ca="1" si="223"/>
        <v>0</v>
      </c>
      <c r="BU440" s="73" t="str">
        <f t="shared" ca="1" si="244"/>
        <v xml:space="preserve"> </v>
      </c>
      <c r="BW440" s="75">
        <f t="shared" ca="1" si="245"/>
        <v>56673</v>
      </c>
      <c r="BX440" s="74">
        <f t="shared" ca="1" si="246"/>
        <v>2</v>
      </c>
      <c r="BY440" s="74">
        <f t="shared" ca="1" si="224"/>
        <v>0</v>
      </c>
      <c r="BZ440" s="73" t="str">
        <f t="shared" ca="1" si="247"/>
        <v xml:space="preserve"> </v>
      </c>
      <c r="CB440" s="75">
        <f t="shared" ca="1" si="230"/>
        <v>56673</v>
      </c>
      <c r="CC440" s="74">
        <f t="shared" ca="1" si="248"/>
        <v>2</v>
      </c>
      <c r="CD440" s="74">
        <f t="shared" ca="1" si="225"/>
        <v>0</v>
      </c>
      <c r="CE440" s="73" t="str">
        <f t="shared" ca="1" si="249"/>
        <v xml:space="preserve"> </v>
      </c>
    </row>
    <row r="441" spans="1:83" x14ac:dyDescent="0.2">
      <c r="A441" s="38" t="str">
        <f t="shared" si="231"/>
        <v xml:space="preserve"> </v>
      </c>
      <c r="B441" s="108"/>
      <c r="C441" s="38"/>
      <c r="D441" s="137"/>
      <c r="E441" s="137"/>
      <c r="F441" s="137"/>
      <c r="G441" s="122"/>
      <c r="H441" s="137"/>
      <c r="I441" s="50"/>
      <c r="J441" s="50"/>
      <c r="K441" s="50"/>
      <c r="L441" s="38"/>
      <c r="M441" s="38"/>
      <c r="N441" s="38"/>
      <c r="O441" s="50"/>
      <c r="P441" s="218"/>
      <c r="Q441" s="50"/>
      <c r="R441" s="50"/>
      <c r="S441" s="38"/>
      <c r="T441" s="51"/>
      <c r="U441" s="65"/>
      <c r="V441" s="105"/>
      <c r="W441" s="66"/>
      <c r="X441" s="66"/>
      <c r="Y441" s="38"/>
      <c r="Z441" s="66">
        <f t="shared" si="219"/>
        <v>0</v>
      </c>
      <c r="AA441" s="67"/>
      <c r="AC441" s="41" t="e">
        <f>VLOOKUP(A441,'Input Sheet'!$A$2:$B$232,2,0)</f>
        <v>#N/A</v>
      </c>
      <c r="AD441" s="70"/>
      <c r="AI441" s="68"/>
      <c r="AL441" s="107">
        <f t="shared" ca="1" si="232"/>
        <v>0</v>
      </c>
      <c r="AM441" s="49">
        <f t="shared" ca="1" si="226"/>
        <v>56704</v>
      </c>
      <c r="AN441" s="137" t="str">
        <f t="shared" ca="1" si="233"/>
        <v xml:space="preserve"> </v>
      </c>
      <c r="AO441" s="107">
        <f t="shared" ca="1" si="222"/>
        <v>0</v>
      </c>
      <c r="AP441" s="143">
        <f t="shared" ca="1" si="220"/>
        <v>0</v>
      </c>
      <c r="AQ441" s="143">
        <f t="shared" ca="1" si="234"/>
        <v>0</v>
      </c>
      <c r="AR441" s="49" t="str">
        <f t="shared" ca="1" si="235"/>
        <v xml:space="preserve"> </v>
      </c>
      <c r="AS441" s="107">
        <f t="shared" ca="1" si="236"/>
        <v>0</v>
      </c>
      <c r="AT441" s="107">
        <f t="shared" ca="1" si="221"/>
        <v>0</v>
      </c>
      <c r="AU441" s="107"/>
      <c r="AV441" s="107">
        <f ca="1">MAX(SUM($AQ$6:AQ441)-SUM($AT$6:AT441),0)</f>
        <v>0</v>
      </c>
      <c r="AW441" s="107">
        <f t="shared" ca="1" si="227"/>
        <v>0</v>
      </c>
      <c r="AX441" s="107">
        <v>0</v>
      </c>
      <c r="AY441" s="138" t="str">
        <f t="shared" ca="1" si="237"/>
        <v xml:space="preserve"> </v>
      </c>
      <c r="AZ441" s="107">
        <f t="shared" ca="1" si="238"/>
        <v>0</v>
      </c>
      <c r="BA441" s="107">
        <f ca="1">IF(AZ441=1,(SUM($AW$6:AW441,$AX$6:AX441)-SUM($BA$6:BA440)),0)</f>
        <v>0</v>
      </c>
      <c r="BB441" s="107"/>
      <c r="BC441" s="107">
        <f ca="1">AV441+SUM($AW$6:AW441)+SUM($AX$6:AX441)-SUM($BA$6:BA441)</f>
        <v>0</v>
      </c>
      <c r="BD441" s="107">
        <f t="shared" ca="1" si="239"/>
        <v>0</v>
      </c>
      <c r="BE441" s="51">
        <f>'PiT PD Structure'!J481</f>
        <v>0</v>
      </c>
      <c r="BF441" s="139">
        <f t="shared" ca="1" si="228"/>
        <v>0.45</v>
      </c>
      <c r="BG441" s="51">
        <f t="shared" ca="1" si="240"/>
        <v>1</v>
      </c>
      <c r="BH441" s="50">
        <f t="shared" ca="1" si="241"/>
        <v>0</v>
      </c>
      <c r="BI441" s="50">
        <f t="shared" ca="1" si="242"/>
        <v>3.4816594052244909E-13</v>
      </c>
      <c r="BJ441" s="140">
        <v>0</v>
      </c>
      <c r="BK441" s="140">
        <v>0</v>
      </c>
      <c r="BR441" s="75">
        <f t="shared" ca="1" si="229"/>
        <v>56704</v>
      </c>
      <c r="BS441" s="74">
        <f t="shared" ca="1" si="243"/>
        <v>3</v>
      </c>
      <c r="BT441" s="74">
        <f t="shared" ca="1" si="223"/>
        <v>0</v>
      </c>
      <c r="BU441" s="73" t="str">
        <f t="shared" ca="1" si="244"/>
        <v xml:space="preserve"> </v>
      </c>
      <c r="BW441" s="75">
        <f t="shared" ca="1" si="245"/>
        <v>56704</v>
      </c>
      <c r="BX441" s="74">
        <f t="shared" ca="1" si="246"/>
        <v>3</v>
      </c>
      <c r="BY441" s="74">
        <f t="shared" ca="1" si="224"/>
        <v>0</v>
      </c>
      <c r="BZ441" s="73" t="str">
        <f t="shared" ca="1" si="247"/>
        <v xml:space="preserve"> </v>
      </c>
      <c r="CB441" s="75">
        <f t="shared" ca="1" si="230"/>
        <v>56704</v>
      </c>
      <c r="CC441" s="74">
        <f t="shared" ca="1" si="248"/>
        <v>3</v>
      </c>
      <c r="CD441" s="74">
        <f t="shared" ca="1" si="225"/>
        <v>0</v>
      </c>
      <c r="CE441" s="73" t="str">
        <f t="shared" ca="1" si="249"/>
        <v xml:space="preserve"> </v>
      </c>
    </row>
    <row r="442" spans="1:83" x14ac:dyDescent="0.2">
      <c r="A442" s="38" t="str">
        <f t="shared" si="231"/>
        <v xml:space="preserve"> </v>
      </c>
      <c r="B442" s="108"/>
      <c r="C442" s="38"/>
      <c r="D442" s="137"/>
      <c r="E442" s="137"/>
      <c r="F442" s="137"/>
      <c r="G442" s="122"/>
      <c r="H442" s="137"/>
      <c r="I442" s="50"/>
      <c r="J442" s="50"/>
      <c r="K442" s="50"/>
      <c r="L442" s="38"/>
      <c r="M442" s="38"/>
      <c r="N442" s="38"/>
      <c r="O442" s="50"/>
      <c r="P442" s="218"/>
      <c r="Q442" s="50"/>
      <c r="R442" s="50"/>
      <c r="S442" s="38"/>
      <c r="T442" s="51"/>
      <c r="U442" s="65"/>
      <c r="V442" s="105"/>
      <c r="W442" s="66"/>
      <c r="X442" s="66"/>
      <c r="Y442" s="38"/>
      <c r="Z442" s="66">
        <f t="shared" si="219"/>
        <v>0</v>
      </c>
      <c r="AA442" s="67"/>
      <c r="AC442" s="41" t="e">
        <f>VLOOKUP(A442,'Input Sheet'!$A$2:$B$232,2,0)</f>
        <v>#N/A</v>
      </c>
      <c r="AD442" s="70"/>
      <c r="AI442" s="68"/>
      <c r="AL442" s="107">
        <f t="shared" ca="1" si="232"/>
        <v>0</v>
      </c>
      <c r="AM442" s="49">
        <f t="shared" ca="1" si="226"/>
        <v>56734</v>
      </c>
      <c r="AN442" s="137" t="str">
        <f t="shared" ca="1" si="233"/>
        <v xml:space="preserve"> </v>
      </c>
      <c r="AO442" s="107">
        <f t="shared" ca="1" si="222"/>
        <v>0</v>
      </c>
      <c r="AP442" s="143">
        <f t="shared" ca="1" si="220"/>
        <v>0</v>
      </c>
      <c r="AQ442" s="143">
        <f t="shared" ca="1" si="234"/>
        <v>0</v>
      </c>
      <c r="AR442" s="49" t="str">
        <f t="shared" ca="1" si="235"/>
        <v xml:space="preserve"> </v>
      </c>
      <c r="AS442" s="107">
        <f t="shared" ca="1" si="236"/>
        <v>0</v>
      </c>
      <c r="AT442" s="107">
        <f t="shared" ca="1" si="221"/>
        <v>0</v>
      </c>
      <c r="AU442" s="107"/>
      <c r="AV442" s="107">
        <f ca="1">MAX(SUM($AQ$6:AQ442)-SUM($AT$6:AT442),0)</f>
        <v>0</v>
      </c>
      <c r="AW442" s="107">
        <f t="shared" ca="1" si="227"/>
        <v>0</v>
      </c>
      <c r="AX442" s="107">
        <v>0</v>
      </c>
      <c r="AY442" s="138" t="str">
        <f t="shared" ca="1" si="237"/>
        <v xml:space="preserve"> </v>
      </c>
      <c r="AZ442" s="107">
        <f t="shared" ca="1" si="238"/>
        <v>0</v>
      </c>
      <c r="BA442" s="107">
        <f ca="1">IF(AZ442=1,(SUM($AW$6:AW442,$AX$6:AX442)-SUM($BA$6:BA441)),0)</f>
        <v>0</v>
      </c>
      <c r="BB442" s="107"/>
      <c r="BC442" s="107">
        <f ca="1">AV442+SUM($AW$6:AW442)+SUM($AX$6:AX442)-SUM($BA$6:BA442)</f>
        <v>0</v>
      </c>
      <c r="BD442" s="107">
        <f t="shared" ca="1" si="239"/>
        <v>0</v>
      </c>
      <c r="BE442" s="51">
        <f>'PiT PD Structure'!J482</f>
        <v>0</v>
      </c>
      <c r="BF442" s="139">
        <f t="shared" ca="1" si="228"/>
        <v>0.45</v>
      </c>
      <c r="BG442" s="51">
        <f t="shared" ca="1" si="240"/>
        <v>1</v>
      </c>
      <c r="BH442" s="50">
        <f t="shared" ca="1" si="241"/>
        <v>0</v>
      </c>
      <c r="BI442" s="50">
        <f t="shared" ca="1" si="242"/>
        <v>3.4816594052244909E-13</v>
      </c>
      <c r="BJ442" s="140">
        <v>0</v>
      </c>
      <c r="BK442" s="140">
        <v>0</v>
      </c>
      <c r="BR442" s="75">
        <f t="shared" ca="1" si="229"/>
        <v>56734</v>
      </c>
      <c r="BS442" s="74">
        <f t="shared" ca="1" si="243"/>
        <v>4</v>
      </c>
      <c r="BT442" s="74">
        <f t="shared" ca="1" si="223"/>
        <v>0</v>
      </c>
      <c r="BU442" s="73" t="str">
        <f t="shared" ca="1" si="244"/>
        <v xml:space="preserve"> </v>
      </c>
      <c r="BW442" s="75">
        <f t="shared" ca="1" si="245"/>
        <v>56734</v>
      </c>
      <c r="BX442" s="74">
        <f t="shared" ca="1" si="246"/>
        <v>4</v>
      </c>
      <c r="BY442" s="74">
        <f t="shared" ca="1" si="224"/>
        <v>0</v>
      </c>
      <c r="BZ442" s="73" t="str">
        <f t="shared" ca="1" si="247"/>
        <v xml:space="preserve"> </v>
      </c>
      <c r="CB442" s="75">
        <f t="shared" ca="1" si="230"/>
        <v>56734</v>
      </c>
      <c r="CC442" s="74">
        <f t="shared" ca="1" si="248"/>
        <v>4</v>
      </c>
      <c r="CD442" s="74">
        <f t="shared" ca="1" si="225"/>
        <v>0</v>
      </c>
      <c r="CE442" s="73" t="str">
        <f t="shared" ca="1" si="249"/>
        <v xml:space="preserve"> </v>
      </c>
    </row>
    <row r="443" spans="1:83" x14ac:dyDescent="0.2">
      <c r="A443" s="38" t="str">
        <f t="shared" si="231"/>
        <v xml:space="preserve"> </v>
      </c>
      <c r="B443" s="108"/>
      <c r="C443" s="38"/>
      <c r="D443" s="137"/>
      <c r="E443" s="137"/>
      <c r="F443" s="137"/>
      <c r="G443" s="122"/>
      <c r="H443" s="137"/>
      <c r="I443" s="50"/>
      <c r="J443" s="50"/>
      <c r="K443" s="50"/>
      <c r="L443" s="38"/>
      <c r="M443" s="38"/>
      <c r="N443" s="38"/>
      <c r="O443" s="50"/>
      <c r="P443" s="218"/>
      <c r="Q443" s="50"/>
      <c r="R443" s="50"/>
      <c r="S443" s="38"/>
      <c r="T443" s="51"/>
      <c r="U443" s="65"/>
      <c r="V443" s="105"/>
      <c r="W443" s="66"/>
      <c r="X443" s="66"/>
      <c r="Y443" s="38"/>
      <c r="Z443" s="66">
        <f t="shared" si="219"/>
        <v>0</v>
      </c>
      <c r="AA443" s="67"/>
      <c r="AC443" s="41" t="e">
        <f>VLOOKUP(A443,'Input Sheet'!$A$2:$B$232,2,0)</f>
        <v>#N/A</v>
      </c>
      <c r="AD443" s="70"/>
      <c r="AI443" s="68"/>
      <c r="AL443" s="107">
        <f t="shared" ca="1" si="232"/>
        <v>0</v>
      </c>
      <c r="AM443" s="49">
        <f t="shared" ca="1" si="226"/>
        <v>56765</v>
      </c>
      <c r="AN443" s="137" t="str">
        <f t="shared" ca="1" si="233"/>
        <v xml:space="preserve"> </v>
      </c>
      <c r="AO443" s="107">
        <f t="shared" ca="1" si="222"/>
        <v>0</v>
      </c>
      <c r="AP443" s="143">
        <f t="shared" ca="1" si="220"/>
        <v>0</v>
      </c>
      <c r="AQ443" s="143">
        <f t="shared" ca="1" si="234"/>
        <v>0</v>
      </c>
      <c r="AR443" s="49" t="str">
        <f t="shared" ca="1" si="235"/>
        <v xml:space="preserve"> </v>
      </c>
      <c r="AS443" s="107">
        <f t="shared" ca="1" si="236"/>
        <v>0</v>
      </c>
      <c r="AT443" s="107">
        <f t="shared" ca="1" si="221"/>
        <v>0</v>
      </c>
      <c r="AU443" s="107"/>
      <c r="AV443" s="107">
        <f ca="1">MAX(SUM($AQ$6:AQ443)-SUM($AT$6:AT443),0)</f>
        <v>0</v>
      </c>
      <c r="AW443" s="107">
        <f t="shared" ca="1" si="227"/>
        <v>0</v>
      </c>
      <c r="AX443" s="107">
        <v>0</v>
      </c>
      <c r="AY443" s="138" t="str">
        <f t="shared" ca="1" si="237"/>
        <v xml:space="preserve"> </v>
      </c>
      <c r="AZ443" s="107">
        <f t="shared" ca="1" si="238"/>
        <v>0</v>
      </c>
      <c r="BA443" s="107">
        <f ca="1">IF(AZ443=1,(SUM($AW$6:AW443,$AX$6:AX443)-SUM($BA$6:BA442)),0)</f>
        <v>0</v>
      </c>
      <c r="BB443" s="107"/>
      <c r="BC443" s="107">
        <f ca="1">AV443+SUM($AW$6:AW443)+SUM($AX$6:AX443)-SUM($BA$6:BA443)</f>
        <v>0</v>
      </c>
      <c r="BD443" s="107">
        <f t="shared" ca="1" si="239"/>
        <v>0</v>
      </c>
      <c r="BE443" s="51">
        <f>'PiT PD Structure'!J483</f>
        <v>0</v>
      </c>
      <c r="BF443" s="139">
        <f t="shared" ca="1" si="228"/>
        <v>0.45</v>
      </c>
      <c r="BG443" s="51">
        <f t="shared" ca="1" si="240"/>
        <v>1</v>
      </c>
      <c r="BH443" s="50">
        <f t="shared" ca="1" si="241"/>
        <v>0</v>
      </c>
      <c r="BI443" s="50">
        <f t="shared" ca="1" si="242"/>
        <v>3.4816594052244909E-13</v>
      </c>
      <c r="BJ443" s="140">
        <v>0</v>
      </c>
      <c r="BK443" s="140">
        <v>0</v>
      </c>
      <c r="BR443" s="75">
        <f t="shared" ca="1" si="229"/>
        <v>56765</v>
      </c>
      <c r="BS443" s="74">
        <f t="shared" ca="1" si="243"/>
        <v>5</v>
      </c>
      <c r="BT443" s="74">
        <f t="shared" ca="1" si="223"/>
        <v>0</v>
      </c>
      <c r="BU443" s="73" t="str">
        <f t="shared" ca="1" si="244"/>
        <v xml:space="preserve"> </v>
      </c>
      <c r="BW443" s="75">
        <f t="shared" ca="1" si="245"/>
        <v>56765</v>
      </c>
      <c r="BX443" s="74">
        <f t="shared" ca="1" si="246"/>
        <v>5</v>
      </c>
      <c r="BY443" s="74">
        <f t="shared" ca="1" si="224"/>
        <v>0</v>
      </c>
      <c r="BZ443" s="73" t="str">
        <f t="shared" ca="1" si="247"/>
        <v xml:space="preserve"> </v>
      </c>
      <c r="CB443" s="75">
        <f t="shared" ca="1" si="230"/>
        <v>56765</v>
      </c>
      <c r="CC443" s="74">
        <f t="shared" ca="1" si="248"/>
        <v>5</v>
      </c>
      <c r="CD443" s="74">
        <f t="shared" ca="1" si="225"/>
        <v>0</v>
      </c>
      <c r="CE443" s="73" t="str">
        <f t="shared" ca="1" si="249"/>
        <v xml:space="preserve"> </v>
      </c>
    </row>
    <row r="444" spans="1:83" x14ac:dyDescent="0.2">
      <c r="A444" s="38" t="str">
        <f t="shared" si="231"/>
        <v xml:space="preserve"> </v>
      </c>
      <c r="B444" s="108"/>
      <c r="C444" s="38"/>
      <c r="D444" s="137"/>
      <c r="E444" s="137"/>
      <c r="F444" s="137"/>
      <c r="G444" s="122"/>
      <c r="H444" s="137"/>
      <c r="I444" s="50"/>
      <c r="J444" s="50"/>
      <c r="K444" s="50"/>
      <c r="L444" s="38"/>
      <c r="M444" s="38"/>
      <c r="N444" s="38"/>
      <c r="O444" s="50"/>
      <c r="P444" s="218"/>
      <c r="Q444" s="50"/>
      <c r="R444" s="50"/>
      <c r="S444" s="38"/>
      <c r="T444" s="51"/>
      <c r="U444" s="65"/>
      <c r="V444" s="105"/>
      <c r="W444" s="66"/>
      <c r="X444" s="66"/>
      <c r="Y444" s="38"/>
      <c r="Z444" s="66">
        <f t="shared" si="219"/>
        <v>0</v>
      </c>
      <c r="AA444" s="67"/>
      <c r="AC444" s="41" t="e">
        <f>VLOOKUP(A444,'Input Sheet'!$A$2:$B$232,2,0)</f>
        <v>#N/A</v>
      </c>
      <c r="AD444" s="70"/>
      <c r="AI444" s="68"/>
      <c r="AL444" s="107">
        <f t="shared" ref="AL444:AL483" ca="1" si="250">IF(AM444&lt;=$AR$2,AL443+1,0)</f>
        <v>0</v>
      </c>
      <c r="AM444" s="49">
        <f t="shared" ca="1" si="226"/>
        <v>56795</v>
      </c>
      <c r="AN444" s="137" t="str">
        <f t="shared" ref="AN444:AN483" ca="1" si="251">CE444</f>
        <v xml:space="preserve"> </v>
      </c>
      <c r="AO444" s="107">
        <f t="shared" ca="1" si="222"/>
        <v>0</v>
      </c>
      <c r="AP444" s="143">
        <f t="shared" ca="1" si="220"/>
        <v>0</v>
      </c>
      <c r="AQ444" s="143">
        <f t="shared" ref="AQ444:AQ483" ca="1" si="252">IF(AND(AP444&gt;0,AM444&lt;=$AR$2),AQ443+AP444,0)</f>
        <v>0</v>
      </c>
      <c r="AR444" s="49" t="str">
        <f t="shared" ref="AR444:AR483" ca="1" si="253">BU444</f>
        <v xml:space="preserve"> </v>
      </c>
      <c r="AS444" s="107">
        <f t="shared" ref="AS444:AS483" ca="1" si="254">BT444</f>
        <v>0</v>
      </c>
      <c r="AT444" s="107">
        <f t="shared" ca="1" si="221"/>
        <v>0</v>
      </c>
      <c r="AU444" s="107"/>
      <c r="AV444" s="107">
        <f ca="1">MAX(SUM($AQ$6:AQ444)-SUM($AT$6:AT444),0)</f>
        <v>0</v>
      </c>
      <c r="AW444" s="107">
        <f t="shared" ca="1" si="227"/>
        <v>0</v>
      </c>
      <c r="AX444" s="107">
        <v>0</v>
      </c>
      <c r="AY444" s="138" t="str">
        <f t="shared" ref="AY444:AY483" ca="1" si="255">BZ444</f>
        <v xml:space="preserve"> </v>
      </c>
      <c r="AZ444" s="107">
        <f t="shared" ref="AZ444:AZ483" ca="1" si="256">BY444</f>
        <v>0</v>
      </c>
      <c r="BA444" s="107">
        <f ca="1">IF(AZ444=1,(SUM($AW$6:AW444,$AX$6:AX444)-SUM($BA$6:BA443)),0)</f>
        <v>0</v>
      </c>
      <c r="BB444" s="107"/>
      <c r="BC444" s="107">
        <f ca="1">AV444+SUM($AW$6:AW444)+SUM($AX$6:AX444)-SUM($BA$6:BA444)</f>
        <v>0</v>
      </c>
      <c r="BD444" s="107">
        <f t="shared" ref="BD444:BD483" ca="1" si="257">IF(AL444&gt;0,AM444-AM443,0)</f>
        <v>0</v>
      </c>
      <c r="BE444" s="51">
        <f>'PiT PD Structure'!J484</f>
        <v>0</v>
      </c>
      <c r="BF444" s="139">
        <f t="shared" ca="1" si="228"/>
        <v>0.45</v>
      </c>
      <c r="BG444" s="51">
        <f t="shared" ref="BG444:BG483" ca="1" si="258">1/(1+$BE$2)^(BD444/360)</f>
        <v>1</v>
      </c>
      <c r="BH444" s="50">
        <f t="shared" ref="BH444:BH483" ca="1" si="259">IF(AL444=0,0,BC444*BE444*BF444*BG444)</f>
        <v>0</v>
      </c>
      <c r="BI444" s="50">
        <f t="shared" ref="BI444:BI483" ca="1" si="260">BI443-BH443</f>
        <v>3.4816594052244909E-13</v>
      </c>
      <c r="BJ444" s="140">
        <v>0</v>
      </c>
      <c r="BK444" s="140">
        <v>0</v>
      </c>
      <c r="BR444" s="75">
        <f t="shared" ca="1" si="229"/>
        <v>56795</v>
      </c>
      <c r="BS444" s="74">
        <f t="shared" ca="1" si="243"/>
        <v>6</v>
      </c>
      <c r="BT444" s="74">
        <f t="shared" ca="1" si="223"/>
        <v>0</v>
      </c>
      <c r="BU444" s="73" t="str">
        <f t="shared" ca="1" si="244"/>
        <v xml:space="preserve"> </v>
      </c>
      <c r="BW444" s="75">
        <f t="shared" ca="1" si="245"/>
        <v>56795</v>
      </c>
      <c r="BX444" s="74">
        <f t="shared" ca="1" si="246"/>
        <v>6</v>
      </c>
      <c r="BY444" s="74">
        <f t="shared" ca="1" si="224"/>
        <v>0</v>
      </c>
      <c r="BZ444" s="73" t="str">
        <f t="shared" ca="1" si="247"/>
        <v xml:space="preserve"> </v>
      </c>
      <c r="CB444" s="75">
        <f t="shared" ca="1" si="230"/>
        <v>56795</v>
      </c>
      <c r="CC444" s="74">
        <f t="shared" ca="1" si="248"/>
        <v>6</v>
      </c>
      <c r="CD444" s="74">
        <f t="shared" ca="1" si="225"/>
        <v>0</v>
      </c>
      <c r="CE444" s="73" t="str">
        <f t="shared" ca="1" si="249"/>
        <v xml:space="preserve"> </v>
      </c>
    </row>
    <row r="445" spans="1:83" x14ac:dyDescent="0.2">
      <c r="A445" s="38" t="str">
        <f t="shared" si="231"/>
        <v xml:space="preserve"> </v>
      </c>
      <c r="B445" s="108"/>
      <c r="C445" s="38"/>
      <c r="D445" s="137"/>
      <c r="E445" s="137"/>
      <c r="F445" s="137"/>
      <c r="G445" s="122"/>
      <c r="H445" s="137"/>
      <c r="I445" s="50"/>
      <c r="J445" s="50"/>
      <c r="K445" s="50"/>
      <c r="L445" s="38"/>
      <c r="M445" s="38"/>
      <c r="N445" s="38"/>
      <c r="O445" s="50"/>
      <c r="P445" s="218"/>
      <c r="Q445" s="50"/>
      <c r="R445" s="50"/>
      <c r="S445" s="38"/>
      <c r="T445" s="51"/>
      <c r="U445" s="65"/>
      <c r="V445" s="105"/>
      <c r="W445" s="66"/>
      <c r="X445" s="66"/>
      <c r="Y445" s="38"/>
      <c r="Z445" s="66">
        <f t="shared" si="219"/>
        <v>0</v>
      </c>
      <c r="AA445" s="67"/>
      <c r="AC445" s="41" t="e">
        <f>VLOOKUP(A445,'Input Sheet'!$A$2:$B$232,2,0)</f>
        <v>#N/A</v>
      </c>
      <c r="AD445" s="70"/>
      <c r="AI445" s="68"/>
      <c r="AL445" s="107">
        <f t="shared" ca="1" si="250"/>
        <v>0</v>
      </c>
      <c r="AM445" s="49">
        <f t="shared" ca="1" si="226"/>
        <v>56826</v>
      </c>
      <c r="AN445" s="137" t="str">
        <f t="shared" ca="1" si="251"/>
        <v xml:space="preserve"> </v>
      </c>
      <c r="AO445" s="107">
        <f t="shared" ca="1" si="222"/>
        <v>0</v>
      </c>
      <c r="AP445" s="143">
        <f t="shared" ca="1" si="220"/>
        <v>0</v>
      </c>
      <c r="AQ445" s="143">
        <f t="shared" ca="1" si="252"/>
        <v>0</v>
      </c>
      <c r="AR445" s="49" t="str">
        <f t="shared" ca="1" si="253"/>
        <v xml:space="preserve"> </v>
      </c>
      <c r="AS445" s="107">
        <f t="shared" ca="1" si="254"/>
        <v>0</v>
      </c>
      <c r="AT445" s="107">
        <f t="shared" ca="1" si="221"/>
        <v>0</v>
      </c>
      <c r="AU445" s="107"/>
      <c r="AV445" s="107">
        <f ca="1">MAX(SUM($AQ$6:AQ445)-SUM($AT$6:AT445),0)</f>
        <v>0</v>
      </c>
      <c r="AW445" s="107">
        <f t="shared" ca="1" si="227"/>
        <v>0</v>
      </c>
      <c r="AX445" s="107">
        <v>0</v>
      </c>
      <c r="AY445" s="138" t="str">
        <f t="shared" ca="1" si="255"/>
        <v xml:space="preserve"> </v>
      </c>
      <c r="AZ445" s="107">
        <f t="shared" ca="1" si="256"/>
        <v>0</v>
      </c>
      <c r="BA445" s="107">
        <f ca="1">IF(AZ445=1,(SUM($AW$6:AW445,$AX$6:AX445)-SUM($BA$6:BA444)),0)</f>
        <v>0</v>
      </c>
      <c r="BB445" s="107"/>
      <c r="BC445" s="107">
        <f ca="1">AV445+SUM($AW$6:AW445)+SUM($AX$6:AX445)-SUM($BA$6:BA445)</f>
        <v>0</v>
      </c>
      <c r="BD445" s="107">
        <f t="shared" ca="1" si="257"/>
        <v>0</v>
      </c>
      <c r="BE445" s="51">
        <f>'PiT PD Structure'!J485</f>
        <v>0</v>
      </c>
      <c r="BF445" s="139">
        <f t="shared" ca="1" si="228"/>
        <v>0.45</v>
      </c>
      <c r="BG445" s="51">
        <f t="shared" ca="1" si="258"/>
        <v>1</v>
      </c>
      <c r="BH445" s="50">
        <f t="shared" ca="1" si="259"/>
        <v>0</v>
      </c>
      <c r="BI445" s="50">
        <f t="shared" ca="1" si="260"/>
        <v>3.4816594052244909E-13</v>
      </c>
      <c r="BJ445" s="140">
        <v>0</v>
      </c>
      <c r="BK445" s="140">
        <v>0</v>
      </c>
      <c r="BR445" s="75">
        <f t="shared" ca="1" si="229"/>
        <v>56826</v>
      </c>
      <c r="BS445" s="74">
        <f t="shared" ca="1" si="243"/>
        <v>7</v>
      </c>
      <c r="BT445" s="74">
        <f t="shared" ca="1" si="223"/>
        <v>0</v>
      </c>
      <c r="BU445" s="73" t="str">
        <f t="shared" ca="1" si="244"/>
        <v xml:space="preserve"> </v>
      </c>
      <c r="BW445" s="75">
        <f t="shared" ca="1" si="245"/>
        <v>56826</v>
      </c>
      <c r="BX445" s="74">
        <f t="shared" ca="1" si="246"/>
        <v>7</v>
      </c>
      <c r="BY445" s="74">
        <f t="shared" ca="1" si="224"/>
        <v>0</v>
      </c>
      <c r="BZ445" s="73" t="str">
        <f t="shared" ca="1" si="247"/>
        <v xml:space="preserve"> </v>
      </c>
      <c r="CB445" s="75">
        <f t="shared" ca="1" si="230"/>
        <v>56826</v>
      </c>
      <c r="CC445" s="74">
        <f t="shared" ca="1" si="248"/>
        <v>7</v>
      </c>
      <c r="CD445" s="74">
        <f t="shared" ca="1" si="225"/>
        <v>0</v>
      </c>
      <c r="CE445" s="73" t="str">
        <f t="shared" ca="1" si="249"/>
        <v xml:space="preserve"> </v>
      </c>
    </row>
    <row r="446" spans="1:83" x14ac:dyDescent="0.2">
      <c r="A446" s="38" t="str">
        <f t="shared" si="231"/>
        <v xml:space="preserve"> </v>
      </c>
      <c r="B446" s="108"/>
      <c r="C446" s="38"/>
      <c r="D446" s="137"/>
      <c r="E446" s="137"/>
      <c r="F446" s="137"/>
      <c r="G446" s="122"/>
      <c r="H446" s="137"/>
      <c r="I446" s="50"/>
      <c r="J446" s="50"/>
      <c r="K446" s="50"/>
      <c r="L446" s="38"/>
      <c r="M446" s="38"/>
      <c r="N446" s="38"/>
      <c r="O446" s="50"/>
      <c r="P446" s="218"/>
      <c r="Q446" s="50"/>
      <c r="R446" s="50"/>
      <c r="S446" s="38"/>
      <c r="T446" s="51"/>
      <c r="U446" s="65"/>
      <c r="V446" s="105"/>
      <c r="W446" s="66"/>
      <c r="X446" s="66"/>
      <c r="Y446" s="38"/>
      <c r="Z446" s="66">
        <f t="shared" si="219"/>
        <v>0</v>
      </c>
      <c r="AA446" s="67"/>
      <c r="AC446" s="41" t="e">
        <f>VLOOKUP(A446,'Input Sheet'!$A$2:$B$232,2,0)</f>
        <v>#N/A</v>
      </c>
      <c r="AD446" s="70"/>
      <c r="AI446" s="68"/>
      <c r="AL446" s="107">
        <f t="shared" ca="1" si="250"/>
        <v>0</v>
      </c>
      <c r="AM446" s="49">
        <f t="shared" ca="1" si="226"/>
        <v>56857</v>
      </c>
      <c r="AN446" s="137" t="str">
        <f t="shared" ca="1" si="251"/>
        <v xml:space="preserve"> </v>
      </c>
      <c r="AO446" s="107">
        <f t="shared" ca="1" si="222"/>
        <v>0</v>
      </c>
      <c r="AP446" s="143">
        <f t="shared" ca="1" si="220"/>
        <v>0</v>
      </c>
      <c r="AQ446" s="143">
        <f t="shared" ca="1" si="252"/>
        <v>0</v>
      </c>
      <c r="AR446" s="49" t="str">
        <f t="shared" ca="1" si="253"/>
        <v xml:space="preserve"> </v>
      </c>
      <c r="AS446" s="107">
        <f t="shared" ca="1" si="254"/>
        <v>0</v>
      </c>
      <c r="AT446" s="107">
        <f t="shared" ca="1" si="221"/>
        <v>0</v>
      </c>
      <c r="AU446" s="107"/>
      <c r="AV446" s="107">
        <f ca="1">MAX(SUM($AQ$6:AQ446)-SUM($AT$6:AT446),0)</f>
        <v>0</v>
      </c>
      <c r="AW446" s="107">
        <f t="shared" ca="1" si="227"/>
        <v>0</v>
      </c>
      <c r="AX446" s="107">
        <v>0</v>
      </c>
      <c r="AY446" s="138" t="str">
        <f t="shared" ca="1" si="255"/>
        <v xml:space="preserve"> </v>
      </c>
      <c r="AZ446" s="107">
        <f t="shared" ca="1" si="256"/>
        <v>0</v>
      </c>
      <c r="BA446" s="107">
        <f ca="1">IF(AZ446=1,(SUM($AW$6:AW446,$AX$6:AX446)-SUM($BA$6:BA445)),0)</f>
        <v>0</v>
      </c>
      <c r="BB446" s="107"/>
      <c r="BC446" s="107">
        <f ca="1">AV446+SUM($AW$6:AW446)+SUM($AX$6:AX446)-SUM($BA$6:BA446)</f>
        <v>0</v>
      </c>
      <c r="BD446" s="107">
        <f t="shared" ca="1" si="257"/>
        <v>0</v>
      </c>
      <c r="BE446" s="51">
        <f>'PiT PD Structure'!J486</f>
        <v>0</v>
      </c>
      <c r="BF446" s="139">
        <f t="shared" ca="1" si="228"/>
        <v>0.45</v>
      </c>
      <c r="BG446" s="51">
        <f t="shared" ca="1" si="258"/>
        <v>1</v>
      </c>
      <c r="BH446" s="50">
        <f t="shared" ca="1" si="259"/>
        <v>0</v>
      </c>
      <c r="BI446" s="50">
        <f t="shared" ca="1" si="260"/>
        <v>3.4816594052244909E-13</v>
      </c>
      <c r="BJ446" s="140">
        <v>0</v>
      </c>
      <c r="BK446" s="140">
        <v>0</v>
      </c>
      <c r="BR446" s="75">
        <f t="shared" ca="1" si="229"/>
        <v>56857</v>
      </c>
      <c r="BS446" s="74">
        <f t="shared" ca="1" si="243"/>
        <v>8</v>
      </c>
      <c r="BT446" s="74">
        <f t="shared" ca="1" si="223"/>
        <v>0</v>
      </c>
      <c r="BU446" s="73" t="str">
        <f t="shared" ca="1" si="244"/>
        <v xml:space="preserve"> </v>
      </c>
      <c r="BW446" s="75">
        <f t="shared" ca="1" si="245"/>
        <v>56857</v>
      </c>
      <c r="BX446" s="74">
        <f t="shared" ca="1" si="246"/>
        <v>8</v>
      </c>
      <c r="BY446" s="74">
        <f t="shared" ca="1" si="224"/>
        <v>0</v>
      </c>
      <c r="BZ446" s="73" t="str">
        <f t="shared" ca="1" si="247"/>
        <v xml:space="preserve"> </v>
      </c>
      <c r="CB446" s="75">
        <f t="shared" ca="1" si="230"/>
        <v>56857</v>
      </c>
      <c r="CC446" s="74">
        <f t="shared" ca="1" si="248"/>
        <v>8</v>
      </c>
      <c r="CD446" s="74">
        <f t="shared" ca="1" si="225"/>
        <v>0</v>
      </c>
      <c r="CE446" s="73" t="str">
        <f t="shared" ca="1" si="249"/>
        <v xml:space="preserve"> </v>
      </c>
    </row>
    <row r="447" spans="1:83" x14ac:dyDescent="0.2">
      <c r="A447" s="38" t="str">
        <f t="shared" si="231"/>
        <v xml:space="preserve"> </v>
      </c>
      <c r="B447" s="108"/>
      <c r="C447" s="38"/>
      <c r="D447" s="137"/>
      <c r="E447" s="137"/>
      <c r="F447" s="137"/>
      <c r="G447" s="122"/>
      <c r="H447" s="137"/>
      <c r="I447" s="50"/>
      <c r="J447" s="50"/>
      <c r="K447" s="50"/>
      <c r="L447" s="38"/>
      <c r="M447" s="38"/>
      <c r="N447" s="38"/>
      <c r="O447" s="50"/>
      <c r="P447" s="218"/>
      <c r="Q447" s="50"/>
      <c r="R447" s="50"/>
      <c r="S447" s="38"/>
      <c r="T447" s="51"/>
      <c r="U447" s="65"/>
      <c r="V447" s="105"/>
      <c r="W447" s="66"/>
      <c r="X447" s="66"/>
      <c r="Y447" s="38"/>
      <c r="Z447" s="66">
        <f t="shared" si="219"/>
        <v>0</v>
      </c>
      <c r="AA447" s="67"/>
      <c r="AC447" s="41" t="e">
        <f>VLOOKUP(A447,'Input Sheet'!$A$2:$B$232,2,0)</f>
        <v>#N/A</v>
      </c>
      <c r="AD447" s="70"/>
      <c r="AI447" s="68"/>
      <c r="AL447" s="107">
        <f t="shared" ca="1" si="250"/>
        <v>0</v>
      </c>
      <c r="AM447" s="49">
        <f t="shared" ca="1" si="226"/>
        <v>56887</v>
      </c>
      <c r="AN447" s="137" t="str">
        <f t="shared" ca="1" si="251"/>
        <v xml:space="preserve"> </v>
      </c>
      <c r="AO447" s="107">
        <f t="shared" ca="1" si="222"/>
        <v>0</v>
      </c>
      <c r="AP447" s="143">
        <f t="shared" ca="1" si="220"/>
        <v>0</v>
      </c>
      <c r="AQ447" s="143">
        <f t="shared" ca="1" si="252"/>
        <v>0</v>
      </c>
      <c r="AR447" s="49" t="str">
        <f t="shared" ca="1" si="253"/>
        <v xml:space="preserve"> </v>
      </c>
      <c r="AS447" s="107">
        <f t="shared" ca="1" si="254"/>
        <v>0</v>
      </c>
      <c r="AT447" s="107">
        <f t="shared" ca="1" si="221"/>
        <v>0</v>
      </c>
      <c r="AU447" s="107"/>
      <c r="AV447" s="107">
        <f ca="1">MAX(SUM($AQ$6:AQ447)-SUM($AT$6:AT447),0)</f>
        <v>0</v>
      </c>
      <c r="AW447" s="107">
        <f t="shared" ca="1" si="227"/>
        <v>0</v>
      </c>
      <c r="AX447" s="107">
        <v>0</v>
      </c>
      <c r="AY447" s="138" t="str">
        <f t="shared" ca="1" si="255"/>
        <v xml:space="preserve"> </v>
      </c>
      <c r="AZ447" s="107">
        <f t="shared" ca="1" si="256"/>
        <v>0</v>
      </c>
      <c r="BA447" s="107">
        <f ca="1">IF(AZ447=1,(SUM($AW$6:AW447,$AX$6:AX447)-SUM($BA$6:BA446)),0)</f>
        <v>0</v>
      </c>
      <c r="BB447" s="107"/>
      <c r="BC447" s="107">
        <f ca="1">AV447+SUM($AW$6:AW447)+SUM($AX$6:AX447)-SUM($BA$6:BA447)</f>
        <v>0</v>
      </c>
      <c r="BD447" s="107">
        <f t="shared" ca="1" si="257"/>
        <v>0</v>
      </c>
      <c r="BE447" s="51">
        <f>'PiT PD Structure'!J487</f>
        <v>0</v>
      </c>
      <c r="BF447" s="139">
        <f t="shared" ca="1" si="228"/>
        <v>0.45</v>
      </c>
      <c r="BG447" s="51">
        <f t="shared" ca="1" si="258"/>
        <v>1</v>
      </c>
      <c r="BH447" s="50">
        <f t="shared" ca="1" si="259"/>
        <v>0</v>
      </c>
      <c r="BI447" s="50">
        <f t="shared" ca="1" si="260"/>
        <v>3.4816594052244909E-13</v>
      </c>
      <c r="BJ447" s="140">
        <v>0</v>
      </c>
      <c r="BK447" s="140">
        <v>0</v>
      </c>
      <c r="BR447" s="75">
        <f t="shared" ca="1" si="229"/>
        <v>56887</v>
      </c>
      <c r="BS447" s="74">
        <f t="shared" ca="1" si="243"/>
        <v>9</v>
      </c>
      <c r="BT447" s="74">
        <f t="shared" ca="1" si="223"/>
        <v>0</v>
      </c>
      <c r="BU447" s="73" t="str">
        <f t="shared" ca="1" si="244"/>
        <v xml:space="preserve"> </v>
      </c>
      <c r="BW447" s="75">
        <f t="shared" ca="1" si="245"/>
        <v>56887</v>
      </c>
      <c r="BX447" s="74">
        <f t="shared" ca="1" si="246"/>
        <v>9</v>
      </c>
      <c r="BY447" s="74">
        <f t="shared" ca="1" si="224"/>
        <v>0</v>
      </c>
      <c r="BZ447" s="73" t="str">
        <f t="shared" ca="1" si="247"/>
        <v xml:space="preserve"> </v>
      </c>
      <c r="CB447" s="75">
        <f t="shared" ca="1" si="230"/>
        <v>56887</v>
      </c>
      <c r="CC447" s="74">
        <f t="shared" ca="1" si="248"/>
        <v>9</v>
      </c>
      <c r="CD447" s="74">
        <f t="shared" ca="1" si="225"/>
        <v>0</v>
      </c>
      <c r="CE447" s="73" t="str">
        <f t="shared" ca="1" si="249"/>
        <v xml:space="preserve"> </v>
      </c>
    </row>
    <row r="448" spans="1:83" x14ac:dyDescent="0.2">
      <c r="A448" s="38" t="str">
        <f t="shared" si="231"/>
        <v xml:space="preserve"> </v>
      </c>
      <c r="B448" s="108"/>
      <c r="C448" s="38"/>
      <c r="D448" s="137"/>
      <c r="E448" s="137"/>
      <c r="F448" s="137"/>
      <c r="G448" s="122"/>
      <c r="H448" s="137"/>
      <c r="I448" s="50"/>
      <c r="J448" s="50"/>
      <c r="K448" s="50"/>
      <c r="L448" s="38"/>
      <c r="M448" s="38"/>
      <c r="N448" s="38"/>
      <c r="O448" s="50"/>
      <c r="P448" s="218"/>
      <c r="Q448" s="50"/>
      <c r="R448" s="50"/>
      <c r="S448" s="38"/>
      <c r="T448" s="51"/>
      <c r="U448" s="65"/>
      <c r="V448" s="105"/>
      <c r="W448" s="66"/>
      <c r="X448" s="66"/>
      <c r="Y448" s="38"/>
      <c r="Z448" s="66">
        <f t="shared" si="219"/>
        <v>0</v>
      </c>
      <c r="AA448" s="67"/>
      <c r="AC448" s="41" t="e">
        <f>VLOOKUP(A448,'Input Sheet'!$A$2:$B$232,2,0)</f>
        <v>#N/A</v>
      </c>
      <c r="AD448" s="70"/>
      <c r="AI448" s="68"/>
      <c r="AL448" s="107">
        <f t="shared" ca="1" si="250"/>
        <v>0</v>
      </c>
      <c r="AM448" s="49">
        <f t="shared" ca="1" si="226"/>
        <v>56918</v>
      </c>
      <c r="AN448" s="137" t="str">
        <f t="shared" ca="1" si="251"/>
        <v xml:space="preserve"> </v>
      </c>
      <c r="AO448" s="107">
        <f t="shared" ca="1" si="222"/>
        <v>0</v>
      </c>
      <c r="AP448" s="143">
        <f t="shared" ca="1" si="220"/>
        <v>0</v>
      </c>
      <c r="AQ448" s="143">
        <f t="shared" ca="1" si="252"/>
        <v>0</v>
      </c>
      <c r="AR448" s="49" t="str">
        <f t="shared" ca="1" si="253"/>
        <v xml:space="preserve"> </v>
      </c>
      <c r="AS448" s="107">
        <f t="shared" ca="1" si="254"/>
        <v>0</v>
      </c>
      <c r="AT448" s="107">
        <f t="shared" ca="1" si="221"/>
        <v>0</v>
      </c>
      <c r="AU448" s="107"/>
      <c r="AV448" s="107">
        <f ca="1">MAX(SUM($AQ$6:AQ448)-SUM($AT$6:AT448),0)</f>
        <v>0</v>
      </c>
      <c r="AW448" s="107">
        <f t="shared" ca="1" si="227"/>
        <v>0</v>
      </c>
      <c r="AX448" s="107">
        <v>0</v>
      </c>
      <c r="AY448" s="138" t="str">
        <f t="shared" ca="1" si="255"/>
        <v xml:space="preserve"> </v>
      </c>
      <c r="AZ448" s="107">
        <f t="shared" ca="1" si="256"/>
        <v>0</v>
      </c>
      <c r="BA448" s="107">
        <f ca="1">IF(AZ448=1,(SUM($AW$6:AW448,$AX$6:AX448)-SUM($BA$6:BA447)),0)</f>
        <v>0</v>
      </c>
      <c r="BB448" s="107"/>
      <c r="BC448" s="107">
        <f ca="1">AV448+SUM($AW$6:AW448)+SUM($AX$6:AX448)-SUM($BA$6:BA448)</f>
        <v>0</v>
      </c>
      <c r="BD448" s="107">
        <f t="shared" ca="1" si="257"/>
        <v>0</v>
      </c>
      <c r="BE448" s="51">
        <f>'PiT PD Structure'!J488</f>
        <v>0</v>
      </c>
      <c r="BF448" s="139">
        <f t="shared" ca="1" si="228"/>
        <v>0.45</v>
      </c>
      <c r="BG448" s="51">
        <f t="shared" ca="1" si="258"/>
        <v>1</v>
      </c>
      <c r="BH448" s="50">
        <f t="shared" ca="1" si="259"/>
        <v>0</v>
      </c>
      <c r="BI448" s="50">
        <f t="shared" ca="1" si="260"/>
        <v>3.4816594052244909E-13</v>
      </c>
      <c r="BJ448" s="140">
        <v>0</v>
      </c>
      <c r="BK448" s="140">
        <v>0</v>
      </c>
      <c r="BR448" s="75">
        <f t="shared" ca="1" si="229"/>
        <v>56918</v>
      </c>
      <c r="BS448" s="74">
        <f t="shared" ca="1" si="243"/>
        <v>10</v>
      </c>
      <c r="BT448" s="74">
        <f t="shared" ca="1" si="223"/>
        <v>0</v>
      </c>
      <c r="BU448" s="73" t="str">
        <f t="shared" ca="1" si="244"/>
        <v xml:space="preserve"> </v>
      </c>
      <c r="BW448" s="75">
        <f t="shared" ca="1" si="245"/>
        <v>56918</v>
      </c>
      <c r="BX448" s="74">
        <f t="shared" ca="1" si="246"/>
        <v>10</v>
      </c>
      <c r="BY448" s="74">
        <f t="shared" ca="1" si="224"/>
        <v>0</v>
      </c>
      <c r="BZ448" s="73" t="str">
        <f t="shared" ca="1" si="247"/>
        <v xml:space="preserve"> </v>
      </c>
      <c r="CB448" s="75">
        <f t="shared" ca="1" si="230"/>
        <v>56918</v>
      </c>
      <c r="CC448" s="74">
        <f t="shared" ca="1" si="248"/>
        <v>10</v>
      </c>
      <c r="CD448" s="74">
        <f t="shared" ca="1" si="225"/>
        <v>0</v>
      </c>
      <c r="CE448" s="73" t="str">
        <f t="shared" ca="1" si="249"/>
        <v xml:space="preserve"> </v>
      </c>
    </row>
    <row r="449" spans="1:83" x14ac:dyDescent="0.2">
      <c r="A449" s="38" t="str">
        <f t="shared" si="231"/>
        <v xml:space="preserve"> </v>
      </c>
      <c r="B449" s="108"/>
      <c r="C449" s="38"/>
      <c r="D449" s="137"/>
      <c r="E449" s="137"/>
      <c r="F449" s="137"/>
      <c r="G449" s="122"/>
      <c r="H449" s="137"/>
      <c r="I449" s="50"/>
      <c r="J449" s="50"/>
      <c r="K449" s="50"/>
      <c r="L449" s="38"/>
      <c r="M449" s="38"/>
      <c r="N449" s="38"/>
      <c r="O449" s="50"/>
      <c r="P449" s="218"/>
      <c r="Q449" s="50"/>
      <c r="R449" s="50"/>
      <c r="S449" s="38"/>
      <c r="T449" s="51"/>
      <c r="U449" s="65"/>
      <c r="V449" s="105"/>
      <c r="W449" s="66"/>
      <c r="X449" s="66"/>
      <c r="Y449" s="38"/>
      <c r="Z449" s="66">
        <f t="shared" si="219"/>
        <v>0</v>
      </c>
      <c r="AA449" s="67"/>
      <c r="AC449" s="41" t="e">
        <f>VLOOKUP(A449,'Input Sheet'!$A$2:$B$232,2,0)</f>
        <v>#N/A</v>
      </c>
      <c r="AD449" s="70"/>
      <c r="AI449" s="68"/>
      <c r="AL449" s="107">
        <f t="shared" ca="1" si="250"/>
        <v>0</v>
      </c>
      <c r="AM449" s="49">
        <f t="shared" ca="1" si="226"/>
        <v>56948</v>
      </c>
      <c r="AN449" s="137" t="str">
        <f t="shared" ca="1" si="251"/>
        <v xml:space="preserve"> </v>
      </c>
      <c r="AO449" s="107">
        <f t="shared" ca="1" si="222"/>
        <v>0</v>
      </c>
      <c r="AP449" s="143">
        <f t="shared" ca="1" si="220"/>
        <v>0</v>
      </c>
      <c r="AQ449" s="143">
        <f t="shared" ca="1" si="252"/>
        <v>0</v>
      </c>
      <c r="AR449" s="49" t="str">
        <f t="shared" ca="1" si="253"/>
        <v xml:space="preserve"> </v>
      </c>
      <c r="AS449" s="107">
        <f t="shared" ca="1" si="254"/>
        <v>0</v>
      </c>
      <c r="AT449" s="107">
        <f t="shared" ca="1" si="221"/>
        <v>0</v>
      </c>
      <c r="AU449" s="107"/>
      <c r="AV449" s="107">
        <f ca="1">MAX(SUM($AQ$6:AQ449)-SUM($AT$6:AT449),0)</f>
        <v>0</v>
      </c>
      <c r="AW449" s="107">
        <f t="shared" ca="1" si="227"/>
        <v>0</v>
      </c>
      <c r="AX449" s="107">
        <v>0</v>
      </c>
      <c r="AY449" s="138" t="str">
        <f t="shared" ca="1" si="255"/>
        <v xml:space="preserve"> </v>
      </c>
      <c r="AZ449" s="107">
        <f t="shared" ca="1" si="256"/>
        <v>0</v>
      </c>
      <c r="BA449" s="107">
        <f ca="1">IF(AZ449=1,(SUM($AW$6:AW449,$AX$6:AX449)-SUM($BA$6:BA448)),0)</f>
        <v>0</v>
      </c>
      <c r="BB449" s="107"/>
      <c r="BC449" s="107">
        <f ca="1">AV449+SUM($AW$6:AW449)+SUM($AX$6:AX449)-SUM($BA$6:BA449)</f>
        <v>0</v>
      </c>
      <c r="BD449" s="107">
        <f t="shared" ca="1" si="257"/>
        <v>0</v>
      </c>
      <c r="BE449" s="51">
        <f>'PiT PD Structure'!J489</f>
        <v>0</v>
      </c>
      <c r="BF449" s="139">
        <f t="shared" ca="1" si="228"/>
        <v>0.45</v>
      </c>
      <c r="BG449" s="51">
        <f t="shared" ca="1" si="258"/>
        <v>1</v>
      </c>
      <c r="BH449" s="50">
        <f t="shared" ca="1" si="259"/>
        <v>0</v>
      </c>
      <c r="BI449" s="50">
        <f t="shared" ca="1" si="260"/>
        <v>3.4816594052244909E-13</v>
      </c>
      <c r="BJ449" s="140">
        <v>0</v>
      </c>
      <c r="BK449" s="140">
        <v>0</v>
      </c>
      <c r="BR449" s="75">
        <f t="shared" ca="1" si="229"/>
        <v>56948</v>
      </c>
      <c r="BS449" s="74">
        <f t="shared" ca="1" si="243"/>
        <v>11</v>
      </c>
      <c r="BT449" s="74">
        <f t="shared" ca="1" si="223"/>
        <v>0</v>
      </c>
      <c r="BU449" s="73" t="str">
        <f t="shared" ca="1" si="244"/>
        <v xml:space="preserve"> </v>
      </c>
      <c r="BW449" s="75">
        <f t="shared" ca="1" si="245"/>
        <v>56948</v>
      </c>
      <c r="BX449" s="74">
        <f t="shared" ca="1" si="246"/>
        <v>11</v>
      </c>
      <c r="BY449" s="74">
        <f t="shared" ca="1" si="224"/>
        <v>0</v>
      </c>
      <c r="BZ449" s="73" t="str">
        <f t="shared" ca="1" si="247"/>
        <v xml:space="preserve"> </v>
      </c>
      <c r="CB449" s="75">
        <f t="shared" ca="1" si="230"/>
        <v>56948</v>
      </c>
      <c r="CC449" s="74">
        <f t="shared" ca="1" si="248"/>
        <v>11</v>
      </c>
      <c r="CD449" s="74">
        <f t="shared" ca="1" si="225"/>
        <v>0</v>
      </c>
      <c r="CE449" s="73" t="str">
        <f t="shared" ca="1" si="249"/>
        <v xml:space="preserve"> </v>
      </c>
    </row>
    <row r="450" spans="1:83" x14ac:dyDescent="0.2">
      <c r="A450" s="38" t="str">
        <f t="shared" si="231"/>
        <v xml:space="preserve"> </v>
      </c>
      <c r="B450" s="108"/>
      <c r="C450" s="38"/>
      <c r="D450" s="137"/>
      <c r="E450" s="137"/>
      <c r="F450" s="137"/>
      <c r="G450" s="122"/>
      <c r="H450" s="137"/>
      <c r="I450" s="50"/>
      <c r="J450" s="50"/>
      <c r="K450" s="50"/>
      <c r="L450" s="38"/>
      <c r="M450" s="38"/>
      <c r="N450" s="38"/>
      <c r="O450" s="50"/>
      <c r="P450" s="218"/>
      <c r="Q450" s="50"/>
      <c r="R450" s="50"/>
      <c r="S450" s="38"/>
      <c r="T450" s="51"/>
      <c r="U450" s="65"/>
      <c r="V450" s="105"/>
      <c r="W450" s="66"/>
      <c r="X450" s="66"/>
      <c r="Y450" s="38"/>
      <c r="Z450" s="66">
        <f t="shared" si="219"/>
        <v>0</v>
      </c>
      <c r="AA450" s="67"/>
      <c r="AC450" s="41" t="e">
        <f>VLOOKUP(A450,'Input Sheet'!$A$2:$B$232,2,0)</f>
        <v>#N/A</v>
      </c>
      <c r="AD450" s="70"/>
      <c r="AI450" s="68"/>
      <c r="AL450" s="107">
        <f t="shared" ca="1" si="250"/>
        <v>0</v>
      </c>
      <c r="AM450" s="49">
        <f t="shared" ca="1" si="226"/>
        <v>56979</v>
      </c>
      <c r="AN450" s="137" t="str">
        <f t="shared" ca="1" si="251"/>
        <v xml:space="preserve"> </v>
      </c>
      <c r="AO450" s="107">
        <f t="shared" ca="1" si="222"/>
        <v>0</v>
      </c>
      <c r="AP450" s="143">
        <f t="shared" ca="1" si="220"/>
        <v>0</v>
      </c>
      <c r="AQ450" s="143">
        <f t="shared" ca="1" si="252"/>
        <v>0</v>
      </c>
      <c r="AR450" s="49" t="str">
        <f t="shared" ca="1" si="253"/>
        <v xml:space="preserve"> </v>
      </c>
      <c r="AS450" s="107">
        <f t="shared" ca="1" si="254"/>
        <v>0</v>
      </c>
      <c r="AT450" s="107">
        <f t="shared" ca="1" si="221"/>
        <v>0</v>
      </c>
      <c r="AU450" s="107"/>
      <c r="AV450" s="107">
        <f ca="1">MAX(SUM($AQ$6:AQ450)-SUM($AT$6:AT450),0)</f>
        <v>0</v>
      </c>
      <c r="AW450" s="107">
        <f t="shared" ca="1" si="227"/>
        <v>0</v>
      </c>
      <c r="AX450" s="107">
        <v>0</v>
      </c>
      <c r="AY450" s="138" t="str">
        <f t="shared" ca="1" si="255"/>
        <v xml:space="preserve"> </v>
      </c>
      <c r="AZ450" s="107">
        <f t="shared" ca="1" si="256"/>
        <v>0</v>
      </c>
      <c r="BA450" s="107">
        <f ca="1">IF(AZ450=1,(SUM($AW$6:AW450,$AX$6:AX450)-SUM($BA$6:BA449)),0)</f>
        <v>0</v>
      </c>
      <c r="BB450" s="107"/>
      <c r="BC450" s="107">
        <f ca="1">AV450+SUM($AW$6:AW450)+SUM($AX$6:AX450)-SUM($BA$6:BA450)</f>
        <v>0</v>
      </c>
      <c r="BD450" s="107">
        <f t="shared" ca="1" si="257"/>
        <v>0</v>
      </c>
      <c r="BE450" s="51">
        <f>'PiT PD Structure'!J490</f>
        <v>0</v>
      </c>
      <c r="BF450" s="139">
        <f t="shared" ca="1" si="228"/>
        <v>0.45</v>
      </c>
      <c r="BG450" s="51">
        <f t="shared" ca="1" si="258"/>
        <v>1</v>
      </c>
      <c r="BH450" s="50">
        <f t="shared" ca="1" si="259"/>
        <v>0</v>
      </c>
      <c r="BI450" s="50">
        <f t="shared" ca="1" si="260"/>
        <v>3.4816594052244909E-13</v>
      </c>
      <c r="BJ450" s="140">
        <v>0</v>
      </c>
      <c r="BK450" s="140">
        <v>0</v>
      </c>
      <c r="BR450" s="75">
        <f t="shared" ca="1" si="229"/>
        <v>56979</v>
      </c>
      <c r="BS450" s="74">
        <f t="shared" ca="1" si="243"/>
        <v>12</v>
      </c>
      <c r="BT450" s="74">
        <f t="shared" ca="1" si="223"/>
        <v>0</v>
      </c>
      <c r="BU450" s="73" t="str">
        <f t="shared" ca="1" si="244"/>
        <v xml:space="preserve"> </v>
      </c>
      <c r="BW450" s="75">
        <f t="shared" ca="1" si="245"/>
        <v>56979</v>
      </c>
      <c r="BX450" s="74">
        <f t="shared" ca="1" si="246"/>
        <v>12</v>
      </c>
      <c r="BY450" s="74">
        <f t="shared" ca="1" si="224"/>
        <v>0</v>
      </c>
      <c r="BZ450" s="73" t="str">
        <f t="shared" ca="1" si="247"/>
        <v xml:space="preserve"> </v>
      </c>
      <c r="CB450" s="75">
        <f t="shared" ca="1" si="230"/>
        <v>56979</v>
      </c>
      <c r="CC450" s="74">
        <f t="shared" ca="1" si="248"/>
        <v>12</v>
      </c>
      <c r="CD450" s="74">
        <f t="shared" ca="1" si="225"/>
        <v>0</v>
      </c>
      <c r="CE450" s="73" t="str">
        <f t="shared" ca="1" si="249"/>
        <v xml:space="preserve"> </v>
      </c>
    </row>
    <row r="451" spans="1:83" x14ac:dyDescent="0.2">
      <c r="A451" s="38" t="str">
        <f t="shared" si="231"/>
        <v xml:space="preserve"> </v>
      </c>
      <c r="B451" s="108"/>
      <c r="C451" s="38"/>
      <c r="D451" s="137"/>
      <c r="E451" s="137"/>
      <c r="F451" s="137"/>
      <c r="G451" s="122"/>
      <c r="H451" s="137"/>
      <c r="I451" s="50"/>
      <c r="J451" s="50"/>
      <c r="K451" s="50"/>
      <c r="L451" s="38"/>
      <c r="M451" s="38"/>
      <c r="N451" s="38"/>
      <c r="O451" s="50"/>
      <c r="P451" s="218"/>
      <c r="Q451" s="50"/>
      <c r="R451" s="50"/>
      <c r="S451" s="38"/>
      <c r="T451" s="51"/>
      <c r="U451" s="65"/>
      <c r="V451" s="105"/>
      <c r="W451" s="66"/>
      <c r="X451" s="66"/>
      <c r="Y451" s="38"/>
      <c r="Z451" s="66">
        <f t="shared" si="219"/>
        <v>0</v>
      </c>
      <c r="AA451" s="67"/>
      <c r="AC451" s="41" t="e">
        <f>VLOOKUP(A451,'Input Sheet'!$A$2:$B$232,2,0)</f>
        <v>#N/A</v>
      </c>
      <c r="AD451" s="70"/>
      <c r="AI451" s="68"/>
      <c r="AL451" s="107">
        <f t="shared" ca="1" si="250"/>
        <v>0</v>
      </c>
      <c r="AM451" s="49">
        <f t="shared" ca="1" si="226"/>
        <v>57010</v>
      </c>
      <c r="AN451" s="137" t="str">
        <f t="shared" ca="1" si="251"/>
        <v xml:space="preserve"> </v>
      </c>
      <c r="AO451" s="107">
        <f t="shared" ca="1" si="222"/>
        <v>0</v>
      </c>
      <c r="AP451" s="143">
        <f t="shared" ca="1" si="220"/>
        <v>0</v>
      </c>
      <c r="AQ451" s="143">
        <f t="shared" ca="1" si="252"/>
        <v>0</v>
      </c>
      <c r="AR451" s="49" t="str">
        <f t="shared" ca="1" si="253"/>
        <v xml:space="preserve"> </v>
      </c>
      <c r="AS451" s="107">
        <f t="shared" ca="1" si="254"/>
        <v>0</v>
      </c>
      <c r="AT451" s="107">
        <f t="shared" ca="1" si="221"/>
        <v>0</v>
      </c>
      <c r="AU451" s="107"/>
      <c r="AV451" s="107">
        <f ca="1">MAX(SUM($AQ$6:AQ451)-SUM($AT$6:AT451),0)</f>
        <v>0</v>
      </c>
      <c r="AW451" s="107">
        <f t="shared" ca="1" si="227"/>
        <v>0</v>
      </c>
      <c r="AX451" s="107">
        <v>0</v>
      </c>
      <c r="AY451" s="138" t="str">
        <f t="shared" ca="1" si="255"/>
        <v xml:space="preserve"> </v>
      </c>
      <c r="AZ451" s="107">
        <f t="shared" ca="1" si="256"/>
        <v>0</v>
      </c>
      <c r="BA451" s="107">
        <f ca="1">IF(AZ451=1,(SUM($AW$6:AW451,$AX$6:AX451)-SUM($BA$6:BA450)),0)</f>
        <v>0</v>
      </c>
      <c r="BB451" s="107"/>
      <c r="BC451" s="107">
        <f ca="1">AV451+SUM($AW$6:AW451)+SUM($AX$6:AX451)-SUM($BA$6:BA451)</f>
        <v>0</v>
      </c>
      <c r="BD451" s="107">
        <f t="shared" ca="1" si="257"/>
        <v>0</v>
      </c>
      <c r="BE451" s="51">
        <f>'PiT PD Structure'!J491</f>
        <v>0</v>
      </c>
      <c r="BF451" s="139">
        <f t="shared" ca="1" si="228"/>
        <v>0.45</v>
      </c>
      <c r="BG451" s="51">
        <f t="shared" ca="1" si="258"/>
        <v>1</v>
      </c>
      <c r="BH451" s="50">
        <f t="shared" ca="1" si="259"/>
        <v>0</v>
      </c>
      <c r="BI451" s="50">
        <f t="shared" ca="1" si="260"/>
        <v>3.4816594052244909E-13</v>
      </c>
      <c r="BJ451" s="140">
        <v>0</v>
      </c>
      <c r="BK451" s="140">
        <v>0</v>
      </c>
      <c r="BR451" s="75">
        <f t="shared" ca="1" si="229"/>
        <v>57010</v>
      </c>
      <c r="BS451" s="74">
        <f t="shared" ca="1" si="243"/>
        <v>1</v>
      </c>
      <c r="BT451" s="74">
        <f t="shared" ca="1" si="223"/>
        <v>0</v>
      </c>
      <c r="BU451" s="73" t="str">
        <f t="shared" ca="1" si="244"/>
        <v xml:space="preserve"> </v>
      </c>
      <c r="BW451" s="75">
        <f t="shared" ca="1" si="245"/>
        <v>57010</v>
      </c>
      <c r="BX451" s="74">
        <f t="shared" ca="1" si="246"/>
        <v>1</v>
      </c>
      <c r="BY451" s="74">
        <f t="shared" ca="1" si="224"/>
        <v>0</v>
      </c>
      <c r="BZ451" s="73" t="str">
        <f t="shared" ca="1" si="247"/>
        <v xml:space="preserve"> </v>
      </c>
      <c r="CB451" s="75">
        <f t="shared" ca="1" si="230"/>
        <v>57010</v>
      </c>
      <c r="CC451" s="74">
        <f t="shared" ca="1" si="248"/>
        <v>1</v>
      </c>
      <c r="CD451" s="74">
        <f t="shared" ca="1" si="225"/>
        <v>0</v>
      </c>
      <c r="CE451" s="73" t="str">
        <f t="shared" ca="1" si="249"/>
        <v xml:space="preserve"> </v>
      </c>
    </row>
    <row r="452" spans="1:83" x14ac:dyDescent="0.2">
      <c r="A452" s="38" t="str">
        <f t="shared" si="231"/>
        <v xml:space="preserve"> </v>
      </c>
      <c r="B452" s="108"/>
      <c r="C452" s="38"/>
      <c r="D452" s="137"/>
      <c r="E452" s="137"/>
      <c r="F452" s="137"/>
      <c r="G452" s="122"/>
      <c r="H452" s="137"/>
      <c r="I452" s="50"/>
      <c r="J452" s="50"/>
      <c r="K452" s="50"/>
      <c r="L452" s="38"/>
      <c r="M452" s="38"/>
      <c r="N452" s="38"/>
      <c r="O452" s="50"/>
      <c r="P452" s="218"/>
      <c r="Q452" s="50"/>
      <c r="R452" s="50"/>
      <c r="S452" s="38"/>
      <c r="T452" s="51"/>
      <c r="U452" s="65"/>
      <c r="V452" s="105"/>
      <c r="W452" s="66"/>
      <c r="X452" s="66"/>
      <c r="Y452" s="38"/>
      <c r="Z452" s="66">
        <f t="shared" si="219"/>
        <v>0</v>
      </c>
      <c r="AA452" s="67"/>
      <c r="AC452" s="41" t="e">
        <f>VLOOKUP(A452,'Input Sheet'!$A$2:$B$232,2,0)</f>
        <v>#N/A</v>
      </c>
      <c r="AD452" s="70"/>
      <c r="AI452" s="68"/>
      <c r="AL452" s="107">
        <f t="shared" ca="1" si="250"/>
        <v>0</v>
      </c>
      <c r="AM452" s="49">
        <f t="shared" ca="1" si="226"/>
        <v>57039</v>
      </c>
      <c r="AN452" s="137" t="str">
        <f t="shared" ca="1" si="251"/>
        <v xml:space="preserve"> </v>
      </c>
      <c r="AO452" s="107">
        <f t="shared" ca="1" si="222"/>
        <v>0</v>
      </c>
      <c r="AP452" s="143">
        <f t="shared" ca="1" si="220"/>
        <v>0</v>
      </c>
      <c r="AQ452" s="143">
        <f t="shared" ca="1" si="252"/>
        <v>0</v>
      </c>
      <c r="AR452" s="49" t="str">
        <f t="shared" ca="1" si="253"/>
        <v xml:space="preserve"> </v>
      </c>
      <c r="AS452" s="107">
        <f t="shared" ca="1" si="254"/>
        <v>0</v>
      </c>
      <c r="AT452" s="107">
        <f t="shared" ca="1" si="221"/>
        <v>0</v>
      </c>
      <c r="AU452" s="107"/>
      <c r="AV452" s="107">
        <f ca="1">MAX(SUM($AQ$6:AQ452)-SUM($AT$6:AT452),0)</f>
        <v>0</v>
      </c>
      <c r="AW452" s="107">
        <f t="shared" ca="1" si="227"/>
        <v>0</v>
      </c>
      <c r="AX452" s="107">
        <v>0</v>
      </c>
      <c r="AY452" s="138" t="str">
        <f t="shared" ca="1" si="255"/>
        <v xml:space="preserve"> </v>
      </c>
      <c r="AZ452" s="107">
        <f t="shared" ca="1" si="256"/>
        <v>0</v>
      </c>
      <c r="BA452" s="107">
        <f ca="1">IF(AZ452=1,(SUM($AW$6:AW452,$AX$6:AX452)-SUM($BA$6:BA451)),0)</f>
        <v>0</v>
      </c>
      <c r="BB452" s="107"/>
      <c r="BC452" s="107">
        <f ca="1">AV452+SUM($AW$6:AW452)+SUM($AX$6:AX452)-SUM($BA$6:BA452)</f>
        <v>0</v>
      </c>
      <c r="BD452" s="107">
        <f t="shared" ca="1" si="257"/>
        <v>0</v>
      </c>
      <c r="BE452" s="51">
        <f>'PiT PD Structure'!J492</f>
        <v>0</v>
      </c>
      <c r="BF452" s="139">
        <f t="shared" ca="1" si="228"/>
        <v>0.45</v>
      </c>
      <c r="BG452" s="51">
        <f t="shared" ca="1" si="258"/>
        <v>1</v>
      </c>
      <c r="BH452" s="50">
        <f t="shared" ca="1" si="259"/>
        <v>0</v>
      </c>
      <c r="BI452" s="50">
        <f t="shared" ca="1" si="260"/>
        <v>3.4816594052244909E-13</v>
      </c>
      <c r="BJ452" s="140">
        <v>0</v>
      </c>
      <c r="BK452" s="140">
        <v>0</v>
      </c>
      <c r="BR452" s="75">
        <f t="shared" ca="1" si="229"/>
        <v>57039</v>
      </c>
      <c r="BS452" s="74">
        <f t="shared" ca="1" si="243"/>
        <v>2</v>
      </c>
      <c r="BT452" s="74">
        <f t="shared" ca="1" si="223"/>
        <v>0</v>
      </c>
      <c r="BU452" s="73" t="str">
        <f t="shared" ca="1" si="244"/>
        <v xml:space="preserve"> </v>
      </c>
      <c r="BW452" s="75">
        <f t="shared" ca="1" si="245"/>
        <v>57039</v>
      </c>
      <c r="BX452" s="74">
        <f t="shared" ca="1" si="246"/>
        <v>2</v>
      </c>
      <c r="BY452" s="74">
        <f t="shared" ca="1" si="224"/>
        <v>0</v>
      </c>
      <c r="BZ452" s="73" t="str">
        <f t="shared" ca="1" si="247"/>
        <v xml:space="preserve"> </v>
      </c>
      <c r="CB452" s="75">
        <f t="shared" ca="1" si="230"/>
        <v>57039</v>
      </c>
      <c r="CC452" s="74">
        <f t="shared" ca="1" si="248"/>
        <v>2</v>
      </c>
      <c r="CD452" s="74">
        <f t="shared" ca="1" si="225"/>
        <v>0</v>
      </c>
      <c r="CE452" s="73" t="str">
        <f t="shared" ca="1" si="249"/>
        <v xml:space="preserve"> </v>
      </c>
    </row>
    <row r="453" spans="1:83" x14ac:dyDescent="0.2">
      <c r="A453" s="38" t="str">
        <f t="shared" si="231"/>
        <v xml:space="preserve"> </v>
      </c>
      <c r="B453" s="108"/>
      <c r="C453" s="38"/>
      <c r="D453" s="137"/>
      <c r="E453" s="137"/>
      <c r="F453" s="137"/>
      <c r="G453" s="122"/>
      <c r="H453" s="137"/>
      <c r="I453" s="50"/>
      <c r="J453" s="50"/>
      <c r="K453" s="50"/>
      <c r="L453" s="38"/>
      <c r="M453" s="38"/>
      <c r="N453" s="38"/>
      <c r="O453" s="50"/>
      <c r="P453" s="218"/>
      <c r="Q453" s="50"/>
      <c r="R453" s="50"/>
      <c r="S453" s="38"/>
      <c r="T453" s="51"/>
      <c r="U453" s="65"/>
      <c r="V453" s="105"/>
      <c r="W453" s="66"/>
      <c r="X453" s="66"/>
      <c r="Y453" s="38"/>
      <c r="Z453" s="66">
        <f t="shared" ref="Z453:Z516" si="261">IF(Y453="Stage 1",X453,IF(Y453="Stage 2",W453,O453))</f>
        <v>0</v>
      </c>
      <c r="AA453" s="67"/>
      <c r="AC453" s="41" t="e">
        <f>VLOOKUP(A453,'Input Sheet'!$A$2:$B$232,2,0)</f>
        <v>#N/A</v>
      </c>
      <c r="AD453" s="70"/>
      <c r="AI453" s="68"/>
      <c r="AL453" s="107">
        <f t="shared" ca="1" si="250"/>
        <v>0</v>
      </c>
      <c r="AM453" s="49">
        <f t="shared" ca="1" si="226"/>
        <v>57070</v>
      </c>
      <c r="AN453" s="137" t="str">
        <f t="shared" ca="1" si="251"/>
        <v xml:space="preserve"> </v>
      </c>
      <c r="AO453" s="107">
        <f t="shared" ca="1" si="222"/>
        <v>0</v>
      </c>
      <c r="AP453" s="143">
        <f t="shared" ca="1" si="220"/>
        <v>0</v>
      </c>
      <c r="AQ453" s="143">
        <f t="shared" ca="1" si="252"/>
        <v>0</v>
      </c>
      <c r="AR453" s="49" t="str">
        <f t="shared" ca="1" si="253"/>
        <v xml:space="preserve"> </v>
      </c>
      <c r="AS453" s="107">
        <f t="shared" ca="1" si="254"/>
        <v>0</v>
      </c>
      <c r="AT453" s="107">
        <f t="shared" ca="1" si="221"/>
        <v>0</v>
      </c>
      <c r="AU453" s="107"/>
      <c r="AV453" s="107">
        <f ca="1">MAX(SUM($AQ$6:AQ453)-SUM($AT$6:AT453),0)</f>
        <v>0</v>
      </c>
      <c r="AW453" s="107">
        <f t="shared" ca="1" si="227"/>
        <v>0</v>
      </c>
      <c r="AX453" s="107">
        <v>0</v>
      </c>
      <c r="AY453" s="138" t="str">
        <f t="shared" ca="1" si="255"/>
        <v xml:space="preserve"> </v>
      </c>
      <c r="AZ453" s="107">
        <f t="shared" ca="1" si="256"/>
        <v>0</v>
      </c>
      <c r="BA453" s="107">
        <f ca="1">IF(AZ453=1,(SUM($AW$6:AW453,$AX$6:AX453)-SUM($BA$6:BA452)),0)</f>
        <v>0</v>
      </c>
      <c r="BB453" s="107"/>
      <c r="BC453" s="107">
        <f ca="1">AV453+SUM($AW$6:AW453)+SUM($AX$6:AX453)-SUM($BA$6:BA453)</f>
        <v>0</v>
      </c>
      <c r="BD453" s="107">
        <f t="shared" ca="1" si="257"/>
        <v>0</v>
      </c>
      <c r="BE453" s="51">
        <f>'PiT PD Structure'!J493</f>
        <v>0</v>
      </c>
      <c r="BF453" s="139">
        <f t="shared" ca="1" si="228"/>
        <v>0.45</v>
      </c>
      <c r="BG453" s="51">
        <f t="shared" ca="1" si="258"/>
        <v>1</v>
      </c>
      <c r="BH453" s="50">
        <f t="shared" ca="1" si="259"/>
        <v>0</v>
      </c>
      <c r="BI453" s="50">
        <f t="shared" ca="1" si="260"/>
        <v>3.4816594052244909E-13</v>
      </c>
      <c r="BJ453" s="140">
        <v>0</v>
      </c>
      <c r="BK453" s="140">
        <v>0</v>
      </c>
      <c r="BR453" s="75">
        <f t="shared" ca="1" si="229"/>
        <v>57070</v>
      </c>
      <c r="BS453" s="74">
        <f t="shared" ca="1" si="243"/>
        <v>3</v>
      </c>
      <c r="BT453" s="74">
        <f t="shared" ca="1" si="223"/>
        <v>0</v>
      </c>
      <c r="BU453" s="73" t="str">
        <f t="shared" ca="1" si="244"/>
        <v xml:space="preserve"> </v>
      </c>
      <c r="BW453" s="75">
        <f t="shared" ca="1" si="245"/>
        <v>57070</v>
      </c>
      <c r="BX453" s="74">
        <f t="shared" ca="1" si="246"/>
        <v>3</v>
      </c>
      <c r="BY453" s="74">
        <f t="shared" ca="1" si="224"/>
        <v>0</v>
      </c>
      <c r="BZ453" s="73" t="str">
        <f t="shared" ca="1" si="247"/>
        <v xml:space="preserve"> </v>
      </c>
      <c r="CB453" s="75">
        <f t="shared" ca="1" si="230"/>
        <v>57070</v>
      </c>
      <c r="CC453" s="74">
        <f t="shared" ca="1" si="248"/>
        <v>3</v>
      </c>
      <c r="CD453" s="74">
        <f t="shared" ca="1" si="225"/>
        <v>0</v>
      </c>
      <c r="CE453" s="73" t="str">
        <f t="shared" ca="1" si="249"/>
        <v xml:space="preserve"> </v>
      </c>
    </row>
    <row r="454" spans="1:83" x14ac:dyDescent="0.2">
      <c r="A454" s="38" t="str">
        <f t="shared" si="231"/>
        <v xml:space="preserve"> </v>
      </c>
      <c r="B454" s="108"/>
      <c r="C454" s="38"/>
      <c r="D454" s="137"/>
      <c r="E454" s="137"/>
      <c r="F454" s="137"/>
      <c r="G454" s="122"/>
      <c r="H454" s="137"/>
      <c r="I454" s="50"/>
      <c r="J454" s="50"/>
      <c r="K454" s="50"/>
      <c r="L454" s="38"/>
      <c r="M454" s="38"/>
      <c r="N454" s="38"/>
      <c r="O454" s="50"/>
      <c r="P454" s="218"/>
      <c r="Q454" s="50"/>
      <c r="R454" s="50"/>
      <c r="S454" s="38"/>
      <c r="T454" s="51"/>
      <c r="U454" s="65"/>
      <c r="V454" s="105"/>
      <c r="W454" s="66"/>
      <c r="X454" s="66"/>
      <c r="Y454" s="38"/>
      <c r="Z454" s="66">
        <f t="shared" si="261"/>
        <v>0</v>
      </c>
      <c r="AA454" s="67"/>
      <c r="AC454" s="41" t="e">
        <f>VLOOKUP(A454,'Input Sheet'!$A$2:$B$232,2,0)</f>
        <v>#N/A</v>
      </c>
      <c r="AD454" s="70"/>
      <c r="AI454" s="68"/>
      <c r="AL454" s="107">
        <f t="shared" ca="1" si="250"/>
        <v>0</v>
      </c>
      <c r="AM454" s="49">
        <f t="shared" ca="1" si="226"/>
        <v>57100</v>
      </c>
      <c r="AN454" s="137" t="str">
        <f t="shared" ca="1" si="251"/>
        <v xml:space="preserve"> </v>
      </c>
      <c r="AO454" s="107">
        <f t="shared" ca="1" si="222"/>
        <v>0</v>
      </c>
      <c r="AP454" s="143">
        <f t="shared" ref="AP454:AP510" ca="1" si="262">AO454*$AV$2</f>
        <v>0</v>
      </c>
      <c r="AQ454" s="143">
        <f t="shared" ca="1" si="252"/>
        <v>0</v>
      </c>
      <c r="AR454" s="49" t="str">
        <f t="shared" ca="1" si="253"/>
        <v xml:space="preserve"> </v>
      </c>
      <c r="AS454" s="107">
        <f t="shared" ca="1" si="254"/>
        <v>0</v>
      </c>
      <c r="AT454" s="107">
        <f t="shared" ref="AT454:AT510" ca="1" si="263">AS454*$BI$2</f>
        <v>0</v>
      </c>
      <c r="AU454" s="107"/>
      <c r="AV454" s="107">
        <f ca="1">MAX(SUM($AQ$6:AQ454)-SUM($AT$6:AT454),0)</f>
        <v>0</v>
      </c>
      <c r="AW454" s="107">
        <f t="shared" ca="1" si="227"/>
        <v>0</v>
      </c>
      <c r="AX454" s="107">
        <v>0</v>
      </c>
      <c r="AY454" s="138" t="str">
        <f t="shared" ca="1" si="255"/>
        <v xml:space="preserve"> </v>
      </c>
      <c r="AZ454" s="107">
        <f t="shared" ca="1" si="256"/>
        <v>0</v>
      </c>
      <c r="BA454" s="107">
        <f ca="1">IF(AZ454=1,(SUM($AW$6:AW454,$AX$6:AX454)-SUM($BA$6:BA453)),0)</f>
        <v>0</v>
      </c>
      <c r="BB454" s="107"/>
      <c r="BC454" s="107">
        <f ca="1">AV454+SUM($AW$6:AW454)+SUM($AX$6:AX454)-SUM($BA$6:BA454)</f>
        <v>0</v>
      </c>
      <c r="BD454" s="107">
        <f t="shared" ca="1" si="257"/>
        <v>0</v>
      </c>
      <c r="BE454" s="51">
        <f>'PiT PD Structure'!J494</f>
        <v>0</v>
      </c>
      <c r="BF454" s="139">
        <f t="shared" ca="1" si="228"/>
        <v>0.45</v>
      </c>
      <c r="BG454" s="51">
        <f t="shared" ca="1" si="258"/>
        <v>1</v>
      </c>
      <c r="BH454" s="50">
        <f t="shared" ca="1" si="259"/>
        <v>0</v>
      </c>
      <c r="BI454" s="50">
        <f t="shared" ca="1" si="260"/>
        <v>3.4816594052244909E-13</v>
      </c>
      <c r="BJ454" s="140">
        <v>0</v>
      </c>
      <c r="BK454" s="140">
        <v>0</v>
      </c>
      <c r="BR454" s="75">
        <f t="shared" ca="1" si="229"/>
        <v>57100</v>
      </c>
      <c r="BS454" s="74">
        <f t="shared" ca="1" si="243"/>
        <v>4</v>
      </c>
      <c r="BT454" s="74">
        <f t="shared" ca="1" si="223"/>
        <v>0</v>
      </c>
      <c r="BU454" s="73" t="str">
        <f t="shared" ca="1" si="244"/>
        <v xml:space="preserve"> </v>
      </c>
      <c r="BW454" s="75">
        <f t="shared" ca="1" si="245"/>
        <v>57100</v>
      </c>
      <c r="BX454" s="74">
        <f t="shared" ca="1" si="246"/>
        <v>4</v>
      </c>
      <c r="BY454" s="74">
        <f t="shared" ca="1" si="224"/>
        <v>0</v>
      </c>
      <c r="BZ454" s="73" t="str">
        <f t="shared" ca="1" si="247"/>
        <v xml:space="preserve"> </v>
      </c>
      <c r="CB454" s="75">
        <f t="shared" ca="1" si="230"/>
        <v>57100</v>
      </c>
      <c r="CC454" s="74">
        <f t="shared" ca="1" si="248"/>
        <v>4</v>
      </c>
      <c r="CD454" s="74">
        <f t="shared" ca="1" si="225"/>
        <v>0</v>
      </c>
      <c r="CE454" s="73" t="str">
        <f t="shared" ca="1" si="249"/>
        <v xml:space="preserve"> </v>
      </c>
    </row>
    <row r="455" spans="1:83" x14ac:dyDescent="0.2">
      <c r="A455" s="38" t="str">
        <f t="shared" si="231"/>
        <v xml:space="preserve"> </v>
      </c>
      <c r="B455" s="108"/>
      <c r="C455" s="38"/>
      <c r="D455" s="137"/>
      <c r="E455" s="137"/>
      <c r="F455" s="137"/>
      <c r="G455" s="122"/>
      <c r="H455" s="137"/>
      <c r="I455" s="50"/>
      <c r="J455" s="50"/>
      <c r="K455" s="50"/>
      <c r="L455" s="38"/>
      <c r="M455" s="38"/>
      <c r="N455" s="38"/>
      <c r="O455" s="50"/>
      <c r="P455" s="218"/>
      <c r="Q455" s="50"/>
      <c r="R455" s="50"/>
      <c r="S455" s="38"/>
      <c r="T455" s="51"/>
      <c r="U455" s="65"/>
      <c r="V455" s="105"/>
      <c r="W455" s="66"/>
      <c r="X455" s="66"/>
      <c r="Y455" s="38"/>
      <c r="Z455" s="66">
        <f t="shared" si="261"/>
        <v>0</v>
      </c>
      <c r="AA455" s="67"/>
      <c r="AC455" s="41" t="e">
        <f>VLOOKUP(A455,'Input Sheet'!$A$2:$B$232,2,0)</f>
        <v>#N/A</v>
      </c>
      <c r="AD455" s="70"/>
      <c r="AI455" s="68"/>
      <c r="AL455" s="107">
        <f t="shared" ca="1" si="250"/>
        <v>0</v>
      </c>
      <c r="AM455" s="49">
        <f t="shared" ca="1" si="226"/>
        <v>57131</v>
      </c>
      <c r="AN455" s="137" t="str">
        <f t="shared" ca="1" si="251"/>
        <v xml:space="preserve"> </v>
      </c>
      <c r="AO455" s="107">
        <f t="shared" ref="AO455:AO510" ca="1" si="264">IF(EOMONTH(AM455,0)=EOMONTH($AN$2,12),1,0)</f>
        <v>0</v>
      </c>
      <c r="AP455" s="143">
        <f t="shared" ca="1" si="262"/>
        <v>0</v>
      </c>
      <c r="AQ455" s="143">
        <f t="shared" ca="1" si="252"/>
        <v>0</v>
      </c>
      <c r="AR455" s="49" t="str">
        <f t="shared" ca="1" si="253"/>
        <v xml:space="preserve"> </v>
      </c>
      <c r="AS455" s="107">
        <f t="shared" ca="1" si="254"/>
        <v>0</v>
      </c>
      <c r="AT455" s="107">
        <f t="shared" ca="1" si="263"/>
        <v>0</v>
      </c>
      <c r="AU455" s="107"/>
      <c r="AV455" s="107">
        <f ca="1">MAX(SUM($AQ$6:AQ455)-SUM($AT$6:AT455),0)</f>
        <v>0</v>
      </c>
      <c r="AW455" s="107">
        <f t="shared" ca="1" si="227"/>
        <v>0</v>
      </c>
      <c r="AX455" s="107">
        <v>0</v>
      </c>
      <c r="AY455" s="138" t="str">
        <f t="shared" ca="1" si="255"/>
        <v xml:space="preserve"> </v>
      </c>
      <c r="AZ455" s="107">
        <f t="shared" ca="1" si="256"/>
        <v>0</v>
      </c>
      <c r="BA455" s="107">
        <f ca="1">IF(AZ455=1,(SUM($AW$6:AW455,$AX$6:AX455)-SUM($BA$6:BA454)),0)</f>
        <v>0</v>
      </c>
      <c r="BB455" s="107"/>
      <c r="BC455" s="107">
        <f ca="1">AV455+SUM($AW$6:AW455)+SUM($AX$6:AX455)-SUM($BA$6:BA455)</f>
        <v>0</v>
      </c>
      <c r="BD455" s="107">
        <f t="shared" ca="1" si="257"/>
        <v>0</v>
      </c>
      <c r="BE455" s="51">
        <f>'PiT PD Structure'!J495</f>
        <v>0</v>
      </c>
      <c r="BF455" s="139">
        <f t="shared" ca="1" si="228"/>
        <v>0.45</v>
      </c>
      <c r="BG455" s="51">
        <f t="shared" ca="1" si="258"/>
        <v>1</v>
      </c>
      <c r="BH455" s="50">
        <f t="shared" ca="1" si="259"/>
        <v>0</v>
      </c>
      <c r="BI455" s="50">
        <f t="shared" ca="1" si="260"/>
        <v>3.4816594052244909E-13</v>
      </c>
      <c r="BJ455" s="140">
        <v>0</v>
      </c>
      <c r="BK455" s="140">
        <v>0</v>
      </c>
      <c r="BR455" s="75">
        <f t="shared" ca="1" si="229"/>
        <v>57131</v>
      </c>
      <c r="BS455" s="74">
        <f t="shared" ca="1" si="243"/>
        <v>5</v>
      </c>
      <c r="BT455" s="74">
        <f t="shared" ref="BT455:BT510" ca="1" si="265">IF(EOMONTH(BR455,0)&gt;EOMONTH($AR$2,0),0,IF(EOMONTH(BR455,0)&gt;=EOMONTH($AO$2,0),(IF($BS$3=1,IF(MONTH($AO$2)=BS455,1,0),IF($BS$3=2,IF(OR(MONTH($AO$2)=BS455,MONTH($AO$2)+6=BS455,MONTH($AO$2)-6=BS455),1,0),IF($BS$3=4,IF(OR(MONTH($AO$2)=BS455,MONTH($AO$2)+3=BS455,MONTH($AO$2)+6=BS455,MONTH($AO$2)+9=BS455,MONTH($AO$2)-9=BS455,MONTH($AO$2)-3=BS455,MONTH($AO$2)-6=BS455),1,0),IF($BS$3=6,IF(OR(MONTH($AO$2)=BS455,MONTH($AO$2)+2=BS455,MONTH($AO$2)+4=BS455,MONTH($AO$2)+6=BS455,MONTH($AO$2)+8=BS455,MONTH($AO$2)+10=BS455,MONTH($AO$2)-2=BS455,MONTH($AO$2)-4=BS455,MONTH($AO$2)-6=BS455,MONTH($AO$2)-8=BS455,MONTH($AO$2)-10=BS455),1,0),IF($BS$3=12,1,IF(AND($BS$3=0,EOMONTH(BR455,0)=EOMONTH($AR$2,0)),1,0))))))),0))</f>
        <v>0</v>
      </c>
      <c r="BU455" s="73" t="str">
        <f t="shared" ca="1" si="244"/>
        <v xml:space="preserve"> </v>
      </c>
      <c r="BW455" s="75">
        <f t="shared" ca="1" si="245"/>
        <v>57131</v>
      </c>
      <c r="BX455" s="74">
        <f t="shared" ca="1" si="246"/>
        <v>5</v>
      </c>
      <c r="BY455" s="74">
        <f t="shared" ref="BY455:BY510" ca="1" si="266">IF(EOMONTH(BW455,0)&gt;EOMONTH($AR$2,0),0,IF(EOMONTH(BW455,0)&gt;=EOMONTH($AP$2,0),(IF($BX$3=1,IF(MONTH($AP$2)=BX455,1,0),IF($BX$3=2,IF(OR(MONTH($AP$2)=BX455,MONTH($AP$2)+6=BX455,MONTH($AP$2)-6=BX455),1,0),IF($BX$3=4,IF(OR(MONTH($AP$2)=BX455,MONTH($AP$2)+3=BX455,MONTH($AP$2)+6=BX455,MONTH($AP$2)+9=BX455,MONTH($AP$2)-9=BX455,MONTH($AP$2)-3=BX455,MONTH($AP$2)-6=BX455),1,0),IF($BX$3=6,IF(OR(MONTH($AP$2)=BX455,MONTH($AP$2)+2=BX455,MONTH($AP$2)+4=BX455,MONTH($AP$2)+6=BX455,MONTH($AP$2)+8=BX455,MONTH($AP$2)+10=BX455,MONTH($AP$2)-2=BX455,MONTH($AP$2)-4=BX455,MONTH($AP$2)-6=BX455,MONTH($AP$2)-8=BX455,MONTH($AP$2)-10=BX455),1,0),IF($BX$3=12,1,IF(AND($BX$3=0,EOMONTH(BW455,0)=EOMONTH($AR$2,0)),1,0))))))),0))</f>
        <v>0</v>
      </c>
      <c r="BZ455" s="73" t="str">
        <f t="shared" ca="1" si="247"/>
        <v xml:space="preserve"> </v>
      </c>
      <c r="CB455" s="75">
        <f t="shared" ca="1" si="230"/>
        <v>57131</v>
      </c>
      <c r="CC455" s="74">
        <f t="shared" ca="1" si="248"/>
        <v>5</v>
      </c>
      <c r="CD455" s="74">
        <f t="shared" ref="CD455:CD510" ca="1" si="267">IF(EOMONTH(CB455,0)&gt;EOMONTH($AR$2,0),0,IF(EOMONTH(BR455,0)&gt;=EOMONTH($AO$2,0),IF($CC$3=1,IF(MONTH($AO$2)=CC455,1,0),IF($CC$3=2,IF(OR(MONTH($AO$2)=CC455,MONTH($AO$2)+6=CC455),1,0),IF($CC$3=4,IF(OR(MONTH($AO$2)=CC455,MONTH($AO$2)+3=CC455,MONTH($AO$2)+6=CC455,MONTH($AO$2)+9=CC455,MONTH($AO$2)-9=CC455,MONTH($AO$2)-3=CC455,MONTH($AO$2)-6=CC455),1,0),IF($CC$3=6,IF(OR(MONTH($AO$2)=CC455,MONTH($AO$2)+2=CC455,MONTH($AO$2)+4=CC455,MONTH($AO$2)+6=CC455,MONTH($AO$2)+8=CC455,MONTH($AO$2)+10=CC455,MONTH($AO$2)-2=CC455,MONTH($AO$2)-4=CC455,MONTH($AO$2)-6=CC455,MONTH($AO$2)-8=CC455,MONTH($AO$2)-10=CC455),1,0),IF($CC$3=12,1,IF(AND($CC$3=0,EOMONTH(CB455,0)=EOMONTH($AR$2,0)),1,0)))))),0))</f>
        <v>0</v>
      </c>
      <c r="CE455" s="73" t="str">
        <f t="shared" ca="1" si="249"/>
        <v xml:space="preserve"> </v>
      </c>
    </row>
    <row r="456" spans="1:83" x14ac:dyDescent="0.2">
      <c r="A456" s="38" t="str">
        <f t="shared" si="231"/>
        <v xml:space="preserve"> </v>
      </c>
      <c r="B456" s="108"/>
      <c r="C456" s="38"/>
      <c r="D456" s="137"/>
      <c r="E456" s="137"/>
      <c r="F456" s="137"/>
      <c r="G456" s="122"/>
      <c r="H456" s="137"/>
      <c r="I456" s="50"/>
      <c r="J456" s="50"/>
      <c r="K456" s="50"/>
      <c r="L456" s="38"/>
      <c r="M456" s="38"/>
      <c r="N456" s="38"/>
      <c r="O456" s="50"/>
      <c r="P456" s="218"/>
      <c r="Q456" s="50"/>
      <c r="R456" s="50"/>
      <c r="S456" s="38"/>
      <c r="T456" s="51"/>
      <c r="U456" s="65"/>
      <c r="V456" s="105"/>
      <c r="W456" s="66"/>
      <c r="X456" s="66"/>
      <c r="Y456" s="38"/>
      <c r="Z456" s="66">
        <f t="shared" si="261"/>
        <v>0</v>
      </c>
      <c r="AA456" s="67"/>
      <c r="AC456" s="41" t="e">
        <f>VLOOKUP(A456,'Input Sheet'!$A$2:$B$232,2,0)</f>
        <v>#N/A</v>
      </c>
      <c r="AD456" s="70"/>
      <c r="AI456" s="68"/>
      <c r="AL456" s="107">
        <f t="shared" ca="1" si="250"/>
        <v>0</v>
      </c>
      <c r="AM456" s="49">
        <f t="shared" ref="AM456:AM510" ca="1" si="268">EOMONTH(AM455,1)</f>
        <v>57161</v>
      </c>
      <c r="AN456" s="137" t="str">
        <f t="shared" ca="1" si="251"/>
        <v xml:space="preserve"> </v>
      </c>
      <c r="AO456" s="107">
        <f t="shared" ca="1" si="264"/>
        <v>0</v>
      </c>
      <c r="AP456" s="143">
        <f t="shared" ca="1" si="262"/>
        <v>0</v>
      </c>
      <c r="AQ456" s="143">
        <f t="shared" ca="1" si="252"/>
        <v>0</v>
      </c>
      <c r="AR456" s="49" t="str">
        <f t="shared" ca="1" si="253"/>
        <v xml:space="preserve"> </v>
      </c>
      <c r="AS456" s="107">
        <f t="shared" ca="1" si="254"/>
        <v>0</v>
      </c>
      <c r="AT456" s="107">
        <f t="shared" ca="1" si="263"/>
        <v>0</v>
      </c>
      <c r="AU456" s="107"/>
      <c r="AV456" s="107">
        <f ca="1">MAX(SUM($AQ$6:AQ456)-SUM($AT$6:AT456),0)</f>
        <v>0</v>
      </c>
      <c r="AW456" s="107">
        <f t="shared" ref="AW456:AW510" ca="1" si="269">IFERROR(IF(AND(AV455&gt;0,AM456&lt;=$AR$2),(AV455*($AZ$2*(DATEDIF(AM456,$AR$2,"d")/365)))/(DATEDIF(AM456,$AR$2,"m")),0),0)</f>
        <v>0</v>
      </c>
      <c r="AX456" s="107">
        <v>0</v>
      </c>
      <c r="AY456" s="138" t="str">
        <f t="shared" ca="1" si="255"/>
        <v xml:space="preserve"> </v>
      </c>
      <c r="AZ456" s="107">
        <f t="shared" ca="1" si="256"/>
        <v>0</v>
      </c>
      <c r="BA456" s="107">
        <f ca="1">IF(AZ456=1,(SUM($AW$6:AW456,$AX$6:AX456)-SUM($BA$6:BA455)),0)</f>
        <v>0</v>
      </c>
      <c r="BB456" s="107"/>
      <c r="BC456" s="107">
        <f ca="1">AV456+SUM($AW$6:AW456)+SUM($AX$6:AX456)-SUM($BA$6:BA456)</f>
        <v>0</v>
      </c>
      <c r="BD456" s="107">
        <f t="shared" ca="1" si="257"/>
        <v>0</v>
      </c>
      <c r="BE456" s="51">
        <f>'PiT PD Structure'!J496</f>
        <v>0</v>
      </c>
      <c r="BF456" s="139">
        <f t="shared" ref="BF456:BF510" ca="1" si="270">BF455</f>
        <v>0.45</v>
      </c>
      <c r="BG456" s="51">
        <f t="shared" ca="1" si="258"/>
        <v>1</v>
      </c>
      <c r="BH456" s="50">
        <f t="shared" ca="1" si="259"/>
        <v>0</v>
      </c>
      <c r="BI456" s="50">
        <f t="shared" ca="1" si="260"/>
        <v>3.4816594052244909E-13</v>
      </c>
      <c r="BJ456" s="140">
        <v>0</v>
      </c>
      <c r="BK456" s="140">
        <v>0</v>
      </c>
      <c r="BR456" s="75">
        <f t="shared" ref="BR456:BR510" ca="1" si="271">EOMONTH(BR455,1)</f>
        <v>57161</v>
      </c>
      <c r="BS456" s="74">
        <f t="shared" ca="1" si="243"/>
        <v>6</v>
      </c>
      <c r="BT456" s="74">
        <f t="shared" ca="1" si="265"/>
        <v>0</v>
      </c>
      <c r="BU456" s="73" t="str">
        <f t="shared" ca="1" si="244"/>
        <v xml:space="preserve"> </v>
      </c>
      <c r="BW456" s="75">
        <f t="shared" ca="1" si="245"/>
        <v>57161</v>
      </c>
      <c r="BX456" s="74">
        <f t="shared" ca="1" si="246"/>
        <v>6</v>
      </c>
      <c r="BY456" s="74">
        <f t="shared" ca="1" si="266"/>
        <v>0</v>
      </c>
      <c r="BZ456" s="73" t="str">
        <f t="shared" ca="1" si="247"/>
        <v xml:space="preserve"> </v>
      </c>
      <c r="CB456" s="75">
        <f t="shared" ref="CB456:CB510" ca="1" si="272">EOMONTH(CB455,1)</f>
        <v>57161</v>
      </c>
      <c r="CC456" s="74">
        <f t="shared" ca="1" si="248"/>
        <v>6</v>
      </c>
      <c r="CD456" s="74">
        <f t="shared" ca="1" si="267"/>
        <v>0</v>
      </c>
      <c r="CE456" s="73" t="str">
        <f t="shared" ca="1" si="249"/>
        <v xml:space="preserve"> </v>
      </c>
    </row>
    <row r="457" spans="1:83" x14ac:dyDescent="0.2">
      <c r="A457" s="38" t="str">
        <f t="shared" si="231"/>
        <v xml:space="preserve"> </v>
      </c>
      <c r="B457" s="108"/>
      <c r="C457" s="38"/>
      <c r="D457" s="137"/>
      <c r="E457" s="137"/>
      <c r="F457" s="137"/>
      <c r="G457" s="122"/>
      <c r="H457" s="137"/>
      <c r="I457" s="50"/>
      <c r="J457" s="50"/>
      <c r="K457" s="50"/>
      <c r="L457" s="38"/>
      <c r="M457" s="38"/>
      <c r="N457" s="38"/>
      <c r="O457" s="50"/>
      <c r="P457" s="218"/>
      <c r="Q457" s="50"/>
      <c r="R457" s="50"/>
      <c r="S457" s="38"/>
      <c r="T457" s="51"/>
      <c r="U457" s="65"/>
      <c r="V457" s="105"/>
      <c r="W457" s="66"/>
      <c r="X457" s="66"/>
      <c r="Y457" s="38"/>
      <c r="Z457" s="66">
        <f t="shared" si="261"/>
        <v>0</v>
      </c>
      <c r="AA457" s="67"/>
      <c r="AC457" s="41" t="e">
        <f>VLOOKUP(A457,'Input Sheet'!$A$2:$B$232,2,0)</f>
        <v>#N/A</v>
      </c>
      <c r="AD457" s="70"/>
      <c r="AI457" s="68"/>
      <c r="AL457" s="107">
        <f t="shared" ca="1" si="250"/>
        <v>0</v>
      </c>
      <c r="AM457" s="49">
        <f t="shared" ca="1" si="268"/>
        <v>57192</v>
      </c>
      <c r="AN457" s="137" t="str">
        <f t="shared" ca="1" si="251"/>
        <v xml:space="preserve"> </v>
      </c>
      <c r="AO457" s="107">
        <f t="shared" ca="1" si="264"/>
        <v>0</v>
      </c>
      <c r="AP457" s="143">
        <f t="shared" ca="1" si="262"/>
        <v>0</v>
      </c>
      <c r="AQ457" s="143">
        <f t="shared" ca="1" si="252"/>
        <v>0</v>
      </c>
      <c r="AR457" s="49" t="str">
        <f t="shared" ca="1" si="253"/>
        <v xml:space="preserve"> </v>
      </c>
      <c r="AS457" s="107">
        <f t="shared" ca="1" si="254"/>
        <v>0</v>
      </c>
      <c r="AT457" s="107">
        <f t="shared" ca="1" si="263"/>
        <v>0</v>
      </c>
      <c r="AU457" s="107"/>
      <c r="AV457" s="107">
        <f ca="1">MAX(SUM($AQ$6:AQ457)-SUM($AT$6:AT457),0)</f>
        <v>0</v>
      </c>
      <c r="AW457" s="107">
        <f t="shared" ca="1" si="269"/>
        <v>0</v>
      </c>
      <c r="AX457" s="107">
        <v>0</v>
      </c>
      <c r="AY457" s="138" t="str">
        <f t="shared" ca="1" si="255"/>
        <v xml:space="preserve"> </v>
      </c>
      <c r="AZ457" s="107">
        <f t="shared" ca="1" si="256"/>
        <v>0</v>
      </c>
      <c r="BA457" s="107">
        <f ca="1">IF(AZ457=1,(SUM($AW$6:AW457,$AX$6:AX457)-SUM($BA$6:BA456)),0)</f>
        <v>0</v>
      </c>
      <c r="BB457" s="107"/>
      <c r="BC457" s="107">
        <f ca="1">AV457+SUM($AW$6:AW457)+SUM($AX$6:AX457)-SUM($BA$6:BA457)</f>
        <v>0</v>
      </c>
      <c r="BD457" s="107">
        <f t="shared" ca="1" si="257"/>
        <v>0</v>
      </c>
      <c r="BE457" s="51">
        <f>'PiT PD Structure'!J497</f>
        <v>0</v>
      </c>
      <c r="BF457" s="139">
        <f t="shared" ca="1" si="270"/>
        <v>0.45</v>
      </c>
      <c r="BG457" s="51">
        <f t="shared" ca="1" si="258"/>
        <v>1</v>
      </c>
      <c r="BH457" s="50">
        <f t="shared" ca="1" si="259"/>
        <v>0</v>
      </c>
      <c r="BI457" s="50">
        <f t="shared" ca="1" si="260"/>
        <v>3.4816594052244909E-13</v>
      </c>
      <c r="BJ457" s="140">
        <v>0</v>
      </c>
      <c r="BK457" s="140">
        <v>0</v>
      </c>
      <c r="BR457" s="75">
        <f t="shared" ca="1" si="271"/>
        <v>57192</v>
      </c>
      <c r="BS457" s="74">
        <f t="shared" ca="1" si="243"/>
        <v>7</v>
      </c>
      <c r="BT457" s="74">
        <f t="shared" ca="1" si="265"/>
        <v>0</v>
      </c>
      <c r="BU457" s="73" t="str">
        <f t="shared" ca="1" si="244"/>
        <v xml:space="preserve"> </v>
      </c>
      <c r="BW457" s="75">
        <f t="shared" ca="1" si="245"/>
        <v>57192</v>
      </c>
      <c r="BX457" s="74">
        <f t="shared" ca="1" si="246"/>
        <v>7</v>
      </c>
      <c r="BY457" s="74">
        <f t="shared" ca="1" si="266"/>
        <v>0</v>
      </c>
      <c r="BZ457" s="73" t="str">
        <f t="shared" ca="1" si="247"/>
        <v xml:space="preserve"> </v>
      </c>
      <c r="CB457" s="75">
        <f t="shared" ca="1" si="272"/>
        <v>57192</v>
      </c>
      <c r="CC457" s="74">
        <f t="shared" ca="1" si="248"/>
        <v>7</v>
      </c>
      <c r="CD457" s="74">
        <f t="shared" ca="1" si="267"/>
        <v>0</v>
      </c>
      <c r="CE457" s="73" t="str">
        <f t="shared" ca="1" si="249"/>
        <v xml:space="preserve"> </v>
      </c>
    </row>
    <row r="458" spans="1:83" x14ac:dyDescent="0.2">
      <c r="A458" s="38" t="str">
        <f t="shared" ref="A458:A521" si="273">IF(B458=0," ",A457+1)</f>
        <v xml:space="preserve"> </v>
      </c>
      <c r="B458" s="108"/>
      <c r="C458" s="38"/>
      <c r="D458" s="137"/>
      <c r="E458" s="137"/>
      <c r="F458" s="137"/>
      <c r="G458" s="122"/>
      <c r="H458" s="137"/>
      <c r="I458" s="50"/>
      <c r="J458" s="50"/>
      <c r="K458" s="50"/>
      <c r="L458" s="38"/>
      <c r="M458" s="38"/>
      <c r="N458" s="38"/>
      <c r="O458" s="50"/>
      <c r="P458" s="218"/>
      <c r="Q458" s="50"/>
      <c r="R458" s="50"/>
      <c r="S458" s="38"/>
      <c r="T458" s="51"/>
      <c r="U458" s="65"/>
      <c r="V458" s="105"/>
      <c r="W458" s="66"/>
      <c r="X458" s="66"/>
      <c r="Y458" s="38"/>
      <c r="Z458" s="66">
        <f t="shared" si="261"/>
        <v>0</v>
      </c>
      <c r="AA458" s="67"/>
      <c r="AC458" s="41" t="e">
        <f>VLOOKUP(A458,'Input Sheet'!$A$2:$B$232,2,0)</f>
        <v>#N/A</v>
      </c>
      <c r="AD458" s="70"/>
      <c r="AI458" s="68"/>
      <c r="AL458" s="107">
        <f t="shared" ca="1" si="250"/>
        <v>0</v>
      </c>
      <c r="AM458" s="49">
        <f t="shared" ca="1" si="268"/>
        <v>57223</v>
      </c>
      <c r="AN458" s="137" t="str">
        <f t="shared" ca="1" si="251"/>
        <v xml:space="preserve"> </v>
      </c>
      <c r="AO458" s="107">
        <f t="shared" ca="1" si="264"/>
        <v>0</v>
      </c>
      <c r="AP458" s="143">
        <f t="shared" ca="1" si="262"/>
        <v>0</v>
      </c>
      <c r="AQ458" s="143">
        <f t="shared" ca="1" si="252"/>
        <v>0</v>
      </c>
      <c r="AR458" s="49" t="str">
        <f t="shared" ca="1" si="253"/>
        <v xml:space="preserve"> </v>
      </c>
      <c r="AS458" s="107">
        <f t="shared" ca="1" si="254"/>
        <v>0</v>
      </c>
      <c r="AT458" s="107">
        <f t="shared" ca="1" si="263"/>
        <v>0</v>
      </c>
      <c r="AU458" s="107"/>
      <c r="AV458" s="107">
        <f ca="1">MAX(SUM($AQ$6:AQ458)-SUM($AT$6:AT458),0)</f>
        <v>0</v>
      </c>
      <c r="AW458" s="107">
        <f t="shared" ca="1" si="269"/>
        <v>0</v>
      </c>
      <c r="AX458" s="107">
        <v>0</v>
      </c>
      <c r="AY458" s="138" t="str">
        <f t="shared" ca="1" si="255"/>
        <v xml:space="preserve"> </v>
      </c>
      <c r="AZ458" s="107">
        <f t="shared" ca="1" si="256"/>
        <v>0</v>
      </c>
      <c r="BA458" s="107">
        <f ca="1">IF(AZ458=1,(SUM($AW$6:AW458,$AX$6:AX458)-SUM($BA$6:BA457)),0)</f>
        <v>0</v>
      </c>
      <c r="BB458" s="107"/>
      <c r="BC458" s="107">
        <f ca="1">AV458+SUM($AW$6:AW458)+SUM($AX$6:AX458)-SUM($BA$6:BA458)</f>
        <v>0</v>
      </c>
      <c r="BD458" s="107">
        <f t="shared" ca="1" si="257"/>
        <v>0</v>
      </c>
      <c r="BE458" s="51">
        <f>'PiT PD Structure'!J498</f>
        <v>0</v>
      </c>
      <c r="BF458" s="139">
        <f t="shared" ca="1" si="270"/>
        <v>0.45</v>
      </c>
      <c r="BG458" s="51">
        <f t="shared" ca="1" si="258"/>
        <v>1</v>
      </c>
      <c r="BH458" s="50">
        <f t="shared" ca="1" si="259"/>
        <v>0</v>
      </c>
      <c r="BI458" s="50">
        <f t="shared" ca="1" si="260"/>
        <v>3.4816594052244909E-13</v>
      </c>
      <c r="BJ458" s="140">
        <v>0</v>
      </c>
      <c r="BK458" s="140">
        <v>0</v>
      </c>
      <c r="BR458" s="75">
        <f t="shared" ca="1" si="271"/>
        <v>57223</v>
      </c>
      <c r="BS458" s="74">
        <f t="shared" ca="1" si="243"/>
        <v>8</v>
      </c>
      <c r="BT458" s="74">
        <f t="shared" ca="1" si="265"/>
        <v>0</v>
      </c>
      <c r="BU458" s="73" t="str">
        <f t="shared" ca="1" si="244"/>
        <v xml:space="preserve"> </v>
      </c>
      <c r="BW458" s="75">
        <f t="shared" ca="1" si="245"/>
        <v>57223</v>
      </c>
      <c r="BX458" s="74">
        <f t="shared" ca="1" si="246"/>
        <v>8</v>
      </c>
      <c r="BY458" s="74">
        <f t="shared" ca="1" si="266"/>
        <v>0</v>
      </c>
      <c r="BZ458" s="73" t="str">
        <f t="shared" ca="1" si="247"/>
        <v xml:space="preserve"> </v>
      </c>
      <c r="CB458" s="75">
        <f t="shared" ca="1" si="272"/>
        <v>57223</v>
      </c>
      <c r="CC458" s="74">
        <f t="shared" ca="1" si="248"/>
        <v>8</v>
      </c>
      <c r="CD458" s="74">
        <f t="shared" ca="1" si="267"/>
        <v>0</v>
      </c>
      <c r="CE458" s="73" t="str">
        <f t="shared" ca="1" si="249"/>
        <v xml:space="preserve"> </v>
      </c>
    </row>
    <row r="459" spans="1:83" x14ac:dyDescent="0.2">
      <c r="A459" s="38" t="str">
        <f t="shared" si="273"/>
        <v xml:space="preserve"> </v>
      </c>
      <c r="B459" s="108"/>
      <c r="C459" s="38"/>
      <c r="D459" s="137"/>
      <c r="E459" s="137"/>
      <c r="F459" s="137"/>
      <c r="G459" s="122"/>
      <c r="H459" s="137"/>
      <c r="I459" s="50"/>
      <c r="J459" s="50"/>
      <c r="K459" s="50"/>
      <c r="L459" s="38"/>
      <c r="M459" s="38"/>
      <c r="N459" s="38"/>
      <c r="O459" s="50"/>
      <c r="P459" s="218"/>
      <c r="Q459" s="50"/>
      <c r="R459" s="50"/>
      <c r="S459" s="38"/>
      <c r="T459" s="51"/>
      <c r="U459" s="65"/>
      <c r="V459" s="105"/>
      <c r="W459" s="66"/>
      <c r="X459" s="66"/>
      <c r="Y459" s="38"/>
      <c r="Z459" s="66">
        <f t="shared" si="261"/>
        <v>0</v>
      </c>
      <c r="AA459" s="67"/>
      <c r="AC459" s="41" t="e">
        <f>VLOOKUP(A459,'Input Sheet'!$A$2:$B$232,2,0)</f>
        <v>#N/A</v>
      </c>
      <c r="AD459" s="70"/>
      <c r="AI459" s="68"/>
      <c r="AL459" s="107">
        <f t="shared" ca="1" si="250"/>
        <v>0</v>
      </c>
      <c r="AM459" s="49">
        <f t="shared" ca="1" si="268"/>
        <v>57253</v>
      </c>
      <c r="AN459" s="137" t="str">
        <f t="shared" ca="1" si="251"/>
        <v xml:space="preserve"> </v>
      </c>
      <c r="AO459" s="107">
        <f t="shared" ca="1" si="264"/>
        <v>0</v>
      </c>
      <c r="AP459" s="143">
        <f t="shared" ca="1" si="262"/>
        <v>0</v>
      </c>
      <c r="AQ459" s="143">
        <f t="shared" ca="1" si="252"/>
        <v>0</v>
      </c>
      <c r="AR459" s="49" t="str">
        <f t="shared" ca="1" si="253"/>
        <v xml:space="preserve"> </v>
      </c>
      <c r="AS459" s="107">
        <f t="shared" ca="1" si="254"/>
        <v>0</v>
      </c>
      <c r="AT459" s="107">
        <f t="shared" ca="1" si="263"/>
        <v>0</v>
      </c>
      <c r="AU459" s="107"/>
      <c r="AV459" s="107">
        <f ca="1">MAX(SUM($AQ$6:AQ459)-SUM($AT$6:AT459),0)</f>
        <v>0</v>
      </c>
      <c r="AW459" s="107">
        <f t="shared" ca="1" si="269"/>
        <v>0</v>
      </c>
      <c r="AX459" s="107">
        <v>0</v>
      </c>
      <c r="AY459" s="138" t="str">
        <f t="shared" ca="1" si="255"/>
        <v xml:space="preserve"> </v>
      </c>
      <c r="AZ459" s="107">
        <f t="shared" ca="1" si="256"/>
        <v>0</v>
      </c>
      <c r="BA459" s="107">
        <f ca="1">IF(AZ459=1,(SUM($AW$6:AW459,$AX$6:AX459)-SUM($BA$6:BA458)),0)</f>
        <v>0</v>
      </c>
      <c r="BB459" s="107"/>
      <c r="BC459" s="107">
        <f ca="1">AV459+SUM($AW$6:AW459)+SUM($AX$6:AX459)-SUM($BA$6:BA459)</f>
        <v>0</v>
      </c>
      <c r="BD459" s="107">
        <f t="shared" ca="1" si="257"/>
        <v>0</v>
      </c>
      <c r="BE459" s="51">
        <f>'PiT PD Structure'!J499</f>
        <v>0</v>
      </c>
      <c r="BF459" s="139">
        <f t="shared" ca="1" si="270"/>
        <v>0.45</v>
      </c>
      <c r="BG459" s="51">
        <f t="shared" ca="1" si="258"/>
        <v>1</v>
      </c>
      <c r="BH459" s="50">
        <f t="shared" ca="1" si="259"/>
        <v>0</v>
      </c>
      <c r="BI459" s="50">
        <f t="shared" ca="1" si="260"/>
        <v>3.4816594052244909E-13</v>
      </c>
      <c r="BJ459" s="140">
        <v>0</v>
      </c>
      <c r="BK459" s="140">
        <v>0</v>
      </c>
      <c r="BR459" s="75">
        <f t="shared" ca="1" si="271"/>
        <v>57253</v>
      </c>
      <c r="BS459" s="74">
        <f t="shared" ca="1" si="243"/>
        <v>9</v>
      </c>
      <c r="BT459" s="74">
        <f t="shared" ca="1" si="265"/>
        <v>0</v>
      </c>
      <c r="BU459" s="73" t="str">
        <f t="shared" ca="1" si="244"/>
        <v xml:space="preserve"> </v>
      </c>
      <c r="BW459" s="75">
        <f t="shared" ca="1" si="245"/>
        <v>57253</v>
      </c>
      <c r="BX459" s="74">
        <f t="shared" ca="1" si="246"/>
        <v>9</v>
      </c>
      <c r="BY459" s="74">
        <f t="shared" ca="1" si="266"/>
        <v>0</v>
      </c>
      <c r="BZ459" s="73" t="str">
        <f t="shared" ca="1" si="247"/>
        <v xml:space="preserve"> </v>
      </c>
      <c r="CB459" s="75">
        <f t="shared" ca="1" si="272"/>
        <v>57253</v>
      </c>
      <c r="CC459" s="74">
        <f t="shared" ca="1" si="248"/>
        <v>9</v>
      </c>
      <c r="CD459" s="74">
        <f t="shared" ca="1" si="267"/>
        <v>0</v>
      </c>
      <c r="CE459" s="73" t="str">
        <f t="shared" ca="1" si="249"/>
        <v xml:space="preserve"> </v>
      </c>
    </row>
    <row r="460" spans="1:83" x14ac:dyDescent="0.2">
      <c r="A460" s="38" t="str">
        <f t="shared" si="273"/>
        <v xml:space="preserve"> </v>
      </c>
      <c r="B460" s="108"/>
      <c r="C460" s="38"/>
      <c r="D460" s="137"/>
      <c r="E460" s="137"/>
      <c r="F460" s="137"/>
      <c r="G460" s="122"/>
      <c r="H460" s="137"/>
      <c r="I460" s="50"/>
      <c r="J460" s="50"/>
      <c r="K460" s="50"/>
      <c r="L460" s="38"/>
      <c r="M460" s="38"/>
      <c r="N460" s="38"/>
      <c r="O460" s="50"/>
      <c r="P460" s="218"/>
      <c r="Q460" s="50"/>
      <c r="R460" s="50"/>
      <c r="S460" s="38"/>
      <c r="T460" s="51"/>
      <c r="U460" s="65"/>
      <c r="V460" s="105"/>
      <c r="W460" s="66"/>
      <c r="X460" s="66"/>
      <c r="Y460" s="38"/>
      <c r="Z460" s="66">
        <f t="shared" si="261"/>
        <v>0</v>
      </c>
      <c r="AA460" s="67"/>
      <c r="AC460" s="41" t="e">
        <f>VLOOKUP(A460,'Input Sheet'!$A$2:$B$232,2,0)</f>
        <v>#N/A</v>
      </c>
      <c r="AD460" s="70"/>
      <c r="AI460" s="68"/>
      <c r="AL460" s="107">
        <f t="shared" ca="1" si="250"/>
        <v>0</v>
      </c>
      <c r="AM460" s="49">
        <f t="shared" ca="1" si="268"/>
        <v>57284</v>
      </c>
      <c r="AN460" s="137" t="str">
        <f t="shared" ca="1" si="251"/>
        <v xml:space="preserve"> </v>
      </c>
      <c r="AO460" s="107">
        <f t="shared" ca="1" si="264"/>
        <v>0</v>
      </c>
      <c r="AP460" s="143">
        <f t="shared" ca="1" si="262"/>
        <v>0</v>
      </c>
      <c r="AQ460" s="143">
        <f t="shared" ca="1" si="252"/>
        <v>0</v>
      </c>
      <c r="AR460" s="49" t="str">
        <f t="shared" ca="1" si="253"/>
        <v xml:space="preserve"> </v>
      </c>
      <c r="AS460" s="107">
        <f t="shared" ca="1" si="254"/>
        <v>0</v>
      </c>
      <c r="AT460" s="107">
        <f t="shared" ca="1" si="263"/>
        <v>0</v>
      </c>
      <c r="AU460" s="107"/>
      <c r="AV460" s="107">
        <f ca="1">MAX(SUM($AQ$6:AQ460)-SUM($AT$6:AT460),0)</f>
        <v>0</v>
      </c>
      <c r="AW460" s="107">
        <f t="shared" ca="1" si="269"/>
        <v>0</v>
      </c>
      <c r="AX460" s="107">
        <v>0</v>
      </c>
      <c r="AY460" s="138" t="str">
        <f t="shared" ca="1" si="255"/>
        <v xml:space="preserve"> </v>
      </c>
      <c r="AZ460" s="107">
        <f t="shared" ca="1" si="256"/>
        <v>0</v>
      </c>
      <c r="BA460" s="107">
        <f ca="1">IF(AZ460=1,(SUM($AW$6:AW460,$AX$6:AX460)-SUM($BA$6:BA459)),0)</f>
        <v>0</v>
      </c>
      <c r="BB460" s="107"/>
      <c r="BC460" s="107">
        <f ca="1">AV460+SUM($AW$6:AW460)+SUM($AX$6:AX460)-SUM($BA$6:BA460)</f>
        <v>0</v>
      </c>
      <c r="BD460" s="107">
        <f t="shared" ca="1" si="257"/>
        <v>0</v>
      </c>
      <c r="BE460" s="51">
        <f>'PiT PD Structure'!J500</f>
        <v>0</v>
      </c>
      <c r="BF460" s="139">
        <f t="shared" ca="1" si="270"/>
        <v>0.45</v>
      </c>
      <c r="BG460" s="51">
        <f t="shared" ca="1" si="258"/>
        <v>1</v>
      </c>
      <c r="BH460" s="50">
        <f t="shared" ca="1" si="259"/>
        <v>0</v>
      </c>
      <c r="BI460" s="50">
        <f t="shared" ca="1" si="260"/>
        <v>3.4816594052244909E-13</v>
      </c>
      <c r="BJ460" s="140">
        <v>0</v>
      </c>
      <c r="BK460" s="140">
        <v>0</v>
      </c>
      <c r="BR460" s="75">
        <f t="shared" ca="1" si="271"/>
        <v>57284</v>
      </c>
      <c r="BS460" s="74">
        <f t="shared" ca="1" si="243"/>
        <v>10</v>
      </c>
      <c r="BT460" s="74">
        <f t="shared" ca="1" si="265"/>
        <v>0</v>
      </c>
      <c r="BU460" s="73" t="str">
        <f t="shared" ca="1" si="244"/>
        <v xml:space="preserve"> </v>
      </c>
      <c r="BW460" s="75">
        <f t="shared" ca="1" si="245"/>
        <v>57284</v>
      </c>
      <c r="BX460" s="74">
        <f t="shared" ca="1" si="246"/>
        <v>10</v>
      </c>
      <c r="BY460" s="74">
        <f t="shared" ca="1" si="266"/>
        <v>0</v>
      </c>
      <c r="BZ460" s="73" t="str">
        <f t="shared" ca="1" si="247"/>
        <v xml:space="preserve"> </v>
      </c>
      <c r="CB460" s="75">
        <f t="shared" ca="1" si="272"/>
        <v>57284</v>
      </c>
      <c r="CC460" s="74">
        <f t="shared" ca="1" si="248"/>
        <v>10</v>
      </c>
      <c r="CD460" s="74">
        <f t="shared" ca="1" si="267"/>
        <v>0</v>
      </c>
      <c r="CE460" s="73" t="str">
        <f t="shared" ca="1" si="249"/>
        <v xml:space="preserve"> </v>
      </c>
    </row>
    <row r="461" spans="1:83" x14ac:dyDescent="0.2">
      <c r="A461" s="38" t="str">
        <f t="shared" si="273"/>
        <v xml:space="preserve"> </v>
      </c>
      <c r="B461" s="108"/>
      <c r="C461" s="38"/>
      <c r="D461" s="137"/>
      <c r="E461" s="137"/>
      <c r="F461" s="137"/>
      <c r="G461" s="122"/>
      <c r="H461" s="137"/>
      <c r="I461" s="50"/>
      <c r="J461" s="50"/>
      <c r="K461" s="50"/>
      <c r="L461" s="38"/>
      <c r="M461" s="38"/>
      <c r="N461" s="38"/>
      <c r="O461" s="50"/>
      <c r="P461" s="218"/>
      <c r="Q461" s="50"/>
      <c r="R461" s="50"/>
      <c r="S461" s="38"/>
      <c r="T461" s="51"/>
      <c r="U461" s="65"/>
      <c r="V461" s="105"/>
      <c r="W461" s="66"/>
      <c r="X461" s="66"/>
      <c r="Y461" s="38"/>
      <c r="Z461" s="66">
        <f t="shared" si="261"/>
        <v>0</v>
      </c>
      <c r="AA461" s="67"/>
      <c r="AC461" s="41" t="e">
        <f>VLOOKUP(A461,'Input Sheet'!$A$2:$B$232,2,0)</f>
        <v>#N/A</v>
      </c>
      <c r="AD461" s="70"/>
      <c r="AI461" s="68"/>
      <c r="AL461" s="107">
        <f t="shared" ca="1" si="250"/>
        <v>0</v>
      </c>
      <c r="AM461" s="49">
        <f t="shared" ca="1" si="268"/>
        <v>57314</v>
      </c>
      <c r="AN461" s="137" t="str">
        <f t="shared" ca="1" si="251"/>
        <v xml:space="preserve"> </v>
      </c>
      <c r="AO461" s="107">
        <f t="shared" ca="1" si="264"/>
        <v>0</v>
      </c>
      <c r="AP461" s="143">
        <f t="shared" ca="1" si="262"/>
        <v>0</v>
      </c>
      <c r="AQ461" s="143">
        <f t="shared" ca="1" si="252"/>
        <v>0</v>
      </c>
      <c r="AR461" s="49" t="str">
        <f t="shared" ca="1" si="253"/>
        <v xml:space="preserve"> </v>
      </c>
      <c r="AS461" s="107">
        <f t="shared" ca="1" si="254"/>
        <v>0</v>
      </c>
      <c r="AT461" s="107">
        <f t="shared" ca="1" si="263"/>
        <v>0</v>
      </c>
      <c r="AU461" s="107"/>
      <c r="AV461" s="107">
        <f ca="1">MAX(SUM($AQ$6:AQ461)-SUM($AT$6:AT461),0)</f>
        <v>0</v>
      </c>
      <c r="AW461" s="107">
        <f t="shared" ca="1" si="269"/>
        <v>0</v>
      </c>
      <c r="AX461" s="107">
        <v>0</v>
      </c>
      <c r="AY461" s="138" t="str">
        <f t="shared" ca="1" si="255"/>
        <v xml:space="preserve"> </v>
      </c>
      <c r="AZ461" s="107">
        <f t="shared" ca="1" si="256"/>
        <v>0</v>
      </c>
      <c r="BA461" s="107">
        <f ca="1">IF(AZ461=1,(SUM($AW$6:AW461,$AX$6:AX461)-SUM($BA$6:BA460)),0)</f>
        <v>0</v>
      </c>
      <c r="BB461" s="107"/>
      <c r="BC461" s="107">
        <f ca="1">AV461+SUM($AW$6:AW461)+SUM($AX$6:AX461)-SUM($BA$6:BA461)</f>
        <v>0</v>
      </c>
      <c r="BD461" s="107">
        <f t="shared" ca="1" si="257"/>
        <v>0</v>
      </c>
      <c r="BE461" s="51">
        <f>'PiT PD Structure'!J501</f>
        <v>0</v>
      </c>
      <c r="BF461" s="139">
        <f t="shared" ca="1" si="270"/>
        <v>0.45</v>
      </c>
      <c r="BG461" s="51">
        <f t="shared" ca="1" si="258"/>
        <v>1</v>
      </c>
      <c r="BH461" s="50">
        <f t="shared" ca="1" si="259"/>
        <v>0</v>
      </c>
      <c r="BI461" s="50">
        <f t="shared" ca="1" si="260"/>
        <v>3.4816594052244909E-13</v>
      </c>
      <c r="BJ461" s="140">
        <v>0</v>
      </c>
      <c r="BK461" s="140">
        <v>0</v>
      </c>
      <c r="BR461" s="75">
        <f t="shared" ca="1" si="271"/>
        <v>57314</v>
      </c>
      <c r="BS461" s="74">
        <f t="shared" ca="1" si="243"/>
        <v>11</v>
      </c>
      <c r="BT461" s="74">
        <f t="shared" ca="1" si="265"/>
        <v>0</v>
      </c>
      <c r="BU461" s="73" t="str">
        <f t="shared" ca="1" si="244"/>
        <v xml:space="preserve"> </v>
      </c>
      <c r="BW461" s="75">
        <f t="shared" ca="1" si="245"/>
        <v>57314</v>
      </c>
      <c r="BX461" s="74">
        <f t="shared" ca="1" si="246"/>
        <v>11</v>
      </c>
      <c r="BY461" s="74">
        <f t="shared" ca="1" si="266"/>
        <v>0</v>
      </c>
      <c r="BZ461" s="73" t="str">
        <f t="shared" ca="1" si="247"/>
        <v xml:space="preserve"> </v>
      </c>
      <c r="CB461" s="75">
        <f t="shared" ca="1" si="272"/>
        <v>57314</v>
      </c>
      <c r="CC461" s="74">
        <f t="shared" ca="1" si="248"/>
        <v>11</v>
      </c>
      <c r="CD461" s="74">
        <f t="shared" ca="1" si="267"/>
        <v>0</v>
      </c>
      <c r="CE461" s="73" t="str">
        <f t="shared" ca="1" si="249"/>
        <v xml:space="preserve"> </v>
      </c>
    </row>
    <row r="462" spans="1:83" x14ac:dyDescent="0.2">
      <c r="A462" s="38" t="str">
        <f t="shared" si="273"/>
        <v xml:space="preserve"> </v>
      </c>
      <c r="B462" s="108"/>
      <c r="C462" s="38"/>
      <c r="D462" s="137"/>
      <c r="E462" s="137"/>
      <c r="F462" s="137"/>
      <c r="G462" s="122"/>
      <c r="H462" s="137"/>
      <c r="I462" s="50"/>
      <c r="J462" s="50"/>
      <c r="K462" s="50"/>
      <c r="L462" s="38"/>
      <c r="M462" s="38"/>
      <c r="N462" s="38"/>
      <c r="O462" s="50"/>
      <c r="P462" s="218"/>
      <c r="Q462" s="50"/>
      <c r="R462" s="50"/>
      <c r="S462" s="38"/>
      <c r="T462" s="51"/>
      <c r="U462" s="65"/>
      <c r="V462" s="105"/>
      <c r="W462" s="66"/>
      <c r="X462" s="66"/>
      <c r="Y462" s="38"/>
      <c r="Z462" s="66">
        <f t="shared" si="261"/>
        <v>0</v>
      </c>
      <c r="AA462" s="67"/>
      <c r="AC462" s="41" t="e">
        <f>VLOOKUP(A462,'Input Sheet'!$A$2:$B$232,2,0)</f>
        <v>#N/A</v>
      </c>
      <c r="AD462" s="70"/>
      <c r="AI462" s="68"/>
      <c r="AL462" s="107">
        <f t="shared" ca="1" si="250"/>
        <v>0</v>
      </c>
      <c r="AM462" s="49">
        <f t="shared" ca="1" si="268"/>
        <v>57345</v>
      </c>
      <c r="AN462" s="137" t="str">
        <f t="shared" ca="1" si="251"/>
        <v xml:space="preserve"> </v>
      </c>
      <c r="AO462" s="107">
        <f t="shared" ca="1" si="264"/>
        <v>0</v>
      </c>
      <c r="AP462" s="143">
        <f t="shared" ca="1" si="262"/>
        <v>0</v>
      </c>
      <c r="AQ462" s="143">
        <f t="shared" ca="1" si="252"/>
        <v>0</v>
      </c>
      <c r="AR462" s="49" t="str">
        <f t="shared" ca="1" si="253"/>
        <v xml:space="preserve"> </v>
      </c>
      <c r="AS462" s="107">
        <f t="shared" ca="1" si="254"/>
        <v>0</v>
      </c>
      <c r="AT462" s="107">
        <f t="shared" ca="1" si="263"/>
        <v>0</v>
      </c>
      <c r="AU462" s="107"/>
      <c r="AV462" s="107">
        <f ca="1">MAX(SUM($AQ$6:AQ462)-SUM($AT$6:AT462),0)</f>
        <v>0</v>
      </c>
      <c r="AW462" s="107">
        <f t="shared" ca="1" si="269"/>
        <v>0</v>
      </c>
      <c r="AX462" s="107">
        <v>0</v>
      </c>
      <c r="AY462" s="138" t="str">
        <f t="shared" ca="1" si="255"/>
        <v xml:space="preserve"> </v>
      </c>
      <c r="AZ462" s="107">
        <f t="shared" ca="1" si="256"/>
        <v>0</v>
      </c>
      <c r="BA462" s="107">
        <f ca="1">IF(AZ462=1,(SUM($AW$6:AW462,$AX$6:AX462)-SUM($BA$6:BA461)),0)</f>
        <v>0</v>
      </c>
      <c r="BB462" s="107"/>
      <c r="BC462" s="107">
        <f ca="1">AV462+SUM($AW$6:AW462)+SUM($AX$6:AX462)-SUM($BA$6:BA462)</f>
        <v>0</v>
      </c>
      <c r="BD462" s="107">
        <f t="shared" ca="1" si="257"/>
        <v>0</v>
      </c>
      <c r="BE462" s="51">
        <f>'PiT PD Structure'!J502</f>
        <v>0</v>
      </c>
      <c r="BF462" s="139">
        <f t="shared" ca="1" si="270"/>
        <v>0.45</v>
      </c>
      <c r="BG462" s="51">
        <f t="shared" ca="1" si="258"/>
        <v>1</v>
      </c>
      <c r="BH462" s="50">
        <f t="shared" ca="1" si="259"/>
        <v>0</v>
      </c>
      <c r="BI462" s="50">
        <f t="shared" ca="1" si="260"/>
        <v>3.4816594052244909E-13</v>
      </c>
      <c r="BJ462" s="140">
        <v>0</v>
      </c>
      <c r="BK462" s="140">
        <v>0</v>
      </c>
      <c r="BR462" s="75">
        <f t="shared" ca="1" si="271"/>
        <v>57345</v>
      </c>
      <c r="BS462" s="74">
        <f t="shared" ca="1" si="243"/>
        <v>12</v>
      </c>
      <c r="BT462" s="74">
        <f t="shared" ca="1" si="265"/>
        <v>0</v>
      </c>
      <c r="BU462" s="73" t="str">
        <f t="shared" ca="1" si="244"/>
        <v xml:space="preserve"> </v>
      </c>
      <c r="BW462" s="75">
        <f t="shared" ca="1" si="245"/>
        <v>57345</v>
      </c>
      <c r="BX462" s="74">
        <f t="shared" ca="1" si="246"/>
        <v>12</v>
      </c>
      <c r="BY462" s="74">
        <f t="shared" ca="1" si="266"/>
        <v>0</v>
      </c>
      <c r="BZ462" s="73" t="str">
        <f t="shared" ca="1" si="247"/>
        <v xml:space="preserve"> </v>
      </c>
      <c r="CB462" s="75">
        <f t="shared" ca="1" si="272"/>
        <v>57345</v>
      </c>
      <c r="CC462" s="74">
        <f t="shared" ca="1" si="248"/>
        <v>12</v>
      </c>
      <c r="CD462" s="74">
        <f t="shared" ca="1" si="267"/>
        <v>0</v>
      </c>
      <c r="CE462" s="73" t="str">
        <f t="shared" ca="1" si="249"/>
        <v xml:space="preserve"> </v>
      </c>
    </row>
    <row r="463" spans="1:83" x14ac:dyDescent="0.2">
      <c r="A463" s="38" t="str">
        <f t="shared" si="273"/>
        <v xml:space="preserve"> </v>
      </c>
      <c r="B463" s="108"/>
      <c r="C463" s="38"/>
      <c r="D463" s="137"/>
      <c r="E463" s="137"/>
      <c r="F463" s="137"/>
      <c r="G463" s="122"/>
      <c r="H463" s="137"/>
      <c r="I463" s="50"/>
      <c r="J463" s="50"/>
      <c r="K463" s="50"/>
      <c r="L463" s="38"/>
      <c r="M463" s="38"/>
      <c r="N463" s="38"/>
      <c r="O463" s="50"/>
      <c r="P463" s="218"/>
      <c r="Q463" s="50"/>
      <c r="R463" s="50"/>
      <c r="S463" s="38"/>
      <c r="T463" s="51"/>
      <c r="U463" s="65"/>
      <c r="V463" s="105"/>
      <c r="W463" s="66"/>
      <c r="X463" s="66"/>
      <c r="Y463" s="38"/>
      <c r="Z463" s="66">
        <f t="shared" si="261"/>
        <v>0</v>
      </c>
      <c r="AA463" s="67"/>
      <c r="AC463" s="41" t="e">
        <f>VLOOKUP(A463,'Input Sheet'!$A$2:$B$232,2,0)</f>
        <v>#N/A</v>
      </c>
      <c r="AD463" s="70"/>
      <c r="AI463" s="68"/>
      <c r="AL463" s="107">
        <f t="shared" ca="1" si="250"/>
        <v>0</v>
      </c>
      <c r="AM463" s="49">
        <f t="shared" ca="1" si="268"/>
        <v>57376</v>
      </c>
      <c r="AN463" s="137" t="str">
        <f t="shared" ca="1" si="251"/>
        <v xml:space="preserve"> </v>
      </c>
      <c r="AO463" s="107">
        <f t="shared" ca="1" si="264"/>
        <v>0</v>
      </c>
      <c r="AP463" s="143">
        <f t="shared" ca="1" si="262"/>
        <v>0</v>
      </c>
      <c r="AQ463" s="143">
        <f t="shared" ca="1" si="252"/>
        <v>0</v>
      </c>
      <c r="AR463" s="49" t="str">
        <f t="shared" ca="1" si="253"/>
        <v xml:space="preserve"> </v>
      </c>
      <c r="AS463" s="107">
        <f t="shared" ca="1" si="254"/>
        <v>0</v>
      </c>
      <c r="AT463" s="107">
        <f t="shared" ca="1" si="263"/>
        <v>0</v>
      </c>
      <c r="AU463" s="107"/>
      <c r="AV463" s="107">
        <f ca="1">MAX(SUM($AQ$6:AQ463)-SUM($AT$6:AT463),0)</f>
        <v>0</v>
      </c>
      <c r="AW463" s="107">
        <f t="shared" ca="1" si="269"/>
        <v>0</v>
      </c>
      <c r="AX463" s="107">
        <v>0</v>
      </c>
      <c r="AY463" s="138" t="str">
        <f t="shared" ca="1" si="255"/>
        <v xml:space="preserve"> </v>
      </c>
      <c r="AZ463" s="107">
        <f t="shared" ca="1" si="256"/>
        <v>0</v>
      </c>
      <c r="BA463" s="107">
        <f ca="1">IF(AZ463=1,(SUM($AW$6:AW463,$AX$6:AX463)-SUM($BA$6:BA462)),0)</f>
        <v>0</v>
      </c>
      <c r="BB463" s="107"/>
      <c r="BC463" s="107">
        <f ca="1">AV463+SUM($AW$6:AW463)+SUM($AX$6:AX463)-SUM($BA$6:BA463)</f>
        <v>0</v>
      </c>
      <c r="BD463" s="107">
        <f t="shared" ca="1" si="257"/>
        <v>0</v>
      </c>
      <c r="BE463" s="51">
        <f>'PiT PD Structure'!J503</f>
        <v>0</v>
      </c>
      <c r="BF463" s="139">
        <f t="shared" ca="1" si="270"/>
        <v>0.45</v>
      </c>
      <c r="BG463" s="51">
        <f t="shared" ca="1" si="258"/>
        <v>1</v>
      </c>
      <c r="BH463" s="50">
        <f t="shared" ca="1" si="259"/>
        <v>0</v>
      </c>
      <c r="BI463" s="50">
        <f t="shared" ca="1" si="260"/>
        <v>3.4816594052244909E-13</v>
      </c>
      <c r="BJ463" s="140">
        <v>0</v>
      </c>
      <c r="BK463" s="140">
        <v>0</v>
      </c>
      <c r="BR463" s="75">
        <f t="shared" ca="1" si="271"/>
        <v>57376</v>
      </c>
      <c r="BS463" s="74">
        <f t="shared" ca="1" si="243"/>
        <v>1</v>
      </c>
      <c r="BT463" s="74">
        <f t="shared" ca="1" si="265"/>
        <v>0</v>
      </c>
      <c r="BU463" s="73" t="str">
        <f t="shared" ca="1" si="244"/>
        <v xml:space="preserve"> </v>
      </c>
      <c r="BW463" s="75">
        <f t="shared" ca="1" si="245"/>
        <v>57376</v>
      </c>
      <c r="BX463" s="74">
        <f t="shared" ca="1" si="246"/>
        <v>1</v>
      </c>
      <c r="BY463" s="74">
        <f t="shared" ca="1" si="266"/>
        <v>0</v>
      </c>
      <c r="BZ463" s="73" t="str">
        <f t="shared" ca="1" si="247"/>
        <v xml:space="preserve"> </v>
      </c>
      <c r="CB463" s="75">
        <f t="shared" ca="1" si="272"/>
        <v>57376</v>
      </c>
      <c r="CC463" s="74">
        <f t="shared" ca="1" si="248"/>
        <v>1</v>
      </c>
      <c r="CD463" s="74">
        <f t="shared" ca="1" si="267"/>
        <v>0</v>
      </c>
      <c r="CE463" s="73" t="str">
        <f t="shared" ca="1" si="249"/>
        <v xml:space="preserve"> </v>
      </c>
    </row>
    <row r="464" spans="1:83" x14ac:dyDescent="0.2">
      <c r="A464" s="38" t="str">
        <f t="shared" si="273"/>
        <v xml:space="preserve"> </v>
      </c>
      <c r="B464" s="108"/>
      <c r="C464" s="38"/>
      <c r="D464" s="137"/>
      <c r="E464" s="137"/>
      <c r="F464" s="137"/>
      <c r="G464" s="122"/>
      <c r="H464" s="137"/>
      <c r="I464" s="50"/>
      <c r="J464" s="50"/>
      <c r="K464" s="50"/>
      <c r="L464" s="38"/>
      <c r="M464" s="38"/>
      <c r="N464" s="38"/>
      <c r="O464" s="50"/>
      <c r="P464" s="218"/>
      <c r="Q464" s="50"/>
      <c r="R464" s="50"/>
      <c r="S464" s="38"/>
      <c r="T464" s="51"/>
      <c r="U464" s="65"/>
      <c r="V464" s="105"/>
      <c r="W464" s="66"/>
      <c r="X464" s="66"/>
      <c r="Y464" s="38"/>
      <c r="Z464" s="66">
        <f t="shared" si="261"/>
        <v>0</v>
      </c>
      <c r="AA464" s="67"/>
      <c r="AC464" s="41" t="e">
        <f>VLOOKUP(A464,'Input Sheet'!$A$2:$B$232,2,0)</f>
        <v>#N/A</v>
      </c>
      <c r="AD464" s="70"/>
      <c r="AI464" s="68"/>
      <c r="AL464" s="107">
        <f t="shared" ca="1" si="250"/>
        <v>0</v>
      </c>
      <c r="AM464" s="49">
        <f t="shared" ca="1" si="268"/>
        <v>57404</v>
      </c>
      <c r="AN464" s="137" t="str">
        <f t="shared" ca="1" si="251"/>
        <v xml:space="preserve"> </v>
      </c>
      <c r="AO464" s="107">
        <f t="shared" ca="1" si="264"/>
        <v>0</v>
      </c>
      <c r="AP464" s="143">
        <f t="shared" ca="1" si="262"/>
        <v>0</v>
      </c>
      <c r="AQ464" s="143">
        <f t="shared" ca="1" si="252"/>
        <v>0</v>
      </c>
      <c r="AR464" s="49" t="str">
        <f t="shared" ca="1" si="253"/>
        <v xml:space="preserve"> </v>
      </c>
      <c r="AS464" s="107">
        <f t="shared" ca="1" si="254"/>
        <v>0</v>
      </c>
      <c r="AT464" s="107">
        <f t="shared" ca="1" si="263"/>
        <v>0</v>
      </c>
      <c r="AU464" s="107"/>
      <c r="AV464" s="107">
        <f ca="1">MAX(SUM($AQ$6:AQ464)-SUM($AT$6:AT464),0)</f>
        <v>0</v>
      </c>
      <c r="AW464" s="107">
        <f t="shared" ca="1" si="269"/>
        <v>0</v>
      </c>
      <c r="AX464" s="107">
        <v>0</v>
      </c>
      <c r="AY464" s="138" t="str">
        <f t="shared" ca="1" si="255"/>
        <v xml:space="preserve"> </v>
      </c>
      <c r="AZ464" s="107">
        <f t="shared" ca="1" si="256"/>
        <v>0</v>
      </c>
      <c r="BA464" s="107">
        <f ca="1">IF(AZ464=1,(SUM($AW$6:AW464,$AX$6:AX464)-SUM($BA$6:BA463)),0)</f>
        <v>0</v>
      </c>
      <c r="BB464" s="107"/>
      <c r="BC464" s="107">
        <f ca="1">AV464+SUM($AW$6:AW464)+SUM($AX$6:AX464)-SUM($BA$6:BA464)</f>
        <v>0</v>
      </c>
      <c r="BD464" s="107">
        <f t="shared" ca="1" si="257"/>
        <v>0</v>
      </c>
      <c r="BE464" s="51">
        <f>'PiT PD Structure'!J504</f>
        <v>0</v>
      </c>
      <c r="BF464" s="139">
        <f t="shared" ca="1" si="270"/>
        <v>0.45</v>
      </c>
      <c r="BG464" s="51">
        <f t="shared" ca="1" si="258"/>
        <v>1</v>
      </c>
      <c r="BH464" s="50">
        <f t="shared" ca="1" si="259"/>
        <v>0</v>
      </c>
      <c r="BI464" s="50">
        <f t="shared" ca="1" si="260"/>
        <v>3.4816594052244909E-13</v>
      </c>
      <c r="BJ464" s="140">
        <v>0</v>
      </c>
      <c r="BK464" s="140">
        <v>0</v>
      </c>
      <c r="BR464" s="75">
        <f t="shared" ca="1" si="271"/>
        <v>57404</v>
      </c>
      <c r="BS464" s="74">
        <f t="shared" ca="1" si="243"/>
        <v>2</v>
      </c>
      <c r="BT464" s="74">
        <f t="shared" ca="1" si="265"/>
        <v>0</v>
      </c>
      <c r="BU464" s="73" t="str">
        <f t="shared" ca="1" si="244"/>
        <v xml:space="preserve"> </v>
      </c>
      <c r="BW464" s="75">
        <f t="shared" ca="1" si="245"/>
        <v>57404</v>
      </c>
      <c r="BX464" s="74">
        <f t="shared" ca="1" si="246"/>
        <v>2</v>
      </c>
      <c r="BY464" s="74">
        <f t="shared" ca="1" si="266"/>
        <v>0</v>
      </c>
      <c r="BZ464" s="73" t="str">
        <f t="shared" ca="1" si="247"/>
        <v xml:space="preserve"> </v>
      </c>
      <c r="CB464" s="75">
        <f t="shared" ca="1" si="272"/>
        <v>57404</v>
      </c>
      <c r="CC464" s="74">
        <f t="shared" ca="1" si="248"/>
        <v>2</v>
      </c>
      <c r="CD464" s="74">
        <f t="shared" ca="1" si="267"/>
        <v>0</v>
      </c>
      <c r="CE464" s="73" t="str">
        <f t="shared" ca="1" si="249"/>
        <v xml:space="preserve"> </v>
      </c>
    </row>
    <row r="465" spans="1:83" x14ac:dyDescent="0.2">
      <c r="A465" s="38" t="str">
        <f t="shared" si="273"/>
        <v xml:space="preserve"> </v>
      </c>
      <c r="B465" s="108"/>
      <c r="C465" s="38"/>
      <c r="D465" s="137"/>
      <c r="E465" s="137"/>
      <c r="F465" s="137"/>
      <c r="G465" s="122"/>
      <c r="H465" s="137"/>
      <c r="I465" s="50"/>
      <c r="J465" s="50"/>
      <c r="K465" s="50"/>
      <c r="L465" s="38"/>
      <c r="M465" s="38"/>
      <c r="N465" s="38"/>
      <c r="O465" s="50"/>
      <c r="P465" s="218"/>
      <c r="Q465" s="50"/>
      <c r="R465" s="50"/>
      <c r="S465" s="38"/>
      <c r="T465" s="51"/>
      <c r="U465" s="65"/>
      <c r="V465" s="105"/>
      <c r="W465" s="66"/>
      <c r="X465" s="66"/>
      <c r="Y465" s="38"/>
      <c r="Z465" s="66">
        <f t="shared" si="261"/>
        <v>0</v>
      </c>
      <c r="AA465" s="67"/>
      <c r="AC465" s="41" t="e">
        <f>VLOOKUP(A465,'Input Sheet'!$A$2:$B$232,2,0)</f>
        <v>#N/A</v>
      </c>
      <c r="AD465" s="70"/>
      <c r="AI465" s="68"/>
      <c r="AL465" s="107">
        <f t="shared" ca="1" si="250"/>
        <v>0</v>
      </c>
      <c r="AM465" s="49">
        <f t="shared" ca="1" si="268"/>
        <v>57435</v>
      </c>
      <c r="AN465" s="137" t="str">
        <f t="shared" ca="1" si="251"/>
        <v xml:space="preserve"> </v>
      </c>
      <c r="AO465" s="107">
        <f t="shared" ca="1" si="264"/>
        <v>0</v>
      </c>
      <c r="AP465" s="143">
        <f t="shared" ca="1" si="262"/>
        <v>0</v>
      </c>
      <c r="AQ465" s="143">
        <f t="shared" ca="1" si="252"/>
        <v>0</v>
      </c>
      <c r="AR465" s="49" t="str">
        <f t="shared" ca="1" si="253"/>
        <v xml:space="preserve"> </v>
      </c>
      <c r="AS465" s="107">
        <f t="shared" ca="1" si="254"/>
        <v>0</v>
      </c>
      <c r="AT465" s="107">
        <f t="shared" ca="1" si="263"/>
        <v>0</v>
      </c>
      <c r="AU465" s="107"/>
      <c r="AV465" s="107">
        <f ca="1">MAX(SUM($AQ$6:AQ465)-SUM($AT$6:AT465),0)</f>
        <v>0</v>
      </c>
      <c r="AW465" s="107">
        <f t="shared" ca="1" si="269"/>
        <v>0</v>
      </c>
      <c r="AX465" s="107">
        <v>0</v>
      </c>
      <c r="AY465" s="138" t="str">
        <f t="shared" ca="1" si="255"/>
        <v xml:space="preserve"> </v>
      </c>
      <c r="AZ465" s="107">
        <f t="shared" ca="1" si="256"/>
        <v>0</v>
      </c>
      <c r="BA465" s="107">
        <f ca="1">IF(AZ465=1,(SUM($AW$6:AW465,$AX$6:AX465)-SUM($BA$6:BA464)),0)</f>
        <v>0</v>
      </c>
      <c r="BB465" s="107"/>
      <c r="BC465" s="107">
        <f ca="1">AV465+SUM($AW$6:AW465)+SUM($AX$6:AX465)-SUM($BA$6:BA465)</f>
        <v>0</v>
      </c>
      <c r="BD465" s="107">
        <f t="shared" ca="1" si="257"/>
        <v>0</v>
      </c>
      <c r="BE465" s="51">
        <f>'PiT PD Structure'!J505</f>
        <v>0</v>
      </c>
      <c r="BF465" s="139">
        <f t="shared" ca="1" si="270"/>
        <v>0.45</v>
      </c>
      <c r="BG465" s="51">
        <f t="shared" ca="1" si="258"/>
        <v>1</v>
      </c>
      <c r="BH465" s="50">
        <f t="shared" ca="1" si="259"/>
        <v>0</v>
      </c>
      <c r="BI465" s="50">
        <f t="shared" ca="1" si="260"/>
        <v>3.4816594052244909E-13</v>
      </c>
      <c r="BJ465" s="140">
        <v>0</v>
      </c>
      <c r="BK465" s="140">
        <v>0</v>
      </c>
      <c r="BR465" s="75">
        <f t="shared" ca="1" si="271"/>
        <v>57435</v>
      </c>
      <c r="BS465" s="74">
        <f t="shared" ca="1" si="243"/>
        <v>3</v>
      </c>
      <c r="BT465" s="74">
        <f t="shared" ca="1" si="265"/>
        <v>0</v>
      </c>
      <c r="BU465" s="73" t="str">
        <f t="shared" ca="1" si="244"/>
        <v xml:space="preserve"> </v>
      </c>
      <c r="BW465" s="75">
        <f t="shared" ca="1" si="245"/>
        <v>57435</v>
      </c>
      <c r="BX465" s="74">
        <f t="shared" ca="1" si="246"/>
        <v>3</v>
      </c>
      <c r="BY465" s="74">
        <f t="shared" ca="1" si="266"/>
        <v>0</v>
      </c>
      <c r="BZ465" s="73" t="str">
        <f t="shared" ca="1" si="247"/>
        <v xml:space="preserve"> </v>
      </c>
      <c r="CB465" s="75">
        <f t="shared" ca="1" si="272"/>
        <v>57435</v>
      </c>
      <c r="CC465" s="74">
        <f t="shared" ca="1" si="248"/>
        <v>3</v>
      </c>
      <c r="CD465" s="74">
        <f t="shared" ca="1" si="267"/>
        <v>0</v>
      </c>
      <c r="CE465" s="73" t="str">
        <f t="shared" ca="1" si="249"/>
        <v xml:space="preserve"> </v>
      </c>
    </row>
    <row r="466" spans="1:83" x14ac:dyDescent="0.2">
      <c r="A466" s="38" t="str">
        <f t="shared" si="273"/>
        <v xml:space="preserve"> </v>
      </c>
      <c r="B466" s="108"/>
      <c r="C466" s="38"/>
      <c r="D466" s="137"/>
      <c r="E466" s="137"/>
      <c r="F466" s="137"/>
      <c r="G466" s="122"/>
      <c r="H466" s="137"/>
      <c r="I466" s="50"/>
      <c r="J466" s="50"/>
      <c r="K466" s="50"/>
      <c r="L466" s="38"/>
      <c r="M466" s="38"/>
      <c r="N466" s="38"/>
      <c r="O466" s="50"/>
      <c r="P466" s="218"/>
      <c r="Q466" s="50"/>
      <c r="R466" s="50"/>
      <c r="S466" s="38"/>
      <c r="T466" s="51"/>
      <c r="U466" s="65"/>
      <c r="V466" s="105"/>
      <c r="W466" s="66"/>
      <c r="X466" s="66"/>
      <c r="Y466" s="38"/>
      <c r="Z466" s="66">
        <f t="shared" si="261"/>
        <v>0</v>
      </c>
      <c r="AA466" s="67"/>
      <c r="AC466" s="41" t="e">
        <f>VLOOKUP(A466,'Input Sheet'!$A$2:$B$232,2,0)</f>
        <v>#N/A</v>
      </c>
      <c r="AD466" s="70"/>
      <c r="AI466" s="68"/>
      <c r="AL466" s="107">
        <f t="shared" ca="1" si="250"/>
        <v>0</v>
      </c>
      <c r="AM466" s="49">
        <f t="shared" ca="1" si="268"/>
        <v>57465</v>
      </c>
      <c r="AN466" s="137" t="str">
        <f t="shared" ca="1" si="251"/>
        <v xml:space="preserve"> </v>
      </c>
      <c r="AO466" s="107">
        <f t="shared" ca="1" si="264"/>
        <v>0</v>
      </c>
      <c r="AP466" s="143">
        <f t="shared" ca="1" si="262"/>
        <v>0</v>
      </c>
      <c r="AQ466" s="143">
        <f t="shared" ca="1" si="252"/>
        <v>0</v>
      </c>
      <c r="AR466" s="49" t="str">
        <f t="shared" ca="1" si="253"/>
        <v xml:space="preserve"> </v>
      </c>
      <c r="AS466" s="107">
        <f t="shared" ca="1" si="254"/>
        <v>0</v>
      </c>
      <c r="AT466" s="107">
        <f t="shared" ca="1" si="263"/>
        <v>0</v>
      </c>
      <c r="AU466" s="107"/>
      <c r="AV466" s="107">
        <f ca="1">MAX(SUM($AQ$6:AQ466)-SUM($AT$6:AT466),0)</f>
        <v>0</v>
      </c>
      <c r="AW466" s="107">
        <f t="shared" ca="1" si="269"/>
        <v>0</v>
      </c>
      <c r="AX466" s="107">
        <v>0</v>
      </c>
      <c r="AY466" s="138" t="str">
        <f t="shared" ca="1" si="255"/>
        <v xml:space="preserve"> </v>
      </c>
      <c r="AZ466" s="107">
        <f t="shared" ca="1" si="256"/>
        <v>0</v>
      </c>
      <c r="BA466" s="107">
        <f ca="1">IF(AZ466=1,(SUM($AW$6:AW466,$AX$6:AX466)-SUM($BA$6:BA465)),0)</f>
        <v>0</v>
      </c>
      <c r="BB466" s="107"/>
      <c r="BC466" s="107">
        <f ca="1">AV466+SUM($AW$6:AW466)+SUM($AX$6:AX466)-SUM($BA$6:BA466)</f>
        <v>0</v>
      </c>
      <c r="BD466" s="107">
        <f t="shared" ca="1" si="257"/>
        <v>0</v>
      </c>
      <c r="BE466" s="51">
        <f>'PiT PD Structure'!J506</f>
        <v>0</v>
      </c>
      <c r="BF466" s="139">
        <f t="shared" ca="1" si="270"/>
        <v>0.45</v>
      </c>
      <c r="BG466" s="51">
        <f t="shared" ca="1" si="258"/>
        <v>1</v>
      </c>
      <c r="BH466" s="50">
        <f t="shared" ca="1" si="259"/>
        <v>0</v>
      </c>
      <c r="BI466" s="50">
        <f t="shared" ca="1" si="260"/>
        <v>3.4816594052244909E-13</v>
      </c>
      <c r="BJ466" s="140">
        <v>0</v>
      </c>
      <c r="BK466" s="140">
        <v>0</v>
      </c>
      <c r="BR466" s="75">
        <f t="shared" ca="1" si="271"/>
        <v>57465</v>
      </c>
      <c r="BS466" s="74">
        <f t="shared" ca="1" si="243"/>
        <v>4</v>
      </c>
      <c r="BT466" s="74">
        <f t="shared" ca="1" si="265"/>
        <v>0</v>
      </c>
      <c r="BU466" s="73" t="str">
        <f t="shared" ca="1" si="244"/>
        <v xml:space="preserve"> </v>
      </c>
      <c r="BW466" s="75">
        <f t="shared" ca="1" si="245"/>
        <v>57465</v>
      </c>
      <c r="BX466" s="74">
        <f t="shared" ca="1" si="246"/>
        <v>4</v>
      </c>
      <c r="BY466" s="74">
        <f t="shared" ca="1" si="266"/>
        <v>0</v>
      </c>
      <c r="BZ466" s="73" t="str">
        <f t="shared" ca="1" si="247"/>
        <v xml:space="preserve"> </v>
      </c>
      <c r="CB466" s="75">
        <f t="shared" ca="1" si="272"/>
        <v>57465</v>
      </c>
      <c r="CC466" s="74">
        <f t="shared" ca="1" si="248"/>
        <v>4</v>
      </c>
      <c r="CD466" s="74">
        <f t="shared" ca="1" si="267"/>
        <v>0</v>
      </c>
      <c r="CE466" s="73" t="str">
        <f t="shared" ca="1" si="249"/>
        <v xml:space="preserve"> </v>
      </c>
    </row>
    <row r="467" spans="1:83" x14ac:dyDescent="0.2">
      <c r="A467" s="38" t="str">
        <f t="shared" si="273"/>
        <v xml:space="preserve"> </v>
      </c>
      <c r="B467" s="108"/>
      <c r="C467" s="38"/>
      <c r="D467" s="137"/>
      <c r="E467" s="137"/>
      <c r="F467" s="137"/>
      <c r="G467" s="122"/>
      <c r="H467" s="137"/>
      <c r="I467" s="50"/>
      <c r="J467" s="50"/>
      <c r="K467" s="50"/>
      <c r="L467" s="38"/>
      <c r="M467" s="38"/>
      <c r="N467" s="38"/>
      <c r="O467" s="50"/>
      <c r="P467" s="218"/>
      <c r="Q467" s="50"/>
      <c r="R467" s="50"/>
      <c r="S467" s="38"/>
      <c r="T467" s="51"/>
      <c r="U467" s="65"/>
      <c r="V467" s="105"/>
      <c r="W467" s="66"/>
      <c r="X467" s="66"/>
      <c r="Y467" s="38"/>
      <c r="Z467" s="66">
        <f t="shared" si="261"/>
        <v>0</v>
      </c>
      <c r="AA467" s="67"/>
      <c r="AC467" s="41" t="e">
        <f>VLOOKUP(A467,'Input Sheet'!$A$2:$B$232,2,0)</f>
        <v>#N/A</v>
      </c>
      <c r="AD467" s="70"/>
      <c r="AI467" s="68"/>
      <c r="AL467" s="107">
        <f t="shared" ca="1" si="250"/>
        <v>0</v>
      </c>
      <c r="AM467" s="49">
        <f t="shared" ca="1" si="268"/>
        <v>57496</v>
      </c>
      <c r="AN467" s="137" t="str">
        <f t="shared" ca="1" si="251"/>
        <v xml:space="preserve"> </v>
      </c>
      <c r="AO467" s="107">
        <f t="shared" ca="1" si="264"/>
        <v>0</v>
      </c>
      <c r="AP467" s="143">
        <f t="shared" ca="1" si="262"/>
        <v>0</v>
      </c>
      <c r="AQ467" s="143">
        <f t="shared" ca="1" si="252"/>
        <v>0</v>
      </c>
      <c r="AR467" s="49" t="str">
        <f t="shared" ca="1" si="253"/>
        <v xml:space="preserve"> </v>
      </c>
      <c r="AS467" s="107">
        <f t="shared" ca="1" si="254"/>
        <v>0</v>
      </c>
      <c r="AT467" s="107">
        <f t="shared" ca="1" si="263"/>
        <v>0</v>
      </c>
      <c r="AU467" s="107"/>
      <c r="AV467" s="107">
        <f ca="1">MAX(SUM($AQ$6:AQ467)-SUM($AT$6:AT467),0)</f>
        <v>0</v>
      </c>
      <c r="AW467" s="107">
        <f t="shared" ca="1" si="269"/>
        <v>0</v>
      </c>
      <c r="AX467" s="107">
        <v>0</v>
      </c>
      <c r="AY467" s="138" t="str">
        <f t="shared" ca="1" si="255"/>
        <v xml:space="preserve"> </v>
      </c>
      <c r="AZ467" s="107">
        <f t="shared" ca="1" si="256"/>
        <v>0</v>
      </c>
      <c r="BA467" s="107">
        <f ca="1">IF(AZ467=1,(SUM($AW$6:AW467,$AX$6:AX467)-SUM($BA$6:BA466)),0)</f>
        <v>0</v>
      </c>
      <c r="BB467" s="107"/>
      <c r="BC467" s="107">
        <f ca="1">AV467+SUM($AW$6:AW467)+SUM($AX$6:AX467)-SUM($BA$6:BA467)</f>
        <v>0</v>
      </c>
      <c r="BD467" s="107">
        <f t="shared" ca="1" si="257"/>
        <v>0</v>
      </c>
      <c r="BE467" s="51">
        <f>'PiT PD Structure'!J507</f>
        <v>0</v>
      </c>
      <c r="BF467" s="139">
        <f t="shared" ca="1" si="270"/>
        <v>0.45</v>
      </c>
      <c r="BG467" s="51">
        <f t="shared" ca="1" si="258"/>
        <v>1</v>
      </c>
      <c r="BH467" s="50">
        <f t="shared" ca="1" si="259"/>
        <v>0</v>
      </c>
      <c r="BI467" s="50">
        <f t="shared" ca="1" si="260"/>
        <v>3.4816594052244909E-13</v>
      </c>
      <c r="BJ467" s="140">
        <v>0</v>
      </c>
      <c r="BK467" s="140">
        <v>0</v>
      </c>
      <c r="BR467" s="75">
        <f t="shared" ca="1" si="271"/>
        <v>57496</v>
      </c>
      <c r="BS467" s="74">
        <f t="shared" ca="1" si="243"/>
        <v>5</v>
      </c>
      <c r="BT467" s="74">
        <f t="shared" ca="1" si="265"/>
        <v>0</v>
      </c>
      <c r="BU467" s="73" t="str">
        <f t="shared" ca="1" si="244"/>
        <v xml:space="preserve"> </v>
      </c>
      <c r="BW467" s="75">
        <f t="shared" ca="1" si="245"/>
        <v>57496</v>
      </c>
      <c r="BX467" s="74">
        <f t="shared" ca="1" si="246"/>
        <v>5</v>
      </c>
      <c r="BY467" s="74">
        <f t="shared" ca="1" si="266"/>
        <v>0</v>
      </c>
      <c r="BZ467" s="73" t="str">
        <f t="shared" ca="1" si="247"/>
        <v xml:space="preserve"> </v>
      </c>
      <c r="CB467" s="75">
        <f t="shared" ca="1" si="272"/>
        <v>57496</v>
      </c>
      <c r="CC467" s="74">
        <f t="shared" ca="1" si="248"/>
        <v>5</v>
      </c>
      <c r="CD467" s="74">
        <f t="shared" ca="1" si="267"/>
        <v>0</v>
      </c>
      <c r="CE467" s="73" t="str">
        <f t="shared" ca="1" si="249"/>
        <v xml:space="preserve"> </v>
      </c>
    </row>
    <row r="468" spans="1:83" x14ac:dyDescent="0.2">
      <c r="A468" s="38" t="str">
        <f t="shared" si="273"/>
        <v xml:space="preserve"> </v>
      </c>
      <c r="B468" s="108"/>
      <c r="C468" s="38"/>
      <c r="D468" s="137"/>
      <c r="E468" s="137"/>
      <c r="F468" s="137"/>
      <c r="G468" s="122"/>
      <c r="H468" s="137"/>
      <c r="I468" s="50"/>
      <c r="J468" s="50"/>
      <c r="K468" s="50"/>
      <c r="L468" s="38"/>
      <c r="M468" s="38"/>
      <c r="N468" s="38"/>
      <c r="O468" s="50"/>
      <c r="P468" s="218"/>
      <c r="Q468" s="50"/>
      <c r="R468" s="50"/>
      <c r="S468" s="38"/>
      <c r="T468" s="51"/>
      <c r="U468" s="65"/>
      <c r="V468" s="105"/>
      <c r="W468" s="66"/>
      <c r="X468" s="66"/>
      <c r="Y468" s="38"/>
      <c r="Z468" s="66">
        <f t="shared" si="261"/>
        <v>0</v>
      </c>
      <c r="AA468" s="67"/>
      <c r="AC468" s="41" t="e">
        <f>VLOOKUP(A468,'Input Sheet'!$A$2:$B$232,2,0)</f>
        <v>#N/A</v>
      </c>
      <c r="AD468" s="70"/>
      <c r="AI468" s="68"/>
      <c r="AL468" s="107">
        <f t="shared" ca="1" si="250"/>
        <v>0</v>
      </c>
      <c r="AM468" s="49">
        <f t="shared" ca="1" si="268"/>
        <v>57526</v>
      </c>
      <c r="AN468" s="137" t="str">
        <f t="shared" ca="1" si="251"/>
        <v xml:space="preserve"> </v>
      </c>
      <c r="AO468" s="107">
        <f t="shared" ca="1" si="264"/>
        <v>0</v>
      </c>
      <c r="AP468" s="143">
        <f t="shared" ca="1" si="262"/>
        <v>0</v>
      </c>
      <c r="AQ468" s="143">
        <f t="shared" ca="1" si="252"/>
        <v>0</v>
      </c>
      <c r="AR468" s="49" t="str">
        <f t="shared" ca="1" si="253"/>
        <v xml:space="preserve"> </v>
      </c>
      <c r="AS468" s="107">
        <f t="shared" ca="1" si="254"/>
        <v>0</v>
      </c>
      <c r="AT468" s="107">
        <f t="shared" ca="1" si="263"/>
        <v>0</v>
      </c>
      <c r="AU468" s="107"/>
      <c r="AV468" s="107">
        <f ca="1">MAX(SUM($AQ$6:AQ468)-SUM($AT$6:AT468),0)</f>
        <v>0</v>
      </c>
      <c r="AW468" s="107">
        <f t="shared" ca="1" si="269"/>
        <v>0</v>
      </c>
      <c r="AX468" s="107">
        <v>0</v>
      </c>
      <c r="AY468" s="138" t="str">
        <f t="shared" ca="1" si="255"/>
        <v xml:space="preserve"> </v>
      </c>
      <c r="AZ468" s="107">
        <f t="shared" ca="1" si="256"/>
        <v>0</v>
      </c>
      <c r="BA468" s="107">
        <f ca="1">IF(AZ468=1,(SUM($AW$6:AW468,$AX$6:AX468)-SUM($BA$6:BA467)),0)</f>
        <v>0</v>
      </c>
      <c r="BB468" s="107"/>
      <c r="BC468" s="107">
        <f ca="1">AV468+SUM($AW$6:AW468)+SUM($AX$6:AX468)-SUM($BA$6:BA468)</f>
        <v>0</v>
      </c>
      <c r="BD468" s="107">
        <f t="shared" ca="1" si="257"/>
        <v>0</v>
      </c>
      <c r="BE468" s="51">
        <f>'PiT PD Structure'!J508</f>
        <v>0</v>
      </c>
      <c r="BF468" s="139">
        <f t="shared" ca="1" si="270"/>
        <v>0.45</v>
      </c>
      <c r="BG468" s="51">
        <f t="shared" ca="1" si="258"/>
        <v>1</v>
      </c>
      <c r="BH468" s="50">
        <f t="shared" ca="1" si="259"/>
        <v>0</v>
      </c>
      <c r="BI468" s="50">
        <f t="shared" ca="1" si="260"/>
        <v>3.4816594052244909E-13</v>
      </c>
      <c r="BJ468" s="140">
        <v>0</v>
      </c>
      <c r="BK468" s="140">
        <v>0</v>
      </c>
      <c r="BR468" s="75">
        <f t="shared" ca="1" si="271"/>
        <v>57526</v>
      </c>
      <c r="BS468" s="74">
        <f t="shared" ca="1" si="243"/>
        <v>6</v>
      </c>
      <c r="BT468" s="74">
        <f t="shared" ca="1" si="265"/>
        <v>0</v>
      </c>
      <c r="BU468" s="73" t="str">
        <f t="shared" ca="1" si="244"/>
        <v xml:space="preserve"> </v>
      </c>
      <c r="BW468" s="75">
        <f t="shared" ca="1" si="245"/>
        <v>57526</v>
      </c>
      <c r="BX468" s="74">
        <f t="shared" ca="1" si="246"/>
        <v>6</v>
      </c>
      <c r="BY468" s="74">
        <f t="shared" ca="1" si="266"/>
        <v>0</v>
      </c>
      <c r="BZ468" s="73" t="str">
        <f t="shared" ca="1" si="247"/>
        <v xml:space="preserve"> </v>
      </c>
      <c r="CB468" s="75">
        <f t="shared" ca="1" si="272"/>
        <v>57526</v>
      </c>
      <c r="CC468" s="74">
        <f t="shared" ca="1" si="248"/>
        <v>6</v>
      </c>
      <c r="CD468" s="74">
        <f t="shared" ca="1" si="267"/>
        <v>0</v>
      </c>
      <c r="CE468" s="73" t="str">
        <f t="shared" ca="1" si="249"/>
        <v xml:space="preserve"> </v>
      </c>
    </row>
    <row r="469" spans="1:83" x14ac:dyDescent="0.2">
      <c r="A469" s="38" t="str">
        <f t="shared" si="273"/>
        <v xml:space="preserve"> </v>
      </c>
      <c r="B469" s="108"/>
      <c r="C469" s="38"/>
      <c r="D469" s="137"/>
      <c r="E469" s="137"/>
      <c r="F469" s="137"/>
      <c r="G469" s="122"/>
      <c r="H469" s="137"/>
      <c r="I469" s="50"/>
      <c r="J469" s="50"/>
      <c r="K469" s="50"/>
      <c r="L469" s="38"/>
      <c r="M469" s="38"/>
      <c r="N469" s="38"/>
      <c r="O469" s="50"/>
      <c r="P469" s="218"/>
      <c r="Q469" s="50"/>
      <c r="R469" s="50"/>
      <c r="S469" s="38"/>
      <c r="T469" s="51"/>
      <c r="U469" s="65"/>
      <c r="V469" s="105"/>
      <c r="W469" s="66"/>
      <c r="X469" s="66"/>
      <c r="Y469" s="38"/>
      <c r="Z469" s="66">
        <f t="shared" si="261"/>
        <v>0</v>
      </c>
      <c r="AA469" s="67"/>
      <c r="AC469" s="41" t="e">
        <f>VLOOKUP(A469,'Input Sheet'!$A$2:$B$232,2,0)</f>
        <v>#N/A</v>
      </c>
      <c r="AD469" s="70"/>
      <c r="AI469" s="68"/>
      <c r="AL469" s="107">
        <f t="shared" ca="1" si="250"/>
        <v>0</v>
      </c>
      <c r="AM469" s="49">
        <f t="shared" ca="1" si="268"/>
        <v>57557</v>
      </c>
      <c r="AN469" s="137" t="str">
        <f t="shared" ca="1" si="251"/>
        <v xml:space="preserve"> </v>
      </c>
      <c r="AO469" s="107">
        <f t="shared" ca="1" si="264"/>
        <v>0</v>
      </c>
      <c r="AP469" s="143">
        <f t="shared" ca="1" si="262"/>
        <v>0</v>
      </c>
      <c r="AQ469" s="143">
        <f t="shared" ca="1" si="252"/>
        <v>0</v>
      </c>
      <c r="AR469" s="49" t="str">
        <f t="shared" ca="1" si="253"/>
        <v xml:space="preserve"> </v>
      </c>
      <c r="AS469" s="107">
        <f t="shared" ca="1" si="254"/>
        <v>0</v>
      </c>
      <c r="AT469" s="107">
        <f t="shared" ca="1" si="263"/>
        <v>0</v>
      </c>
      <c r="AU469" s="107"/>
      <c r="AV469" s="107">
        <f ca="1">MAX(SUM($AQ$6:AQ469)-SUM($AT$6:AT469),0)</f>
        <v>0</v>
      </c>
      <c r="AW469" s="107">
        <f t="shared" ca="1" si="269"/>
        <v>0</v>
      </c>
      <c r="AX469" s="107">
        <v>0</v>
      </c>
      <c r="AY469" s="138" t="str">
        <f t="shared" ca="1" si="255"/>
        <v xml:space="preserve"> </v>
      </c>
      <c r="AZ469" s="107">
        <f t="shared" ca="1" si="256"/>
        <v>0</v>
      </c>
      <c r="BA469" s="107">
        <f ca="1">IF(AZ469=1,(SUM($AW$6:AW469,$AX$6:AX469)-SUM($BA$6:BA468)),0)</f>
        <v>0</v>
      </c>
      <c r="BB469" s="107"/>
      <c r="BC469" s="107">
        <f ca="1">AV469+SUM($AW$6:AW469)+SUM($AX$6:AX469)-SUM($BA$6:BA469)</f>
        <v>0</v>
      </c>
      <c r="BD469" s="107">
        <f t="shared" ca="1" si="257"/>
        <v>0</v>
      </c>
      <c r="BE469" s="51">
        <f>'PiT PD Structure'!J509</f>
        <v>0</v>
      </c>
      <c r="BF469" s="139">
        <f t="shared" ca="1" si="270"/>
        <v>0.45</v>
      </c>
      <c r="BG469" s="51">
        <f t="shared" ca="1" si="258"/>
        <v>1</v>
      </c>
      <c r="BH469" s="50">
        <f t="shared" ca="1" si="259"/>
        <v>0</v>
      </c>
      <c r="BI469" s="50">
        <f t="shared" ca="1" si="260"/>
        <v>3.4816594052244909E-13</v>
      </c>
      <c r="BJ469" s="140">
        <v>0</v>
      </c>
      <c r="BK469" s="140">
        <v>0</v>
      </c>
      <c r="BR469" s="75">
        <f t="shared" ca="1" si="271"/>
        <v>57557</v>
      </c>
      <c r="BS469" s="74">
        <f t="shared" ca="1" si="243"/>
        <v>7</v>
      </c>
      <c r="BT469" s="74">
        <f t="shared" ca="1" si="265"/>
        <v>0</v>
      </c>
      <c r="BU469" s="73" t="str">
        <f t="shared" ca="1" si="244"/>
        <v xml:space="preserve"> </v>
      </c>
      <c r="BW469" s="75">
        <f t="shared" ca="1" si="245"/>
        <v>57557</v>
      </c>
      <c r="BX469" s="74">
        <f t="shared" ca="1" si="246"/>
        <v>7</v>
      </c>
      <c r="BY469" s="74">
        <f t="shared" ca="1" si="266"/>
        <v>0</v>
      </c>
      <c r="BZ469" s="73" t="str">
        <f t="shared" ca="1" si="247"/>
        <v xml:space="preserve"> </v>
      </c>
      <c r="CB469" s="75">
        <f t="shared" ca="1" si="272"/>
        <v>57557</v>
      </c>
      <c r="CC469" s="74">
        <f t="shared" ca="1" si="248"/>
        <v>7</v>
      </c>
      <c r="CD469" s="74">
        <f t="shared" ca="1" si="267"/>
        <v>0</v>
      </c>
      <c r="CE469" s="73" t="str">
        <f t="shared" ca="1" si="249"/>
        <v xml:space="preserve"> </v>
      </c>
    </row>
    <row r="470" spans="1:83" x14ac:dyDescent="0.2">
      <c r="A470" s="38" t="str">
        <f t="shared" si="273"/>
        <v xml:space="preserve"> </v>
      </c>
      <c r="B470" s="108"/>
      <c r="C470" s="38"/>
      <c r="D470" s="137"/>
      <c r="E470" s="137"/>
      <c r="F470" s="137"/>
      <c r="G470" s="122"/>
      <c r="H470" s="137"/>
      <c r="I470" s="50"/>
      <c r="J470" s="50"/>
      <c r="K470" s="50"/>
      <c r="L470" s="38"/>
      <c r="M470" s="38"/>
      <c r="N470" s="38"/>
      <c r="O470" s="50"/>
      <c r="P470" s="218"/>
      <c r="Q470" s="50"/>
      <c r="R470" s="50"/>
      <c r="S470" s="38"/>
      <c r="T470" s="51"/>
      <c r="U470" s="65"/>
      <c r="V470" s="105"/>
      <c r="W470" s="66"/>
      <c r="X470" s="66"/>
      <c r="Y470" s="38"/>
      <c r="Z470" s="66">
        <f t="shared" si="261"/>
        <v>0</v>
      </c>
      <c r="AA470" s="67"/>
      <c r="AC470" s="41" t="e">
        <f>VLOOKUP(A470,'Input Sheet'!$A$2:$B$232,2,0)</f>
        <v>#N/A</v>
      </c>
      <c r="AD470" s="70"/>
      <c r="AI470" s="68"/>
      <c r="AL470" s="107">
        <f t="shared" ca="1" si="250"/>
        <v>0</v>
      </c>
      <c r="AM470" s="49">
        <f t="shared" ca="1" si="268"/>
        <v>57588</v>
      </c>
      <c r="AN470" s="137" t="str">
        <f t="shared" ca="1" si="251"/>
        <v xml:space="preserve"> </v>
      </c>
      <c r="AO470" s="107">
        <f t="shared" ca="1" si="264"/>
        <v>0</v>
      </c>
      <c r="AP470" s="143">
        <f t="shared" ca="1" si="262"/>
        <v>0</v>
      </c>
      <c r="AQ470" s="143">
        <f t="shared" ca="1" si="252"/>
        <v>0</v>
      </c>
      <c r="AR470" s="49" t="str">
        <f t="shared" ca="1" si="253"/>
        <v xml:space="preserve"> </v>
      </c>
      <c r="AS470" s="107">
        <f t="shared" ca="1" si="254"/>
        <v>0</v>
      </c>
      <c r="AT470" s="107">
        <f t="shared" ca="1" si="263"/>
        <v>0</v>
      </c>
      <c r="AU470" s="107"/>
      <c r="AV470" s="107">
        <f ca="1">MAX(SUM($AQ$6:AQ470)-SUM($AT$6:AT470),0)</f>
        <v>0</v>
      </c>
      <c r="AW470" s="107">
        <f t="shared" ca="1" si="269"/>
        <v>0</v>
      </c>
      <c r="AX470" s="107">
        <v>0</v>
      </c>
      <c r="AY470" s="138" t="str">
        <f t="shared" ca="1" si="255"/>
        <v xml:space="preserve"> </v>
      </c>
      <c r="AZ470" s="107">
        <f t="shared" ca="1" si="256"/>
        <v>0</v>
      </c>
      <c r="BA470" s="107">
        <f ca="1">IF(AZ470=1,(SUM($AW$6:AW470,$AX$6:AX470)-SUM($BA$6:BA469)),0)</f>
        <v>0</v>
      </c>
      <c r="BB470" s="107"/>
      <c r="BC470" s="107">
        <f ca="1">AV470+SUM($AW$6:AW470)+SUM($AX$6:AX470)-SUM($BA$6:BA470)</f>
        <v>0</v>
      </c>
      <c r="BD470" s="107">
        <f t="shared" ca="1" si="257"/>
        <v>0</v>
      </c>
      <c r="BE470" s="51">
        <f>'PiT PD Structure'!J510</f>
        <v>0</v>
      </c>
      <c r="BF470" s="139">
        <f t="shared" ca="1" si="270"/>
        <v>0.45</v>
      </c>
      <c r="BG470" s="51">
        <f t="shared" ca="1" si="258"/>
        <v>1</v>
      </c>
      <c r="BH470" s="50">
        <f t="shared" ca="1" si="259"/>
        <v>0</v>
      </c>
      <c r="BI470" s="50">
        <f t="shared" ca="1" si="260"/>
        <v>3.4816594052244909E-13</v>
      </c>
      <c r="BJ470" s="140">
        <v>0</v>
      </c>
      <c r="BK470" s="140">
        <v>0</v>
      </c>
      <c r="BR470" s="75">
        <f t="shared" ca="1" si="271"/>
        <v>57588</v>
      </c>
      <c r="BS470" s="74">
        <f t="shared" ca="1" si="243"/>
        <v>8</v>
      </c>
      <c r="BT470" s="74">
        <f t="shared" ca="1" si="265"/>
        <v>0</v>
      </c>
      <c r="BU470" s="73" t="str">
        <f t="shared" ca="1" si="244"/>
        <v xml:space="preserve"> </v>
      </c>
      <c r="BW470" s="75">
        <f t="shared" ca="1" si="245"/>
        <v>57588</v>
      </c>
      <c r="BX470" s="74">
        <f t="shared" ca="1" si="246"/>
        <v>8</v>
      </c>
      <c r="BY470" s="74">
        <f t="shared" ca="1" si="266"/>
        <v>0</v>
      </c>
      <c r="BZ470" s="73" t="str">
        <f t="shared" ca="1" si="247"/>
        <v xml:space="preserve"> </v>
      </c>
      <c r="CB470" s="75">
        <f t="shared" ca="1" si="272"/>
        <v>57588</v>
      </c>
      <c r="CC470" s="74">
        <f t="shared" ca="1" si="248"/>
        <v>8</v>
      </c>
      <c r="CD470" s="74">
        <f t="shared" ca="1" si="267"/>
        <v>0</v>
      </c>
      <c r="CE470" s="73" t="str">
        <f t="shared" ca="1" si="249"/>
        <v xml:space="preserve"> </v>
      </c>
    </row>
    <row r="471" spans="1:83" x14ac:dyDescent="0.2">
      <c r="A471" s="38" t="str">
        <f t="shared" si="273"/>
        <v xml:space="preserve"> </v>
      </c>
      <c r="B471" s="108"/>
      <c r="C471" s="38"/>
      <c r="D471" s="137"/>
      <c r="E471" s="137"/>
      <c r="F471" s="137"/>
      <c r="G471" s="122"/>
      <c r="H471" s="137"/>
      <c r="I471" s="50"/>
      <c r="J471" s="50"/>
      <c r="K471" s="50"/>
      <c r="L471" s="38"/>
      <c r="M471" s="38"/>
      <c r="N471" s="38"/>
      <c r="O471" s="50"/>
      <c r="P471" s="218"/>
      <c r="Q471" s="50"/>
      <c r="R471" s="50"/>
      <c r="S471" s="38"/>
      <c r="T471" s="51"/>
      <c r="U471" s="65"/>
      <c r="V471" s="105"/>
      <c r="W471" s="66"/>
      <c r="X471" s="66"/>
      <c r="Y471" s="38"/>
      <c r="Z471" s="66">
        <f t="shared" si="261"/>
        <v>0</v>
      </c>
      <c r="AA471" s="67"/>
      <c r="AC471" s="41" t="e">
        <f>VLOOKUP(A471,'Input Sheet'!$A$2:$B$232,2,0)</f>
        <v>#N/A</v>
      </c>
      <c r="AD471" s="70"/>
      <c r="AI471" s="68"/>
      <c r="AL471" s="107">
        <f t="shared" ca="1" si="250"/>
        <v>0</v>
      </c>
      <c r="AM471" s="49">
        <f t="shared" ca="1" si="268"/>
        <v>57618</v>
      </c>
      <c r="AN471" s="137" t="str">
        <f t="shared" ca="1" si="251"/>
        <v xml:space="preserve"> </v>
      </c>
      <c r="AO471" s="107">
        <f t="shared" ca="1" si="264"/>
        <v>0</v>
      </c>
      <c r="AP471" s="143">
        <f t="shared" ca="1" si="262"/>
        <v>0</v>
      </c>
      <c r="AQ471" s="143">
        <f t="shared" ca="1" si="252"/>
        <v>0</v>
      </c>
      <c r="AR471" s="49" t="str">
        <f t="shared" ca="1" si="253"/>
        <v xml:space="preserve"> </v>
      </c>
      <c r="AS471" s="107">
        <f t="shared" ca="1" si="254"/>
        <v>0</v>
      </c>
      <c r="AT471" s="107">
        <f t="shared" ca="1" si="263"/>
        <v>0</v>
      </c>
      <c r="AU471" s="107"/>
      <c r="AV471" s="107">
        <f ca="1">MAX(SUM($AQ$6:AQ471)-SUM($AT$6:AT471),0)</f>
        <v>0</v>
      </c>
      <c r="AW471" s="107">
        <f t="shared" ca="1" si="269"/>
        <v>0</v>
      </c>
      <c r="AX471" s="107">
        <v>0</v>
      </c>
      <c r="AY471" s="138" t="str">
        <f t="shared" ca="1" si="255"/>
        <v xml:space="preserve"> </v>
      </c>
      <c r="AZ471" s="107">
        <f t="shared" ca="1" si="256"/>
        <v>0</v>
      </c>
      <c r="BA471" s="107">
        <f ca="1">IF(AZ471=1,(SUM($AW$6:AW471,$AX$6:AX471)-SUM($BA$6:BA470)),0)</f>
        <v>0</v>
      </c>
      <c r="BB471" s="107"/>
      <c r="BC471" s="107">
        <f ca="1">AV471+SUM($AW$6:AW471)+SUM($AX$6:AX471)-SUM($BA$6:BA471)</f>
        <v>0</v>
      </c>
      <c r="BD471" s="107">
        <f t="shared" ca="1" si="257"/>
        <v>0</v>
      </c>
      <c r="BE471" s="51">
        <f>'PiT PD Structure'!J511</f>
        <v>0</v>
      </c>
      <c r="BF471" s="139">
        <f t="shared" ca="1" si="270"/>
        <v>0.45</v>
      </c>
      <c r="BG471" s="51">
        <f t="shared" ca="1" si="258"/>
        <v>1</v>
      </c>
      <c r="BH471" s="50">
        <f t="shared" ca="1" si="259"/>
        <v>0</v>
      </c>
      <c r="BI471" s="50">
        <f t="shared" ca="1" si="260"/>
        <v>3.4816594052244909E-13</v>
      </c>
      <c r="BJ471" s="140">
        <v>0</v>
      </c>
      <c r="BK471" s="140">
        <v>0</v>
      </c>
      <c r="BR471" s="75">
        <f t="shared" ca="1" si="271"/>
        <v>57618</v>
      </c>
      <c r="BS471" s="74">
        <f t="shared" ca="1" si="243"/>
        <v>9</v>
      </c>
      <c r="BT471" s="74">
        <f t="shared" ca="1" si="265"/>
        <v>0</v>
      </c>
      <c r="BU471" s="73" t="str">
        <f t="shared" ca="1" si="244"/>
        <v xml:space="preserve"> </v>
      </c>
      <c r="BW471" s="75">
        <f t="shared" ca="1" si="245"/>
        <v>57618</v>
      </c>
      <c r="BX471" s="74">
        <f t="shared" ca="1" si="246"/>
        <v>9</v>
      </c>
      <c r="BY471" s="74">
        <f t="shared" ca="1" si="266"/>
        <v>0</v>
      </c>
      <c r="BZ471" s="73" t="str">
        <f t="shared" ca="1" si="247"/>
        <v xml:space="preserve"> </v>
      </c>
      <c r="CB471" s="75">
        <f t="shared" ca="1" si="272"/>
        <v>57618</v>
      </c>
      <c r="CC471" s="74">
        <f t="shared" ca="1" si="248"/>
        <v>9</v>
      </c>
      <c r="CD471" s="74">
        <f t="shared" ca="1" si="267"/>
        <v>0</v>
      </c>
      <c r="CE471" s="73" t="str">
        <f t="shared" ca="1" si="249"/>
        <v xml:space="preserve"> </v>
      </c>
    </row>
    <row r="472" spans="1:83" x14ac:dyDescent="0.2">
      <c r="A472" s="38" t="str">
        <f t="shared" si="273"/>
        <v xml:space="preserve"> </v>
      </c>
      <c r="B472" s="108"/>
      <c r="C472" s="38"/>
      <c r="D472" s="137"/>
      <c r="E472" s="137"/>
      <c r="F472" s="137"/>
      <c r="G472" s="122"/>
      <c r="H472" s="137"/>
      <c r="I472" s="50"/>
      <c r="J472" s="50"/>
      <c r="K472" s="50"/>
      <c r="L472" s="38"/>
      <c r="M472" s="38"/>
      <c r="N472" s="38"/>
      <c r="O472" s="50"/>
      <c r="P472" s="218"/>
      <c r="Q472" s="50"/>
      <c r="R472" s="50"/>
      <c r="S472" s="38"/>
      <c r="T472" s="51"/>
      <c r="U472" s="65"/>
      <c r="V472" s="105"/>
      <c r="W472" s="66"/>
      <c r="X472" s="66"/>
      <c r="Y472" s="38"/>
      <c r="Z472" s="66">
        <f t="shared" si="261"/>
        <v>0</v>
      </c>
      <c r="AA472" s="67"/>
      <c r="AC472" s="41" t="e">
        <f>VLOOKUP(A472,'Input Sheet'!$A$2:$B$232,2,0)</f>
        <v>#N/A</v>
      </c>
      <c r="AD472" s="70"/>
      <c r="AI472" s="68"/>
      <c r="AL472" s="107">
        <f t="shared" ca="1" si="250"/>
        <v>0</v>
      </c>
      <c r="AM472" s="49">
        <f t="shared" ca="1" si="268"/>
        <v>57649</v>
      </c>
      <c r="AN472" s="137" t="str">
        <f t="shared" ca="1" si="251"/>
        <v xml:space="preserve"> </v>
      </c>
      <c r="AO472" s="107">
        <f t="shared" ca="1" si="264"/>
        <v>0</v>
      </c>
      <c r="AP472" s="143">
        <f t="shared" ca="1" si="262"/>
        <v>0</v>
      </c>
      <c r="AQ472" s="143">
        <f t="shared" ca="1" si="252"/>
        <v>0</v>
      </c>
      <c r="AR472" s="49" t="str">
        <f t="shared" ca="1" si="253"/>
        <v xml:space="preserve"> </v>
      </c>
      <c r="AS472" s="107">
        <f t="shared" ca="1" si="254"/>
        <v>0</v>
      </c>
      <c r="AT472" s="107">
        <f t="shared" ca="1" si="263"/>
        <v>0</v>
      </c>
      <c r="AU472" s="107"/>
      <c r="AV472" s="107">
        <f ca="1">MAX(SUM($AQ$6:AQ472)-SUM($AT$6:AT472),0)</f>
        <v>0</v>
      </c>
      <c r="AW472" s="107">
        <f t="shared" ca="1" si="269"/>
        <v>0</v>
      </c>
      <c r="AX472" s="107">
        <v>0</v>
      </c>
      <c r="AY472" s="138" t="str">
        <f t="shared" ca="1" si="255"/>
        <v xml:space="preserve"> </v>
      </c>
      <c r="AZ472" s="107">
        <f t="shared" ca="1" si="256"/>
        <v>0</v>
      </c>
      <c r="BA472" s="107">
        <f ca="1">IF(AZ472=1,(SUM($AW$6:AW472,$AX$6:AX472)-SUM($BA$6:BA471)),0)</f>
        <v>0</v>
      </c>
      <c r="BB472" s="107"/>
      <c r="BC472" s="107">
        <f ca="1">AV472+SUM($AW$6:AW472)+SUM($AX$6:AX472)-SUM($BA$6:BA472)</f>
        <v>0</v>
      </c>
      <c r="BD472" s="107">
        <f t="shared" ca="1" si="257"/>
        <v>0</v>
      </c>
      <c r="BE472" s="51">
        <f>'PiT PD Structure'!J512</f>
        <v>0</v>
      </c>
      <c r="BF472" s="139">
        <f t="shared" ca="1" si="270"/>
        <v>0.45</v>
      </c>
      <c r="BG472" s="51">
        <f t="shared" ca="1" si="258"/>
        <v>1</v>
      </c>
      <c r="BH472" s="50">
        <f t="shared" ca="1" si="259"/>
        <v>0</v>
      </c>
      <c r="BI472" s="50">
        <f t="shared" ca="1" si="260"/>
        <v>3.4816594052244909E-13</v>
      </c>
      <c r="BJ472" s="140">
        <v>0</v>
      </c>
      <c r="BK472" s="140">
        <v>0</v>
      </c>
      <c r="BR472" s="75">
        <f t="shared" ca="1" si="271"/>
        <v>57649</v>
      </c>
      <c r="BS472" s="74">
        <f t="shared" ca="1" si="243"/>
        <v>10</v>
      </c>
      <c r="BT472" s="74">
        <f t="shared" ca="1" si="265"/>
        <v>0</v>
      </c>
      <c r="BU472" s="73" t="str">
        <f t="shared" ca="1" si="244"/>
        <v xml:space="preserve"> </v>
      </c>
      <c r="BW472" s="75">
        <f t="shared" ca="1" si="245"/>
        <v>57649</v>
      </c>
      <c r="BX472" s="74">
        <f t="shared" ca="1" si="246"/>
        <v>10</v>
      </c>
      <c r="BY472" s="74">
        <f t="shared" ca="1" si="266"/>
        <v>0</v>
      </c>
      <c r="BZ472" s="73" t="str">
        <f t="shared" ca="1" si="247"/>
        <v xml:space="preserve"> </v>
      </c>
      <c r="CB472" s="75">
        <f t="shared" ca="1" si="272"/>
        <v>57649</v>
      </c>
      <c r="CC472" s="74">
        <f t="shared" ca="1" si="248"/>
        <v>10</v>
      </c>
      <c r="CD472" s="74">
        <f t="shared" ca="1" si="267"/>
        <v>0</v>
      </c>
      <c r="CE472" s="73" t="str">
        <f t="shared" ca="1" si="249"/>
        <v xml:space="preserve"> </v>
      </c>
    </row>
    <row r="473" spans="1:83" x14ac:dyDescent="0.2">
      <c r="A473" s="38" t="str">
        <f t="shared" si="273"/>
        <v xml:space="preserve"> </v>
      </c>
      <c r="B473" s="108"/>
      <c r="C473" s="38"/>
      <c r="D473" s="137"/>
      <c r="E473" s="137"/>
      <c r="F473" s="137"/>
      <c r="G473" s="122"/>
      <c r="H473" s="137"/>
      <c r="I473" s="50"/>
      <c r="J473" s="50"/>
      <c r="K473" s="50"/>
      <c r="L473" s="38"/>
      <c r="M473" s="38"/>
      <c r="N473" s="38"/>
      <c r="O473" s="50"/>
      <c r="P473" s="218"/>
      <c r="Q473" s="50"/>
      <c r="R473" s="50"/>
      <c r="S473" s="38"/>
      <c r="T473" s="51"/>
      <c r="U473" s="65"/>
      <c r="V473" s="105"/>
      <c r="W473" s="66"/>
      <c r="X473" s="66"/>
      <c r="Y473" s="38"/>
      <c r="Z473" s="66">
        <f t="shared" si="261"/>
        <v>0</v>
      </c>
      <c r="AA473" s="67"/>
      <c r="AC473" s="41" t="e">
        <f>VLOOKUP(A473,'Input Sheet'!$A$2:$B$232,2,0)</f>
        <v>#N/A</v>
      </c>
      <c r="AD473" s="70"/>
      <c r="AI473" s="68"/>
      <c r="AL473" s="107">
        <f t="shared" ca="1" si="250"/>
        <v>0</v>
      </c>
      <c r="AM473" s="49">
        <f t="shared" ca="1" si="268"/>
        <v>57679</v>
      </c>
      <c r="AN473" s="137" t="str">
        <f t="shared" ca="1" si="251"/>
        <v xml:space="preserve"> </v>
      </c>
      <c r="AO473" s="107">
        <f t="shared" ca="1" si="264"/>
        <v>0</v>
      </c>
      <c r="AP473" s="143">
        <f t="shared" ca="1" si="262"/>
        <v>0</v>
      </c>
      <c r="AQ473" s="143">
        <f t="shared" ca="1" si="252"/>
        <v>0</v>
      </c>
      <c r="AR473" s="49" t="str">
        <f t="shared" ca="1" si="253"/>
        <v xml:space="preserve"> </v>
      </c>
      <c r="AS473" s="107">
        <f t="shared" ca="1" si="254"/>
        <v>0</v>
      </c>
      <c r="AT473" s="107">
        <f t="shared" ca="1" si="263"/>
        <v>0</v>
      </c>
      <c r="AU473" s="107"/>
      <c r="AV473" s="107">
        <f ca="1">MAX(SUM($AQ$6:AQ473)-SUM($AT$6:AT473),0)</f>
        <v>0</v>
      </c>
      <c r="AW473" s="107">
        <f t="shared" ca="1" si="269"/>
        <v>0</v>
      </c>
      <c r="AX473" s="107">
        <v>0</v>
      </c>
      <c r="AY473" s="138" t="str">
        <f t="shared" ca="1" si="255"/>
        <v xml:space="preserve"> </v>
      </c>
      <c r="AZ473" s="107">
        <f t="shared" ca="1" si="256"/>
        <v>0</v>
      </c>
      <c r="BA473" s="107">
        <f ca="1">IF(AZ473=1,(SUM($AW$6:AW473,$AX$6:AX473)-SUM($BA$6:BA472)),0)</f>
        <v>0</v>
      </c>
      <c r="BB473" s="107"/>
      <c r="BC473" s="107">
        <f ca="1">AV473+SUM($AW$6:AW473)+SUM($AX$6:AX473)-SUM($BA$6:BA473)</f>
        <v>0</v>
      </c>
      <c r="BD473" s="107">
        <f t="shared" ca="1" si="257"/>
        <v>0</v>
      </c>
      <c r="BE473" s="51">
        <f>'PiT PD Structure'!J513</f>
        <v>0</v>
      </c>
      <c r="BF473" s="139">
        <f t="shared" ca="1" si="270"/>
        <v>0.45</v>
      </c>
      <c r="BG473" s="51">
        <f t="shared" ca="1" si="258"/>
        <v>1</v>
      </c>
      <c r="BH473" s="50">
        <f t="shared" ca="1" si="259"/>
        <v>0</v>
      </c>
      <c r="BI473" s="50">
        <f t="shared" ca="1" si="260"/>
        <v>3.4816594052244909E-13</v>
      </c>
      <c r="BJ473" s="140">
        <v>0</v>
      </c>
      <c r="BK473" s="140">
        <v>0</v>
      </c>
      <c r="BR473" s="75">
        <f t="shared" ca="1" si="271"/>
        <v>57679</v>
      </c>
      <c r="BS473" s="74">
        <f t="shared" ca="1" si="243"/>
        <v>11</v>
      </c>
      <c r="BT473" s="74">
        <f t="shared" ca="1" si="265"/>
        <v>0</v>
      </c>
      <c r="BU473" s="73" t="str">
        <f t="shared" ca="1" si="244"/>
        <v xml:space="preserve"> </v>
      </c>
      <c r="BW473" s="75">
        <f t="shared" ca="1" si="245"/>
        <v>57679</v>
      </c>
      <c r="BX473" s="74">
        <f t="shared" ca="1" si="246"/>
        <v>11</v>
      </c>
      <c r="BY473" s="74">
        <f t="shared" ca="1" si="266"/>
        <v>0</v>
      </c>
      <c r="BZ473" s="73" t="str">
        <f t="shared" ca="1" si="247"/>
        <v xml:space="preserve"> </v>
      </c>
      <c r="CB473" s="75">
        <f t="shared" ca="1" si="272"/>
        <v>57679</v>
      </c>
      <c r="CC473" s="74">
        <f t="shared" ca="1" si="248"/>
        <v>11</v>
      </c>
      <c r="CD473" s="74">
        <f t="shared" ca="1" si="267"/>
        <v>0</v>
      </c>
      <c r="CE473" s="73" t="str">
        <f t="shared" ca="1" si="249"/>
        <v xml:space="preserve"> </v>
      </c>
    </row>
    <row r="474" spans="1:83" x14ac:dyDescent="0.2">
      <c r="A474" s="38" t="str">
        <f t="shared" si="273"/>
        <v xml:space="preserve"> </v>
      </c>
      <c r="B474" s="108"/>
      <c r="C474" s="38"/>
      <c r="D474" s="137"/>
      <c r="E474" s="137"/>
      <c r="F474" s="137"/>
      <c r="G474" s="122"/>
      <c r="H474" s="137"/>
      <c r="I474" s="50"/>
      <c r="J474" s="50"/>
      <c r="K474" s="50"/>
      <c r="L474" s="38"/>
      <c r="M474" s="38"/>
      <c r="N474" s="38"/>
      <c r="O474" s="50"/>
      <c r="P474" s="218"/>
      <c r="Q474" s="50"/>
      <c r="R474" s="50"/>
      <c r="S474" s="38"/>
      <c r="T474" s="51"/>
      <c r="U474" s="65"/>
      <c r="V474" s="105"/>
      <c r="W474" s="66"/>
      <c r="X474" s="66"/>
      <c r="Y474" s="38"/>
      <c r="Z474" s="66">
        <f t="shared" si="261"/>
        <v>0</v>
      </c>
      <c r="AA474" s="67"/>
      <c r="AC474" s="41" t="e">
        <f>VLOOKUP(A474,'Input Sheet'!$A$2:$B$232,2,0)</f>
        <v>#N/A</v>
      </c>
      <c r="AD474" s="70"/>
      <c r="AI474" s="68"/>
      <c r="AL474" s="107">
        <f t="shared" ca="1" si="250"/>
        <v>0</v>
      </c>
      <c r="AM474" s="49">
        <f t="shared" ca="1" si="268"/>
        <v>57710</v>
      </c>
      <c r="AN474" s="137" t="str">
        <f t="shared" ca="1" si="251"/>
        <v xml:space="preserve"> </v>
      </c>
      <c r="AO474" s="107">
        <f t="shared" ca="1" si="264"/>
        <v>0</v>
      </c>
      <c r="AP474" s="143">
        <f t="shared" ca="1" si="262"/>
        <v>0</v>
      </c>
      <c r="AQ474" s="143">
        <f t="shared" ca="1" si="252"/>
        <v>0</v>
      </c>
      <c r="AR474" s="49" t="str">
        <f t="shared" ca="1" si="253"/>
        <v xml:space="preserve"> </v>
      </c>
      <c r="AS474" s="107">
        <f t="shared" ca="1" si="254"/>
        <v>0</v>
      </c>
      <c r="AT474" s="107">
        <f t="shared" ca="1" si="263"/>
        <v>0</v>
      </c>
      <c r="AU474" s="107"/>
      <c r="AV474" s="107">
        <f ca="1">MAX(SUM($AQ$6:AQ474)-SUM($AT$6:AT474),0)</f>
        <v>0</v>
      </c>
      <c r="AW474" s="107">
        <f t="shared" ca="1" si="269"/>
        <v>0</v>
      </c>
      <c r="AX474" s="107">
        <v>0</v>
      </c>
      <c r="AY474" s="138" t="str">
        <f t="shared" ca="1" si="255"/>
        <v xml:space="preserve"> </v>
      </c>
      <c r="AZ474" s="107">
        <f t="shared" ca="1" si="256"/>
        <v>0</v>
      </c>
      <c r="BA474" s="107">
        <f ca="1">IF(AZ474=1,(SUM($AW$6:AW474,$AX$6:AX474)-SUM($BA$6:BA473)),0)</f>
        <v>0</v>
      </c>
      <c r="BB474" s="107"/>
      <c r="BC474" s="107">
        <f ca="1">AV474+SUM($AW$6:AW474)+SUM($AX$6:AX474)-SUM($BA$6:BA474)</f>
        <v>0</v>
      </c>
      <c r="BD474" s="107">
        <f t="shared" ca="1" si="257"/>
        <v>0</v>
      </c>
      <c r="BE474" s="51">
        <f>'PiT PD Structure'!J514</f>
        <v>0</v>
      </c>
      <c r="BF474" s="139">
        <f t="shared" ca="1" si="270"/>
        <v>0.45</v>
      </c>
      <c r="BG474" s="51">
        <f t="shared" ca="1" si="258"/>
        <v>1</v>
      </c>
      <c r="BH474" s="50">
        <f t="shared" ca="1" si="259"/>
        <v>0</v>
      </c>
      <c r="BI474" s="50">
        <f t="shared" ca="1" si="260"/>
        <v>3.4816594052244909E-13</v>
      </c>
      <c r="BJ474" s="140">
        <v>0</v>
      </c>
      <c r="BK474" s="140">
        <v>0</v>
      </c>
      <c r="BR474" s="75">
        <f t="shared" ca="1" si="271"/>
        <v>57710</v>
      </c>
      <c r="BS474" s="74">
        <f t="shared" ca="1" si="243"/>
        <v>12</v>
      </c>
      <c r="BT474" s="74">
        <f t="shared" ca="1" si="265"/>
        <v>0</v>
      </c>
      <c r="BU474" s="73" t="str">
        <f t="shared" ca="1" si="244"/>
        <v xml:space="preserve"> </v>
      </c>
      <c r="BW474" s="75">
        <f t="shared" ca="1" si="245"/>
        <v>57710</v>
      </c>
      <c r="BX474" s="74">
        <f t="shared" ca="1" si="246"/>
        <v>12</v>
      </c>
      <c r="BY474" s="74">
        <f t="shared" ca="1" si="266"/>
        <v>0</v>
      </c>
      <c r="BZ474" s="73" t="str">
        <f t="shared" ca="1" si="247"/>
        <v xml:space="preserve"> </v>
      </c>
      <c r="CB474" s="75">
        <f t="shared" ca="1" si="272"/>
        <v>57710</v>
      </c>
      <c r="CC474" s="74">
        <f t="shared" ca="1" si="248"/>
        <v>12</v>
      </c>
      <c r="CD474" s="74">
        <f t="shared" ca="1" si="267"/>
        <v>0</v>
      </c>
      <c r="CE474" s="73" t="str">
        <f t="shared" ca="1" si="249"/>
        <v xml:space="preserve"> </v>
      </c>
    </row>
    <row r="475" spans="1:83" x14ac:dyDescent="0.2">
      <c r="A475" s="38" t="str">
        <f t="shared" si="273"/>
        <v xml:space="preserve"> </v>
      </c>
      <c r="B475" s="108"/>
      <c r="C475" s="38"/>
      <c r="D475" s="137"/>
      <c r="E475" s="137"/>
      <c r="F475" s="137"/>
      <c r="G475" s="122"/>
      <c r="H475" s="137"/>
      <c r="I475" s="50"/>
      <c r="J475" s="50"/>
      <c r="K475" s="50"/>
      <c r="L475" s="38"/>
      <c r="M475" s="38"/>
      <c r="N475" s="38"/>
      <c r="O475" s="50"/>
      <c r="P475" s="218"/>
      <c r="Q475" s="50"/>
      <c r="R475" s="50"/>
      <c r="S475" s="38"/>
      <c r="T475" s="51"/>
      <c r="U475" s="65"/>
      <c r="V475" s="105"/>
      <c r="W475" s="66"/>
      <c r="X475" s="66"/>
      <c r="Y475" s="38"/>
      <c r="Z475" s="66">
        <f t="shared" si="261"/>
        <v>0</v>
      </c>
      <c r="AA475" s="67"/>
      <c r="AC475" s="41" t="e">
        <f>VLOOKUP(A475,'Input Sheet'!$A$2:$B$232,2,0)</f>
        <v>#N/A</v>
      </c>
      <c r="AD475" s="70"/>
      <c r="AI475" s="68"/>
      <c r="AL475" s="107">
        <f t="shared" ca="1" si="250"/>
        <v>0</v>
      </c>
      <c r="AM475" s="49">
        <f t="shared" ca="1" si="268"/>
        <v>57741</v>
      </c>
      <c r="AN475" s="137" t="str">
        <f t="shared" ca="1" si="251"/>
        <v xml:space="preserve"> </v>
      </c>
      <c r="AO475" s="107">
        <f t="shared" ca="1" si="264"/>
        <v>0</v>
      </c>
      <c r="AP475" s="143">
        <f t="shared" ca="1" si="262"/>
        <v>0</v>
      </c>
      <c r="AQ475" s="143">
        <f t="shared" ca="1" si="252"/>
        <v>0</v>
      </c>
      <c r="AR475" s="49" t="str">
        <f t="shared" ca="1" si="253"/>
        <v xml:space="preserve"> </v>
      </c>
      <c r="AS475" s="107">
        <f t="shared" ca="1" si="254"/>
        <v>0</v>
      </c>
      <c r="AT475" s="107">
        <f t="shared" ca="1" si="263"/>
        <v>0</v>
      </c>
      <c r="AU475" s="107"/>
      <c r="AV475" s="107">
        <f ca="1">MAX(SUM($AQ$6:AQ475)-SUM($AT$6:AT475),0)</f>
        <v>0</v>
      </c>
      <c r="AW475" s="107">
        <f t="shared" ca="1" si="269"/>
        <v>0</v>
      </c>
      <c r="AX475" s="107">
        <v>0</v>
      </c>
      <c r="AY475" s="138" t="str">
        <f t="shared" ca="1" si="255"/>
        <v xml:space="preserve"> </v>
      </c>
      <c r="AZ475" s="107">
        <f t="shared" ca="1" si="256"/>
        <v>0</v>
      </c>
      <c r="BA475" s="107">
        <f ca="1">IF(AZ475=1,(SUM($AW$6:AW475,$AX$6:AX475)-SUM($BA$6:BA474)),0)</f>
        <v>0</v>
      </c>
      <c r="BB475" s="107"/>
      <c r="BC475" s="107">
        <f ca="1">AV475+SUM($AW$6:AW475)+SUM($AX$6:AX475)-SUM($BA$6:BA475)</f>
        <v>0</v>
      </c>
      <c r="BD475" s="107">
        <f t="shared" ca="1" si="257"/>
        <v>0</v>
      </c>
      <c r="BE475" s="51">
        <f>'PiT PD Structure'!J515</f>
        <v>0</v>
      </c>
      <c r="BF475" s="139">
        <f t="shared" ca="1" si="270"/>
        <v>0.45</v>
      </c>
      <c r="BG475" s="51">
        <f t="shared" ca="1" si="258"/>
        <v>1</v>
      </c>
      <c r="BH475" s="50">
        <f t="shared" ca="1" si="259"/>
        <v>0</v>
      </c>
      <c r="BI475" s="50">
        <f t="shared" ca="1" si="260"/>
        <v>3.4816594052244909E-13</v>
      </c>
      <c r="BJ475" s="140">
        <v>0</v>
      </c>
      <c r="BK475" s="140">
        <v>0</v>
      </c>
      <c r="BR475" s="75">
        <f t="shared" ca="1" si="271"/>
        <v>57741</v>
      </c>
      <c r="BS475" s="74">
        <f t="shared" ca="1" si="243"/>
        <v>1</v>
      </c>
      <c r="BT475" s="74">
        <f t="shared" ca="1" si="265"/>
        <v>0</v>
      </c>
      <c r="BU475" s="73" t="str">
        <f t="shared" ca="1" si="244"/>
        <v xml:space="preserve"> </v>
      </c>
      <c r="BW475" s="75">
        <f t="shared" ca="1" si="245"/>
        <v>57741</v>
      </c>
      <c r="BX475" s="74">
        <f t="shared" ca="1" si="246"/>
        <v>1</v>
      </c>
      <c r="BY475" s="74">
        <f t="shared" ca="1" si="266"/>
        <v>0</v>
      </c>
      <c r="BZ475" s="73" t="str">
        <f t="shared" ca="1" si="247"/>
        <v xml:space="preserve"> </v>
      </c>
      <c r="CB475" s="75">
        <f t="shared" ca="1" si="272"/>
        <v>57741</v>
      </c>
      <c r="CC475" s="74">
        <f t="shared" ca="1" si="248"/>
        <v>1</v>
      </c>
      <c r="CD475" s="74">
        <f t="shared" ca="1" si="267"/>
        <v>0</v>
      </c>
      <c r="CE475" s="73" t="str">
        <f t="shared" ca="1" si="249"/>
        <v xml:space="preserve"> </v>
      </c>
    </row>
    <row r="476" spans="1:83" x14ac:dyDescent="0.2">
      <c r="A476" s="38" t="str">
        <f t="shared" si="273"/>
        <v xml:space="preserve"> </v>
      </c>
      <c r="B476" s="108"/>
      <c r="C476" s="38"/>
      <c r="D476" s="137"/>
      <c r="E476" s="137"/>
      <c r="F476" s="137"/>
      <c r="G476" s="122"/>
      <c r="H476" s="137"/>
      <c r="I476" s="50"/>
      <c r="J476" s="50"/>
      <c r="K476" s="50"/>
      <c r="L476" s="38"/>
      <c r="M476" s="38"/>
      <c r="N476" s="38"/>
      <c r="O476" s="50"/>
      <c r="P476" s="218"/>
      <c r="Q476" s="50"/>
      <c r="R476" s="50"/>
      <c r="S476" s="38"/>
      <c r="T476" s="51"/>
      <c r="U476" s="65"/>
      <c r="V476" s="105"/>
      <c r="W476" s="66"/>
      <c r="X476" s="66"/>
      <c r="Y476" s="38"/>
      <c r="Z476" s="66">
        <f t="shared" si="261"/>
        <v>0</v>
      </c>
      <c r="AA476" s="67"/>
      <c r="AC476" s="41" t="e">
        <f>VLOOKUP(A476,'Input Sheet'!$A$2:$B$232,2,0)</f>
        <v>#N/A</v>
      </c>
      <c r="AD476" s="70"/>
      <c r="AI476" s="68"/>
      <c r="AL476" s="107">
        <f t="shared" ca="1" si="250"/>
        <v>0</v>
      </c>
      <c r="AM476" s="49">
        <f t="shared" ca="1" si="268"/>
        <v>57769</v>
      </c>
      <c r="AN476" s="137" t="str">
        <f t="shared" ca="1" si="251"/>
        <v xml:space="preserve"> </v>
      </c>
      <c r="AO476" s="107">
        <f t="shared" ca="1" si="264"/>
        <v>0</v>
      </c>
      <c r="AP476" s="143">
        <f t="shared" ca="1" si="262"/>
        <v>0</v>
      </c>
      <c r="AQ476" s="143">
        <f t="shared" ca="1" si="252"/>
        <v>0</v>
      </c>
      <c r="AR476" s="49" t="str">
        <f t="shared" ca="1" si="253"/>
        <v xml:space="preserve"> </v>
      </c>
      <c r="AS476" s="107">
        <f t="shared" ca="1" si="254"/>
        <v>0</v>
      </c>
      <c r="AT476" s="107">
        <f t="shared" ca="1" si="263"/>
        <v>0</v>
      </c>
      <c r="AU476" s="107"/>
      <c r="AV476" s="107">
        <f ca="1">MAX(SUM($AQ$6:AQ476)-SUM($AT$6:AT476),0)</f>
        <v>0</v>
      </c>
      <c r="AW476" s="107">
        <f t="shared" ca="1" si="269"/>
        <v>0</v>
      </c>
      <c r="AX476" s="107">
        <v>0</v>
      </c>
      <c r="AY476" s="138" t="str">
        <f t="shared" ca="1" si="255"/>
        <v xml:space="preserve"> </v>
      </c>
      <c r="AZ476" s="107">
        <f t="shared" ca="1" si="256"/>
        <v>0</v>
      </c>
      <c r="BA476" s="107">
        <f ca="1">IF(AZ476=1,(SUM($AW$6:AW476,$AX$6:AX476)-SUM($BA$6:BA475)),0)</f>
        <v>0</v>
      </c>
      <c r="BB476" s="107"/>
      <c r="BC476" s="107">
        <f ca="1">AV476+SUM($AW$6:AW476)+SUM($AX$6:AX476)-SUM($BA$6:BA476)</f>
        <v>0</v>
      </c>
      <c r="BD476" s="107">
        <f t="shared" ca="1" si="257"/>
        <v>0</v>
      </c>
      <c r="BE476" s="51">
        <f>'PiT PD Structure'!J516</f>
        <v>0</v>
      </c>
      <c r="BF476" s="139">
        <f t="shared" ca="1" si="270"/>
        <v>0.45</v>
      </c>
      <c r="BG476" s="51">
        <f t="shared" ca="1" si="258"/>
        <v>1</v>
      </c>
      <c r="BH476" s="50">
        <f t="shared" ca="1" si="259"/>
        <v>0</v>
      </c>
      <c r="BI476" s="50">
        <f t="shared" ca="1" si="260"/>
        <v>3.4816594052244909E-13</v>
      </c>
      <c r="BJ476" s="140">
        <v>0</v>
      </c>
      <c r="BK476" s="140">
        <v>0</v>
      </c>
      <c r="BR476" s="75">
        <f t="shared" ca="1" si="271"/>
        <v>57769</v>
      </c>
      <c r="BS476" s="74">
        <f t="shared" ca="1" si="243"/>
        <v>2</v>
      </c>
      <c r="BT476" s="74">
        <f t="shared" ca="1" si="265"/>
        <v>0</v>
      </c>
      <c r="BU476" s="73" t="str">
        <f t="shared" ca="1" si="244"/>
        <v xml:space="preserve"> </v>
      </c>
      <c r="BW476" s="75">
        <f t="shared" ca="1" si="245"/>
        <v>57769</v>
      </c>
      <c r="BX476" s="74">
        <f t="shared" ca="1" si="246"/>
        <v>2</v>
      </c>
      <c r="BY476" s="74">
        <f t="shared" ca="1" si="266"/>
        <v>0</v>
      </c>
      <c r="BZ476" s="73" t="str">
        <f t="shared" ca="1" si="247"/>
        <v xml:space="preserve"> </v>
      </c>
      <c r="CB476" s="75">
        <f t="shared" ca="1" si="272"/>
        <v>57769</v>
      </c>
      <c r="CC476" s="74">
        <f t="shared" ca="1" si="248"/>
        <v>2</v>
      </c>
      <c r="CD476" s="74">
        <f t="shared" ca="1" si="267"/>
        <v>0</v>
      </c>
      <c r="CE476" s="73" t="str">
        <f t="shared" ca="1" si="249"/>
        <v xml:space="preserve"> </v>
      </c>
    </row>
    <row r="477" spans="1:83" x14ac:dyDescent="0.2">
      <c r="A477" s="38" t="str">
        <f t="shared" si="273"/>
        <v xml:space="preserve"> </v>
      </c>
      <c r="B477" s="108"/>
      <c r="C477" s="38"/>
      <c r="D477" s="137"/>
      <c r="E477" s="137"/>
      <c r="F477" s="137"/>
      <c r="G477" s="122"/>
      <c r="H477" s="137"/>
      <c r="I477" s="50"/>
      <c r="J477" s="50"/>
      <c r="K477" s="50"/>
      <c r="L477" s="38"/>
      <c r="M477" s="38"/>
      <c r="N477" s="38"/>
      <c r="O477" s="50"/>
      <c r="P477" s="218"/>
      <c r="Q477" s="50"/>
      <c r="R477" s="50"/>
      <c r="S477" s="38"/>
      <c r="T477" s="51"/>
      <c r="U477" s="65"/>
      <c r="V477" s="105"/>
      <c r="W477" s="66"/>
      <c r="X477" s="66"/>
      <c r="Y477" s="38"/>
      <c r="Z477" s="66">
        <f t="shared" si="261"/>
        <v>0</v>
      </c>
      <c r="AA477" s="67"/>
      <c r="AC477" s="41" t="e">
        <f>VLOOKUP(A477,'Input Sheet'!$A$2:$B$232,2,0)</f>
        <v>#N/A</v>
      </c>
      <c r="AD477" s="70"/>
      <c r="AI477" s="68"/>
      <c r="AL477" s="107">
        <f t="shared" ca="1" si="250"/>
        <v>0</v>
      </c>
      <c r="AM477" s="49">
        <f t="shared" ca="1" si="268"/>
        <v>57800</v>
      </c>
      <c r="AN477" s="137" t="str">
        <f t="shared" ca="1" si="251"/>
        <v xml:space="preserve"> </v>
      </c>
      <c r="AO477" s="107">
        <f t="shared" ca="1" si="264"/>
        <v>0</v>
      </c>
      <c r="AP477" s="143">
        <f t="shared" ca="1" si="262"/>
        <v>0</v>
      </c>
      <c r="AQ477" s="143">
        <f t="shared" ca="1" si="252"/>
        <v>0</v>
      </c>
      <c r="AR477" s="49" t="str">
        <f t="shared" ca="1" si="253"/>
        <v xml:space="preserve"> </v>
      </c>
      <c r="AS477" s="107">
        <f t="shared" ca="1" si="254"/>
        <v>0</v>
      </c>
      <c r="AT477" s="107">
        <f t="shared" ca="1" si="263"/>
        <v>0</v>
      </c>
      <c r="AU477" s="107"/>
      <c r="AV477" s="107">
        <f ca="1">MAX(SUM($AQ$6:AQ477)-SUM($AT$6:AT477),0)</f>
        <v>0</v>
      </c>
      <c r="AW477" s="107">
        <f t="shared" ca="1" si="269"/>
        <v>0</v>
      </c>
      <c r="AX477" s="107">
        <v>0</v>
      </c>
      <c r="AY477" s="138" t="str">
        <f t="shared" ca="1" si="255"/>
        <v xml:space="preserve"> </v>
      </c>
      <c r="AZ477" s="107">
        <f t="shared" ca="1" si="256"/>
        <v>0</v>
      </c>
      <c r="BA477" s="107">
        <f ca="1">IF(AZ477=1,(SUM($AW$6:AW477,$AX$6:AX477)-SUM($BA$6:BA476)),0)</f>
        <v>0</v>
      </c>
      <c r="BB477" s="107"/>
      <c r="BC477" s="107">
        <f ca="1">AV477+SUM($AW$6:AW477)+SUM($AX$6:AX477)-SUM($BA$6:BA477)</f>
        <v>0</v>
      </c>
      <c r="BD477" s="107">
        <f t="shared" ca="1" si="257"/>
        <v>0</v>
      </c>
      <c r="BE477" s="51">
        <f>'PiT PD Structure'!J517</f>
        <v>0</v>
      </c>
      <c r="BF477" s="139">
        <f t="shared" ca="1" si="270"/>
        <v>0.45</v>
      </c>
      <c r="BG477" s="51">
        <f t="shared" ca="1" si="258"/>
        <v>1</v>
      </c>
      <c r="BH477" s="50">
        <f t="shared" ca="1" si="259"/>
        <v>0</v>
      </c>
      <c r="BI477" s="50">
        <f t="shared" ca="1" si="260"/>
        <v>3.4816594052244909E-13</v>
      </c>
      <c r="BJ477" s="140">
        <v>0</v>
      </c>
      <c r="BK477" s="140">
        <v>0</v>
      </c>
      <c r="BR477" s="75">
        <f t="shared" ca="1" si="271"/>
        <v>57800</v>
      </c>
      <c r="BS477" s="74">
        <f t="shared" ca="1" si="243"/>
        <v>3</v>
      </c>
      <c r="BT477" s="74">
        <f t="shared" ca="1" si="265"/>
        <v>0</v>
      </c>
      <c r="BU477" s="73" t="str">
        <f t="shared" ca="1" si="244"/>
        <v xml:space="preserve"> </v>
      </c>
      <c r="BW477" s="75">
        <f t="shared" ca="1" si="245"/>
        <v>57800</v>
      </c>
      <c r="BX477" s="74">
        <f t="shared" ca="1" si="246"/>
        <v>3</v>
      </c>
      <c r="BY477" s="74">
        <f t="shared" ca="1" si="266"/>
        <v>0</v>
      </c>
      <c r="BZ477" s="73" t="str">
        <f t="shared" ca="1" si="247"/>
        <v xml:space="preserve"> </v>
      </c>
      <c r="CB477" s="75">
        <f t="shared" ca="1" si="272"/>
        <v>57800</v>
      </c>
      <c r="CC477" s="74">
        <f t="shared" ca="1" si="248"/>
        <v>3</v>
      </c>
      <c r="CD477" s="74">
        <f t="shared" ca="1" si="267"/>
        <v>0</v>
      </c>
      <c r="CE477" s="73" t="str">
        <f t="shared" ca="1" si="249"/>
        <v xml:space="preserve"> </v>
      </c>
    </row>
    <row r="478" spans="1:83" x14ac:dyDescent="0.2">
      <c r="A478" s="38" t="str">
        <f t="shared" si="273"/>
        <v xml:space="preserve"> </v>
      </c>
      <c r="B478" s="108"/>
      <c r="C478" s="38"/>
      <c r="D478" s="137"/>
      <c r="E478" s="137"/>
      <c r="F478" s="137"/>
      <c r="G478" s="122"/>
      <c r="H478" s="137"/>
      <c r="I478" s="50"/>
      <c r="J478" s="50"/>
      <c r="K478" s="50"/>
      <c r="L478" s="38"/>
      <c r="M478" s="38"/>
      <c r="N478" s="38"/>
      <c r="O478" s="50"/>
      <c r="P478" s="218"/>
      <c r="Q478" s="50"/>
      <c r="R478" s="50"/>
      <c r="S478" s="38"/>
      <c r="T478" s="51"/>
      <c r="U478" s="65"/>
      <c r="V478" s="105"/>
      <c r="W478" s="66"/>
      <c r="X478" s="66"/>
      <c r="Y478" s="38"/>
      <c r="Z478" s="66">
        <f t="shared" si="261"/>
        <v>0</v>
      </c>
      <c r="AA478" s="67"/>
      <c r="AC478" s="41" t="e">
        <f>VLOOKUP(A478,'Input Sheet'!$A$2:$B$232,2,0)</f>
        <v>#N/A</v>
      </c>
      <c r="AD478" s="70"/>
      <c r="AI478" s="68"/>
      <c r="AL478" s="107">
        <f t="shared" ca="1" si="250"/>
        <v>0</v>
      </c>
      <c r="AM478" s="49">
        <f t="shared" ca="1" si="268"/>
        <v>57830</v>
      </c>
      <c r="AN478" s="137" t="str">
        <f t="shared" ca="1" si="251"/>
        <v xml:space="preserve"> </v>
      </c>
      <c r="AO478" s="107">
        <f t="shared" ca="1" si="264"/>
        <v>0</v>
      </c>
      <c r="AP478" s="143">
        <f t="shared" ca="1" si="262"/>
        <v>0</v>
      </c>
      <c r="AQ478" s="143">
        <f t="shared" ca="1" si="252"/>
        <v>0</v>
      </c>
      <c r="AR478" s="49" t="str">
        <f t="shared" ca="1" si="253"/>
        <v xml:space="preserve"> </v>
      </c>
      <c r="AS478" s="107">
        <f t="shared" ca="1" si="254"/>
        <v>0</v>
      </c>
      <c r="AT478" s="107">
        <f t="shared" ca="1" si="263"/>
        <v>0</v>
      </c>
      <c r="AU478" s="107"/>
      <c r="AV478" s="107">
        <f ca="1">MAX(SUM($AQ$6:AQ478)-SUM($AT$6:AT478),0)</f>
        <v>0</v>
      </c>
      <c r="AW478" s="107">
        <f t="shared" ca="1" si="269"/>
        <v>0</v>
      </c>
      <c r="AX478" s="107">
        <v>0</v>
      </c>
      <c r="AY478" s="138" t="str">
        <f t="shared" ca="1" si="255"/>
        <v xml:space="preserve"> </v>
      </c>
      <c r="AZ478" s="107">
        <f t="shared" ca="1" si="256"/>
        <v>0</v>
      </c>
      <c r="BA478" s="107">
        <f ca="1">IF(AZ478=1,(SUM($AW$6:AW478,$AX$6:AX478)-SUM($BA$6:BA477)),0)</f>
        <v>0</v>
      </c>
      <c r="BB478" s="107"/>
      <c r="BC478" s="107">
        <f ca="1">AV478+SUM($AW$6:AW478)+SUM($AX$6:AX478)-SUM($BA$6:BA478)</f>
        <v>0</v>
      </c>
      <c r="BD478" s="107">
        <f t="shared" ca="1" si="257"/>
        <v>0</v>
      </c>
      <c r="BE478" s="51">
        <f>'PiT PD Structure'!J518</f>
        <v>0</v>
      </c>
      <c r="BF478" s="139">
        <f t="shared" ca="1" si="270"/>
        <v>0.45</v>
      </c>
      <c r="BG478" s="51">
        <f t="shared" ca="1" si="258"/>
        <v>1</v>
      </c>
      <c r="BH478" s="50">
        <f t="shared" ca="1" si="259"/>
        <v>0</v>
      </c>
      <c r="BI478" s="50">
        <f t="shared" ca="1" si="260"/>
        <v>3.4816594052244909E-13</v>
      </c>
      <c r="BJ478" s="140">
        <v>0</v>
      </c>
      <c r="BK478" s="140">
        <v>0</v>
      </c>
      <c r="BR478" s="75">
        <f t="shared" ca="1" si="271"/>
        <v>57830</v>
      </c>
      <c r="BS478" s="74">
        <f t="shared" ca="1" si="243"/>
        <v>4</v>
      </c>
      <c r="BT478" s="74">
        <f t="shared" ca="1" si="265"/>
        <v>0</v>
      </c>
      <c r="BU478" s="73" t="str">
        <f t="shared" ca="1" si="244"/>
        <v xml:space="preserve"> </v>
      </c>
      <c r="BW478" s="75">
        <f t="shared" ca="1" si="245"/>
        <v>57830</v>
      </c>
      <c r="BX478" s="74">
        <f t="shared" ca="1" si="246"/>
        <v>4</v>
      </c>
      <c r="BY478" s="74">
        <f t="shared" ca="1" si="266"/>
        <v>0</v>
      </c>
      <c r="BZ478" s="73" t="str">
        <f t="shared" ca="1" si="247"/>
        <v xml:space="preserve"> </v>
      </c>
      <c r="CB478" s="75">
        <f t="shared" ca="1" si="272"/>
        <v>57830</v>
      </c>
      <c r="CC478" s="74">
        <f t="shared" ca="1" si="248"/>
        <v>4</v>
      </c>
      <c r="CD478" s="74">
        <f t="shared" ca="1" si="267"/>
        <v>0</v>
      </c>
      <c r="CE478" s="73" t="str">
        <f t="shared" ca="1" si="249"/>
        <v xml:space="preserve"> </v>
      </c>
    </row>
    <row r="479" spans="1:83" x14ac:dyDescent="0.2">
      <c r="A479" s="38" t="str">
        <f t="shared" si="273"/>
        <v xml:space="preserve"> </v>
      </c>
      <c r="B479" s="108"/>
      <c r="C479" s="38"/>
      <c r="D479" s="137"/>
      <c r="E479" s="137"/>
      <c r="F479" s="137"/>
      <c r="G479" s="122"/>
      <c r="H479" s="137"/>
      <c r="I479" s="50"/>
      <c r="J479" s="50"/>
      <c r="K479" s="50"/>
      <c r="L479" s="38"/>
      <c r="M479" s="38"/>
      <c r="N479" s="38"/>
      <c r="O479" s="50"/>
      <c r="P479" s="218"/>
      <c r="Q479" s="50"/>
      <c r="R479" s="50"/>
      <c r="S479" s="38"/>
      <c r="T479" s="51"/>
      <c r="U479" s="65"/>
      <c r="V479" s="105"/>
      <c r="W479" s="66"/>
      <c r="X479" s="66"/>
      <c r="Y479" s="38"/>
      <c r="Z479" s="66">
        <f t="shared" si="261"/>
        <v>0</v>
      </c>
      <c r="AA479" s="67"/>
      <c r="AC479" s="41" t="e">
        <f>VLOOKUP(A479,'Input Sheet'!$A$2:$B$232,2,0)</f>
        <v>#N/A</v>
      </c>
      <c r="AD479" s="70"/>
      <c r="AI479" s="68"/>
      <c r="AL479" s="107">
        <f t="shared" ca="1" si="250"/>
        <v>0</v>
      </c>
      <c r="AM479" s="49">
        <f t="shared" ca="1" si="268"/>
        <v>57861</v>
      </c>
      <c r="AN479" s="137" t="str">
        <f t="shared" ca="1" si="251"/>
        <v xml:space="preserve"> </v>
      </c>
      <c r="AO479" s="107">
        <f t="shared" ca="1" si="264"/>
        <v>0</v>
      </c>
      <c r="AP479" s="143">
        <f t="shared" ca="1" si="262"/>
        <v>0</v>
      </c>
      <c r="AQ479" s="143">
        <f t="shared" ca="1" si="252"/>
        <v>0</v>
      </c>
      <c r="AR479" s="49" t="str">
        <f t="shared" ca="1" si="253"/>
        <v xml:space="preserve"> </v>
      </c>
      <c r="AS479" s="107">
        <f t="shared" ca="1" si="254"/>
        <v>0</v>
      </c>
      <c r="AT479" s="107">
        <f t="shared" ca="1" si="263"/>
        <v>0</v>
      </c>
      <c r="AU479" s="107"/>
      <c r="AV479" s="107">
        <f ca="1">MAX(SUM($AQ$6:AQ479)-SUM($AT$6:AT479),0)</f>
        <v>0</v>
      </c>
      <c r="AW479" s="107">
        <f t="shared" ca="1" si="269"/>
        <v>0</v>
      </c>
      <c r="AX479" s="107">
        <v>0</v>
      </c>
      <c r="AY479" s="138" t="str">
        <f t="shared" ca="1" si="255"/>
        <v xml:space="preserve"> </v>
      </c>
      <c r="AZ479" s="107">
        <f t="shared" ca="1" si="256"/>
        <v>0</v>
      </c>
      <c r="BA479" s="107">
        <f ca="1">IF(AZ479=1,(SUM($AW$6:AW479,$AX$6:AX479)-SUM($BA$6:BA478)),0)</f>
        <v>0</v>
      </c>
      <c r="BB479" s="107"/>
      <c r="BC479" s="107">
        <f ca="1">AV479+SUM($AW$6:AW479)+SUM($AX$6:AX479)-SUM($BA$6:BA479)</f>
        <v>0</v>
      </c>
      <c r="BD479" s="107">
        <f t="shared" ca="1" si="257"/>
        <v>0</v>
      </c>
      <c r="BE479" s="51">
        <f>'PiT PD Structure'!J519</f>
        <v>0</v>
      </c>
      <c r="BF479" s="139">
        <f t="shared" ca="1" si="270"/>
        <v>0.45</v>
      </c>
      <c r="BG479" s="51">
        <f t="shared" ca="1" si="258"/>
        <v>1</v>
      </c>
      <c r="BH479" s="50">
        <f t="shared" ca="1" si="259"/>
        <v>0</v>
      </c>
      <c r="BI479" s="50">
        <f t="shared" ca="1" si="260"/>
        <v>3.4816594052244909E-13</v>
      </c>
      <c r="BJ479" s="140">
        <v>0</v>
      </c>
      <c r="BK479" s="140">
        <v>0</v>
      </c>
      <c r="BR479" s="75">
        <f t="shared" ca="1" si="271"/>
        <v>57861</v>
      </c>
      <c r="BS479" s="74">
        <f t="shared" ca="1" si="243"/>
        <v>5</v>
      </c>
      <c r="BT479" s="74">
        <f t="shared" ca="1" si="265"/>
        <v>0</v>
      </c>
      <c r="BU479" s="73" t="str">
        <f t="shared" ca="1" si="244"/>
        <v xml:space="preserve"> </v>
      </c>
      <c r="BW479" s="75">
        <f t="shared" ca="1" si="245"/>
        <v>57861</v>
      </c>
      <c r="BX479" s="74">
        <f t="shared" ca="1" si="246"/>
        <v>5</v>
      </c>
      <c r="BY479" s="74">
        <f t="shared" ca="1" si="266"/>
        <v>0</v>
      </c>
      <c r="BZ479" s="73" t="str">
        <f t="shared" ca="1" si="247"/>
        <v xml:space="preserve"> </v>
      </c>
      <c r="CB479" s="75">
        <f t="shared" ca="1" si="272"/>
        <v>57861</v>
      </c>
      <c r="CC479" s="74">
        <f t="shared" ca="1" si="248"/>
        <v>5</v>
      </c>
      <c r="CD479" s="74">
        <f t="shared" ca="1" si="267"/>
        <v>0</v>
      </c>
      <c r="CE479" s="73" t="str">
        <f t="shared" ca="1" si="249"/>
        <v xml:space="preserve"> </v>
      </c>
    </row>
    <row r="480" spans="1:83" x14ac:dyDescent="0.2">
      <c r="A480" s="38" t="str">
        <f t="shared" si="273"/>
        <v xml:space="preserve"> </v>
      </c>
      <c r="B480" s="108"/>
      <c r="C480" s="38"/>
      <c r="D480" s="137"/>
      <c r="E480" s="137"/>
      <c r="F480" s="137"/>
      <c r="G480" s="122"/>
      <c r="H480" s="137"/>
      <c r="I480" s="50"/>
      <c r="J480" s="50"/>
      <c r="K480" s="50"/>
      <c r="L480" s="38"/>
      <c r="M480" s="38"/>
      <c r="N480" s="38"/>
      <c r="O480" s="50"/>
      <c r="P480" s="218"/>
      <c r="Q480" s="50"/>
      <c r="R480" s="50"/>
      <c r="S480" s="38"/>
      <c r="T480" s="51"/>
      <c r="U480" s="65"/>
      <c r="V480" s="105"/>
      <c r="W480" s="66"/>
      <c r="X480" s="66"/>
      <c r="Y480" s="38"/>
      <c r="Z480" s="66">
        <f t="shared" si="261"/>
        <v>0</v>
      </c>
      <c r="AA480" s="67"/>
      <c r="AC480" s="41" t="e">
        <f>VLOOKUP(A480,'Input Sheet'!$A$2:$B$232,2,0)</f>
        <v>#N/A</v>
      </c>
      <c r="AD480" s="70"/>
      <c r="AI480" s="68"/>
      <c r="AL480" s="107">
        <f t="shared" ca="1" si="250"/>
        <v>0</v>
      </c>
      <c r="AM480" s="49">
        <f t="shared" ca="1" si="268"/>
        <v>57891</v>
      </c>
      <c r="AN480" s="137" t="str">
        <f t="shared" ca="1" si="251"/>
        <v xml:space="preserve"> </v>
      </c>
      <c r="AO480" s="107">
        <f t="shared" ca="1" si="264"/>
        <v>0</v>
      </c>
      <c r="AP480" s="143">
        <f t="shared" ca="1" si="262"/>
        <v>0</v>
      </c>
      <c r="AQ480" s="143">
        <f t="shared" ca="1" si="252"/>
        <v>0</v>
      </c>
      <c r="AR480" s="49" t="str">
        <f t="shared" ca="1" si="253"/>
        <v xml:space="preserve"> </v>
      </c>
      <c r="AS480" s="107">
        <f t="shared" ca="1" si="254"/>
        <v>0</v>
      </c>
      <c r="AT480" s="107">
        <f t="shared" ca="1" si="263"/>
        <v>0</v>
      </c>
      <c r="AU480" s="107"/>
      <c r="AV480" s="107">
        <f ca="1">MAX(SUM($AQ$6:AQ480)-SUM($AT$6:AT480),0)</f>
        <v>0</v>
      </c>
      <c r="AW480" s="107">
        <f t="shared" ca="1" si="269"/>
        <v>0</v>
      </c>
      <c r="AX480" s="107">
        <v>0</v>
      </c>
      <c r="AY480" s="138" t="str">
        <f t="shared" ca="1" si="255"/>
        <v xml:space="preserve"> </v>
      </c>
      <c r="AZ480" s="107">
        <f t="shared" ca="1" si="256"/>
        <v>0</v>
      </c>
      <c r="BA480" s="107">
        <f ca="1">IF(AZ480=1,(SUM($AW$6:AW480,$AX$6:AX480)-SUM($BA$6:BA479)),0)</f>
        <v>0</v>
      </c>
      <c r="BB480" s="107"/>
      <c r="BC480" s="107">
        <f ca="1">AV480+SUM($AW$6:AW480)+SUM($AX$6:AX480)-SUM($BA$6:BA480)</f>
        <v>0</v>
      </c>
      <c r="BD480" s="107">
        <f t="shared" ca="1" si="257"/>
        <v>0</v>
      </c>
      <c r="BE480" s="51">
        <f>'PiT PD Structure'!J520</f>
        <v>0</v>
      </c>
      <c r="BF480" s="139">
        <f t="shared" ca="1" si="270"/>
        <v>0.45</v>
      </c>
      <c r="BG480" s="51">
        <f t="shared" ca="1" si="258"/>
        <v>1</v>
      </c>
      <c r="BH480" s="50">
        <f t="shared" ca="1" si="259"/>
        <v>0</v>
      </c>
      <c r="BI480" s="50">
        <f t="shared" ca="1" si="260"/>
        <v>3.4816594052244909E-13</v>
      </c>
      <c r="BJ480" s="140">
        <v>0</v>
      </c>
      <c r="BK480" s="140">
        <v>0</v>
      </c>
      <c r="BR480" s="75">
        <f t="shared" ca="1" si="271"/>
        <v>57891</v>
      </c>
      <c r="BS480" s="74">
        <f t="shared" ca="1" si="243"/>
        <v>6</v>
      </c>
      <c r="BT480" s="74">
        <f t="shared" ca="1" si="265"/>
        <v>0</v>
      </c>
      <c r="BU480" s="73" t="str">
        <f t="shared" ca="1" si="244"/>
        <v xml:space="preserve"> </v>
      </c>
      <c r="BW480" s="75">
        <f t="shared" ca="1" si="245"/>
        <v>57891</v>
      </c>
      <c r="BX480" s="74">
        <f t="shared" ca="1" si="246"/>
        <v>6</v>
      </c>
      <c r="BY480" s="74">
        <f t="shared" ca="1" si="266"/>
        <v>0</v>
      </c>
      <c r="BZ480" s="73" t="str">
        <f t="shared" ca="1" si="247"/>
        <v xml:space="preserve"> </v>
      </c>
      <c r="CB480" s="75">
        <f t="shared" ca="1" si="272"/>
        <v>57891</v>
      </c>
      <c r="CC480" s="74">
        <f t="shared" ca="1" si="248"/>
        <v>6</v>
      </c>
      <c r="CD480" s="74">
        <f t="shared" ca="1" si="267"/>
        <v>0</v>
      </c>
      <c r="CE480" s="73" t="str">
        <f t="shared" ca="1" si="249"/>
        <v xml:space="preserve"> </v>
      </c>
    </row>
    <row r="481" spans="1:83" x14ac:dyDescent="0.2">
      <c r="A481" s="38" t="str">
        <f t="shared" si="273"/>
        <v xml:space="preserve"> </v>
      </c>
      <c r="B481" s="108"/>
      <c r="C481" s="38"/>
      <c r="D481" s="137"/>
      <c r="E481" s="137"/>
      <c r="F481" s="137"/>
      <c r="G481" s="122"/>
      <c r="H481" s="137"/>
      <c r="I481" s="50"/>
      <c r="J481" s="50"/>
      <c r="K481" s="50"/>
      <c r="L481" s="38"/>
      <c r="M481" s="38"/>
      <c r="N481" s="38"/>
      <c r="O481" s="50"/>
      <c r="P481" s="218"/>
      <c r="Q481" s="50"/>
      <c r="R481" s="50"/>
      <c r="S481" s="38"/>
      <c r="T481" s="51"/>
      <c r="U481" s="65"/>
      <c r="V481" s="105"/>
      <c r="W481" s="66"/>
      <c r="X481" s="66"/>
      <c r="Y481" s="38"/>
      <c r="Z481" s="66">
        <f t="shared" si="261"/>
        <v>0</v>
      </c>
      <c r="AA481" s="67"/>
      <c r="AC481" s="41" t="e">
        <f>VLOOKUP(A481,'Input Sheet'!$A$2:$B$232,2,0)</f>
        <v>#N/A</v>
      </c>
      <c r="AD481" s="70"/>
      <c r="AI481" s="68"/>
      <c r="AL481" s="107">
        <f t="shared" ca="1" si="250"/>
        <v>0</v>
      </c>
      <c r="AM481" s="49">
        <f t="shared" ca="1" si="268"/>
        <v>57922</v>
      </c>
      <c r="AN481" s="137" t="str">
        <f t="shared" ca="1" si="251"/>
        <v xml:space="preserve"> </v>
      </c>
      <c r="AO481" s="107">
        <f t="shared" ca="1" si="264"/>
        <v>0</v>
      </c>
      <c r="AP481" s="143">
        <f t="shared" ca="1" si="262"/>
        <v>0</v>
      </c>
      <c r="AQ481" s="143">
        <f t="shared" ca="1" si="252"/>
        <v>0</v>
      </c>
      <c r="AR481" s="49" t="str">
        <f t="shared" ca="1" si="253"/>
        <v xml:space="preserve"> </v>
      </c>
      <c r="AS481" s="107">
        <f t="shared" ca="1" si="254"/>
        <v>0</v>
      </c>
      <c r="AT481" s="107">
        <f t="shared" ca="1" si="263"/>
        <v>0</v>
      </c>
      <c r="AU481" s="107"/>
      <c r="AV481" s="107">
        <f ca="1">MAX(SUM($AQ$6:AQ481)-SUM($AT$6:AT481),0)</f>
        <v>0</v>
      </c>
      <c r="AW481" s="107">
        <f t="shared" ca="1" si="269"/>
        <v>0</v>
      </c>
      <c r="AX481" s="107">
        <v>0</v>
      </c>
      <c r="AY481" s="138" t="str">
        <f t="shared" ca="1" si="255"/>
        <v xml:space="preserve"> </v>
      </c>
      <c r="AZ481" s="107">
        <f t="shared" ca="1" si="256"/>
        <v>0</v>
      </c>
      <c r="BA481" s="107">
        <f ca="1">IF(AZ481=1,(SUM($AW$6:AW481,$AX$6:AX481)-SUM($BA$6:BA480)),0)</f>
        <v>0</v>
      </c>
      <c r="BB481" s="107"/>
      <c r="BC481" s="107">
        <f ca="1">AV481+SUM($AW$6:AW481)+SUM($AX$6:AX481)-SUM($BA$6:BA481)</f>
        <v>0</v>
      </c>
      <c r="BD481" s="107">
        <f t="shared" ca="1" si="257"/>
        <v>0</v>
      </c>
      <c r="BE481" s="51">
        <f>'PiT PD Structure'!J521</f>
        <v>0</v>
      </c>
      <c r="BF481" s="139">
        <f t="shared" ca="1" si="270"/>
        <v>0.45</v>
      </c>
      <c r="BG481" s="51">
        <f t="shared" ca="1" si="258"/>
        <v>1</v>
      </c>
      <c r="BH481" s="50">
        <f t="shared" ca="1" si="259"/>
        <v>0</v>
      </c>
      <c r="BI481" s="50">
        <f t="shared" ca="1" si="260"/>
        <v>3.4816594052244909E-13</v>
      </c>
      <c r="BJ481" s="140">
        <v>0</v>
      </c>
      <c r="BK481" s="140">
        <v>0</v>
      </c>
      <c r="BR481" s="75">
        <f t="shared" ca="1" si="271"/>
        <v>57922</v>
      </c>
      <c r="BS481" s="74">
        <f t="shared" ca="1" si="243"/>
        <v>7</v>
      </c>
      <c r="BT481" s="74">
        <f t="shared" ca="1" si="265"/>
        <v>0</v>
      </c>
      <c r="BU481" s="73" t="str">
        <f t="shared" ca="1" si="244"/>
        <v xml:space="preserve"> </v>
      </c>
      <c r="BW481" s="75">
        <f t="shared" ca="1" si="245"/>
        <v>57922</v>
      </c>
      <c r="BX481" s="74">
        <f t="shared" ca="1" si="246"/>
        <v>7</v>
      </c>
      <c r="BY481" s="74">
        <f t="shared" ca="1" si="266"/>
        <v>0</v>
      </c>
      <c r="BZ481" s="73" t="str">
        <f t="shared" ca="1" si="247"/>
        <v xml:space="preserve"> </v>
      </c>
      <c r="CB481" s="75">
        <f t="shared" ca="1" si="272"/>
        <v>57922</v>
      </c>
      <c r="CC481" s="74">
        <f t="shared" ca="1" si="248"/>
        <v>7</v>
      </c>
      <c r="CD481" s="74">
        <f t="shared" ca="1" si="267"/>
        <v>0</v>
      </c>
      <c r="CE481" s="73" t="str">
        <f t="shared" ca="1" si="249"/>
        <v xml:space="preserve"> </v>
      </c>
    </row>
    <row r="482" spans="1:83" x14ac:dyDescent="0.2">
      <c r="A482" s="38" t="str">
        <f t="shared" si="273"/>
        <v xml:space="preserve"> </v>
      </c>
      <c r="B482" s="108"/>
      <c r="C482" s="38"/>
      <c r="D482" s="137"/>
      <c r="E482" s="137"/>
      <c r="F482" s="137"/>
      <c r="G482" s="122"/>
      <c r="H482" s="137"/>
      <c r="I482" s="50"/>
      <c r="J482" s="50"/>
      <c r="K482" s="50"/>
      <c r="L482" s="38"/>
      <c r="M482" s="38"/>
      <c r="N482" s="38"/>
      <c r="O482" s="50"/>
      <c r="P482" s="218"/>
      <c r="Q482" s="50"/>
      <c r="R482" s="50"/>
      <c r="S482" s="38"/>
      <c r="T482" s="51"/>
      <c r="U482" s="65"/>
      <c r="V482" s="105"/>
      <c r="W482" s="66"/>
      <c r="X482" s="66"/>
      <c r="Y482" s="38"/>
      <c r="Z482" s="66">
        <f t="shared" si="261"/>
        <v>0</v>
      </c>
      <c r="AA482" s="67"/>
      <c r="AC482" s="41" t="e">
        <f>VLOOKUP(A482,'Input Sheet'!$A$2:$B$232,2,0)</f>
        <v>#N/A</v>
      </c>
      <c r="AD482" s="70"/>
      <c r="AI482" s="68"/>
      <c r="AL482" s="107">
        <f t="shared" ca="1" si="250"/>
        <v>0</v>
      </c>
      <c r="AM482" s="49">
        <f t="shared" ca="1" si="268"/>
        <v>57953</v>
      </c>
      <c r="AN482" s="137" t="str">
        <f t="shared" ca="1" si="251"/>
        <v xml:space="preserve"> </v>
      </c>
      <c r="AO482" s="107">
        <f t="shared" ca="1" si="264"/>
        <v>0</v>
      </c>
      <c r="AP482" s="143">
        <f t="shared" ca="1" si="262"/>
        <v>0</v>
      </c>
      <c r="AQ482" s="143">
        <f t="shared" ca="1" si="252"/>
        <v>0</v>
      </c>
      <c r="AR482" s="49" t="str">
        <f t="shared" ca="1" si="253"/>
        <v xml:space="preserve"> </v>
      </c>
      <c r="AS482" s="107">
        <f t="shared" ca="1" si="254"/>
        <v>0</v>
      </c>
      <c r="AT482" s="107">
        <f t="shared" ca="1" si="263"/>
        <v>0</v>
      </c>
      <c r="AU482" s="107"/>
      <c r="AV482" s="107">
        <f ca="1">MAX(SUM($AQ$6:AQ482)-SUM($AT$6:AT482),0)</f>
        <v>0</v>
      </c>
      <c r="AW482" s="107">
        <f t="shared" ca="1" si="269"/>
        <v>0</v>
      </c>
      <c r="AX482" s="107">
        <v>0</v>
      </c>
      <c r="AY482" s="138" t="str">
        <f t="shared" ca="1" si="255"/>
        <v xml:space="preserve"> </v>
      </c>
      <c r="AZ482" s="107">
        <f t="shared" ca="1" si="256"/>
        <v>0</v>
      </c>
      <c r="BA482" s="107">
        <f ca="1">IF(AZ482=1,(SUM($AW$6:AW482,$AX$6:AX482)-SUM($BA$6:BA481)),0)</f>
        <v>0</v>
      </c>
      <c r="BB482" s="107"/>
      <c r="BC482" s="107">
        <f ca="1">AV482+SUM($AW$6:AW482)+SUM($AX$6:AX482)-SUM($BA$6:BA482)</f>
        <v>0</v>
      </c>
      <c r="BD482" s="107">
        <f t="shared" ca="1" si="257"/>
        <v>0</v>
      </c>
      <c r="BE482" s="51">
        <f>'PiT PD Structure'!J522</f>
        <v>0</v>
      </c>
      <c r="BF482" s="139">
        <f t="shared" ca="1" si="270"/>
        <v>0.45</v>
      </c>
      <c r="BG482" s="51">
        <f t="shared" ca="1" si="258"/>
        <v>1</v>
      </c>
      <c r="BH482" s="50">
        <f t="shared" ca="1" si="259"/>
        <v>0</v>
      </c>
      <c r="BI482" s="50">
        <f t="shared" ca="1" si="260"/>
        <v>3.4816594052244909E-13</v>
      </c>
      <c r="BJ482" s="140">
        <v>0</v>
      </c>
      <c r="BK482" s="140">
        <v>0</v>
      </c>
      <c r="BR482" s="75">
        <f t="shared" ca="1" si="271"/>
        <v>57953</v>
      </c>
      <c r="BS482" s="74">
        <f t="shared" ca="1" si="243"/>
        <v>8</v>
      </c>
      <c r="BT482" s="74">
        <f t="shared" ca="1" si="265"/>
        <v>0</v>
      </c>
      <c r="BU482" s="73" t="str">
        <f t="shared" ca="1" si="244"/>
        <v xml:space="preserve"> </v>
      </c>
      <c r="BW482" s="75">
        <f t="shared" ca="1" si="245"/>
        <v>57953</v>
      </c>
      <c r="BX482" s="74">
        <f t="shared" ca="1" si="246"/>
        <v>8</v>
      </c>
      <c r="BY482" s="74">
        <f t="shared" ca="1" si="266"/>
        <v>0</v>
      </c>
      <c r="BZ482" s="73" t="str">
        <f t="shared" ca="1" si="247"/>
        <v xml:space="preserve"> </v>
      </c>
      <c r="CB482" s="75">
        <f t="shared" ca="1" si="272"/>
        <v>57953</v>
      </c>
      <c r="CC482" s="74">
        <f t="shared" ca="1" si="248"/>
        <v>8</v>
      </c>
      <c r="CD482" s="74">
        <f t="shared" ca="1" si="267"/>
        <v>0</v>
      </c>
      <c r="CE482" s="73" t="str">
        <f t="shared" ca="1" si="249"/>
        <v xml:space="preserve"> </v>
      </c>
    </row>
    <row r="483" spans="1:83" x14ac:dyDescent="0.2">
      <c r="A483" s="38" t="str">
        <f t="shared" si="273"/>
        <v xml:space="preserve"> </v>
      </c>
      <c r="B483" s="108"/>
      <c r="C483" s="38"/>
      <c r="D483" s="137"/>
      <c r="E483" s="137"/>
      <c r="F483" s="137"/>
      <c r="G483" s="122"/>
      <c r="H483" s="137"/>
      <c r="I483" s="50"/>
      <c r="J483" s="50"/>
      <c r="K483" s="50"/>
      <c r="L483" s="38"/>
      <c r="M483" s="38"/>
      <c r="N483" s="38"/>
      <c r="O483" s="50"/>
      <c r="P483" s="218"/>
      <c r="Q483" s="50"/>
      <c r="R483" s="50"/>
      <c r="S483" s="38"/>
      <c r="T483" s="51"/>
      <c r="U483" s="65"/>
      <c r="V483" s="105"/>
      <c r="W483" s="66"/>
      <c r="X483" s="66"/>
      <c r="Y483" s="38"/>
      <c r="Z483" s="66">
        <f t="shared" si="261"/>
        <v>0</v>
      </c>
      <c r="AA483" s="67"/>
      <c r="AC483" s="41" t="e">
        <f>VLOOKUP(A483,'Input Sheet'!$A$2:$B$232,2,0)</f>
        <v>#N/A</v>
      </c>
      <c r="AD483" s="70"/>
      <c r="AI483" s="68"/>
      <c r="AL483" s="107">
        <f t="shared" ca="1" si="250"/>
        <v>0</v>
      </c>
      <c r="AM483" s="49">
        <f t="shared" ca="1" si="268"/>
        <v>57983</v>
      </c>
      <c r="AN483" s="137" t="str">
        <f t="shared" ca="1" si="251"/>
        <v xml:space="preserve"> </v>
      </c>
      <c r="AO483" s="107">
        <f t="shared" ca="1" si="264"/>
        <v>0</v>
      </c>
      <c r="AP483" s="143">
        <f t="shared" ca="1" si="262"/>
        <v>0</v>
      </c>
      <c r="AQ483" s="143">
        <f t="shared" ca="1" si="252"/>
        <v>0</v>
      </c>
      <c r="AR483" s="49" t="str">
        <f t="shared" ca="1" si="253"/>
        <v xml:space="preserve"> </v>
      </c>
      <c r="AS483" s="107">
        <f t="shared" ca="1" si="254"/>
        <v>0</v>
      </c>
      <c r="AT483" s="107">
        <f t="shared" ca="1" si="263"/>
        <v>0</v>
      </c>
      <c r="AU483" s="107"/>
      <c r="AV483" s="107">
        <f ca="1">MAX(SUM($AQ$6:AQ483)-SUM($AT$6:AT483),0)</f>
        <v>0</v>
      </c>
      <c r="AW483" s="107">
        <f t="shared" ca="1" si="269"/>
        <v>0</v>
      </c>
      <c r="AX483" s="107">
        <v>0</v>
      </c>
      <c r="AY483" s="138" t="str">
        <f t="shared" ca="1" si="255"/>
        <v xml:space="preserve"> </v>
      </c>
      <c r="AZ483" s="107">
        <f t="shared" ca="1" si="256"/>
        <v>0</v>
      </c>
      <c r="BA483" s="107">
        <f ca="1">IF(AZ483=1,(SUM($AW$6:AW483,$AX$6:AX483)-SUM($BA$6:BA482)),0)</f>
        <v>0</v>
      </c>
      <c r="BB483" s="107"/>
      <c r="BC483" s="107">
        <f ca="1">AV483+SUM($AW$6:AW483)+SUM($AX$6:AX483)-SUM($BA$6:BA483)</f>
        <v>0</v>
      </c>
      <c r="BD483" s="107">
        <f t="shared" ca="1" si="257"/>
        <v>0</v>
      </c>
      <c r="BE483" s="51">
        <f>'PiT PD Structure'!J523</f>
        <v>0</v>
      </c>
      <c r="BF483" s="139">
        <f t="shared" ca="1" si="270"/>
        <v>0.45</v>
      </c>
      <c r="BG483" s="51">
        <f t="shared" ca="1" si="258"/>
        <v>1</v>
      </c>
      <c r="BH483" s="50">
        <f t="shared" ca="1" si="259"/>
        <v>0</v>
      </c>
      <c r="BI483" s="50">
        <f t="shared" ca="1" si="260"/>
        <v>3.4816594052244909E-13</v>
      </c>
      <c r="BJ483" s="140">
        <v>0</v>
      </c>
      <c r="BK483" s="140">
        <v>0</v>
      </c>
      <c r="BR483" s="75">
        <f t="shared" ca="1" si="271"/>
        <v>57983</v>
      </c>
      <c r="BS483" s="74">
        <f t="shared" ca="1" si="243"/>
        <v>9</v>
      </c>
      <c r="BT483" s="74">
        <f t="shared" ca="1" si="265"/>
        <v>0</v>
      </c>
      <c r="BU483" s="73" t="str">
        <f t="shared" ca="1" si="244"/>
        <v xml:space="preserve"> </v>
      </c>
      <c r="BW483" s="75">
        <f t="shared" ca="1" si="245"/>
        <v>57983</v>
      </c>
      <c r="BX483" s="74">
        <f t="shared" ca="1" si="246"/>
        <v>9</v>
      </c>
      <c r="BY483" s="74">
        <f t="shared" ca="1" si="266"/>
        <v>0</v>
      </c>
      <c r="BZ483" s="73" t="str">
        <f t="shared" ca="1" si="247"/>
        <v xml:space="preserve"> </v>
      </c>
      <c r="CB483" s="75">
        <f t="shared" ca="1" si="272"/>
        <v>57983</v>
      </c>
      <c r="CC483" s="74">
        <f t="shared" ca="1" si="248"/>
        <v>9</v>
      </c>
      <c r="CD483" s="74">
        <f t="shared" ca="1" si="267"/>
        <v>0</v>
      </c>
      <c r="CE483" s="73" t="str">
        <f t="shared" ca="1" si="249"/>
        <v xml:space="preserve"> </v>
      </c>
    </row>
    <row r="484" spans="1:83" x14ac:dyDescent="0.2">
      <c r="A484" s="38" t="str">
        <f t="shared" si="273"/>
        <v xml:space="preserve"> </v>
      </c>
      <c r="B484" s="108"/>
      <c r="C484" s="38"/>
      <c r="D484" s="137"/>
      <c r="E484" s="137"/>
      <c r="F484" s="137"/>
      <c r="G484" s="122"/>
      <c r="H484" s="137"/>
      <c r="I484" s="50"/>
      <c r="J484" s="50"/>
      <c r="K484" s="50"/>
      <c r="L484" s="38"/>
      <c r="M484" s="38"/>
      <c r="N484" s="38"/>
      <c r="O484" s="50"/>
      <c r="P484" s="218"/>
      <c r="Q484" s="50"/>
      <c r="R484" s="50"/>
      <c r="S484" s="38"/>
      <c r="T484" s="51"/>
      <c r="U484" s="65"/>
      <c r="V484" s="105"/>
      <c r="W484" s="66"/>
      <c r="X484" s="66"/>
      <c r="Y484" s="38"/>
      <c r="Z484" s="66">
        <f t="shared" si="261"/>
        <v>0</v>
      </c>
      <c r="AA484" s="67"/>
      <c r="AC484" s="41" t="e">
        <f>VLOOKUP(A484,'Input Sheet'!$A$2:$B$232,2,0)</f>
        <v>#N/A</v>
      </c>
      <c r="AD484" s="70"/>
      <c r="AI484" s="68"/>
      <c r="AL484" s="107">
        <f t="shared" ref="AL484:AL507" ca="1" si="274">IF(AM484&lt;=$AR$2,AL483+1,0)</f>
        <v>0</v>
      </c>
      <c r="AM484" s="49">
        <f t="shared" ca="1" si="268"/>
        <v>58014</v>
      </c>
      <c r="AN484" s="137" t="str">
        <f t="shared" ref="AN484:AN507" ca="1" si="275">CE484</f>
        <v xml:space="preserve"> </v>
      </c>
      <c r="AO484" s="107">
        <f t="shared" ca="1" si="264"/>
        <v>0</v>
      </c>
      <c r="AP484" s="143">
        <f t="shared" ca="1" si="262"/>
        <v>0</v>
      </c>
      <c r="AQ484" s="143">
        <f t="shared" ref="AQ484:AQ507" ca="1" si="276">IF(AND(AP484&gt;0,AM484&lt;=$AR$2),AQ483+AP484,0)</f>
        <v>0</v>
      </c>
      <c r="AR484" s="49" t="str">
        <f t="shared" ref="AR484:AR507" ca="1" si="277">BU484</f>
        <v xml:space="preserve"> </v>
      </c>
      <c r="AS484" s="107">
        <f t="shared" ref="AS484:AS507" ca="1" si="278">BT484</f>
        <v>0</v>
      </c>
      <c r="AT484" s="107">
        <f t="shared" ca="1" si="263"/>
        <v>0</v>
      </c>
      <c r="AU484" s="107"/>
      <c r="AV484" s="107">
        <f ca="1">MAX(SUM($AQ$6:AQ484)-SUM($AT$6:AT484),0)</f>
        <v>0</v>
      </c>
      <c r="AW484" s="107">
        <f t="shared" ca="1" si="269"/>
        <v>0</v>
      </c>
      <c r="AX484" s="107">
        <v>0</v>
      </c>
      <c r="AY484" s="138" t="str">
        <f t="shared" ref="AY484:AY507" ca="1" si="279">BZ484</f>
        <v xml:space="preserve"> </v>
      </c>
      <c r="AZ484" s="107">
        <f t="shared" ref="AZ484:AZ507" ca="1" si="280">BY484</f>
        <v>0</v>
      </c>
      <c r="BA484" s="107">
        <f ca="1">IF(AZ484=1,(SUM($AW$6:AW484,$AX$6:AX484)-SUM($BA$6:BA483)),0)</f>
        <v>0</v>
      </c>
      <c r="BB484" s="107"/>
      <c r="BC484" s="107">
        <f ca="1">AV484+SUM($AW$6:AW484)+SUM($AX$6:AX484)-SUM($BA$6:BA484)</f>
        <v>0</v>
      </c>
      <c r="BD484" s="107">
        <f t="shared" ref="BD484:BD507" ca="1" si="281">IF(AL484&gt;0,AM484-AM483,0)</f>
        <v>0</v>
      </c>
      <c r="BE484" s="51">
        <f>'PiT PD Structure'!J524</f>
        <v>0</v>
      </c>
      <c r="BF484" s="139">
        <f t="shared" ca="1" si="270"/>
        <v>0.45</v>
      </c>
      <c r="BG484" s="51">
        <f t="shared" ref="BG484:BG507" ca="1" si="282">1/(1+$BE$2)^(BD484/360)</f>
        <v>1</v>
      </c>
      <c r="BH484" s="50">
        <f t="shared" ref="BH484:BH507" ca="1" si="283">IF(AL484=0,0,BC484*BE484*BF484*BG484)</f>
        <v>0</v>
      </c>
      <c r="BI484" s="50">
        <f t="shared" ref="BI484:BI507" ca="1" si="284">BI483-BH483</f>
        <v>3.4816594052244909E-13</v>
      </c>
      <c r="BJ484" s="140">
        <v>0</v>
      </c>
      <c r="BK484" s="140">
        <v>0</v>
      </c>
      <c r="BR484" s="75">
        <f t="shared" ca="1" si="271"/>
        <v>58014</v>
      </c>
      <c r="BS484" s="74">
        <f t="shared" ca="1" si="243"/>
        <v>10</v>
      </c>
      <c r="BT484" s="74">
        <f t="shared" ca="1" si="265"/>
        <v>0</v>
      </c>
      <c r="BU484" s="73" t="str">
        <f t="shared" ca="1" si="244"/>
        <v xml:space="preserve"> </v>
      </c>
      <c r="BW484" s="75">
        <f t="shared" ca="1" si="245"/>
        <v>58014</v>
      </c>
      <c r="BX484" s="74">
        <f t="shared" ca="1" si="246"/>
        <v>10</v>
      </c>
      <c r="BY484" s="74">
        <f t="shared" ca="1" si="266"/>
        <v>0</v>
      </c>
      <c r="BZ484" s="73" t="str">
        <f t="shared" ca="1" si="247"/>
        <v xml:space="preserve"> </v>
      </c>
      <c r="CB484" s="75">
        <f t="shared" ca="1" si="272"/>
        <v>58014</v>
      </c>
      <c r="CC484" s="74">
        <f t="shared" ca="1" si="248"/>
        <v>10</v>
      </c>
      <c r="CD484" s="74">
        <f t="shared" ca="1" si="267"/>
        <v>0</v>
      </c>
      <c r="CE484" s="73" t="str">
        <f t="shared" ca="1" si="249"/>
        <v xml:space="preserve"> </v>
      </c>
    </row>
    <row r="485" spans="1:83" x14ac:dyDescent="0.2">
      <c r="A485" s="38" t="str">
        <f t="shared" si="273"/>
        <v xml:space="preserve"> </v>
      </c>
      <c r="B485" s="108"/>
      <c r="C485" s="38"/>
      <c r="D485" s="137"/>
      <c r="E485" s="137"/>
      <c r="F485" s="137"/>
      <c r="G485" s="122"/>
      <c r="H485" s="137"/>
      <c r="I485" s="50"/>
      <c r="J485" s="50"/>
      <c r="K485" s="50"/>
      <c r="L485" s="38"/>
      <c r="M485" s="38"/>
      <c r="N485" s="38"/>
      <c r="O485" s="50"/>
      <c r="P485" s="218"/>
      <c r="Q485" s="50"/>
      <c r="R485" s="50"/>
      <c r="S485" s="38"/>
      <c r="T485" s="51"/>
      <c r="U485" s="65"/>
      <c r="V485" s="105"/>
      <c r="W485" s="66"/>
      <c r="X485" s="66"/>
      <c r="Y485" s="38"/>
      <c r="Z485" s="66">
        <f t="shared" si="261"/>
        <v>0</v>
      </c>
      <c r="AA485" s="67"/>
      <c r="AC485" s="41" t="e">
        <f>VLOOKUP(A485,'Input Sheet'!$A$2:$B$232,2,0)</f>
        <v>#N/A</v>
      </c>
      <c r="AD485" s="70"/>
      <c r="AI485" s="68"/>
      <c r="AL485" s="107">
        <f t="shared" ca="1" si="274"/>
        <v>0</v>
      </c>
      <c r="AM485" s="49">
        <f t="shared" ca="1" si="268"/>
        <v>58044</v>
      </c>
      <c r="AN485" s="137" t="str">
        <f t="shared" ca="1" si="275"/>
        <v xml:space="preserve"> </v>
      </c>
      <c r="AO485" s="107">
        <f t="shared" ca="1" si="264"/>
        <v>0</v>
      </c>
      <c r="AP485" s="143">
        <f t="shared" ca="1" si="262"/>
        <v>0</v>
      </c>
      <c r="AQ485" s="143">
        <f t="shared" ca="1" si="276"/>
        <v>0</v>
      </c>
      <c r="AR485" s="49" t="str">
        <f t="shared" ca="1" si="277"/>
        <v xml:space="preserve"> </v>
      </c>
      <c r="AS485" s="107">
        <f t="shared" ca="1" si="278"/>
        <v>0</v>
      </c>
      <c r="AT485" s="107">
        <f t="shared" ca="1" si="263"/>
        <v>0</v>
      </c>
      <c r="AU485" s="107"/>
      <c r="AV485" s="107">
        <f ca="1">MAX(SUM($AQ$6:AQ485)-SUM($AT$6:AT485),0)</f>
        <v>0</v>
      </c>
      <c r="AW485" s="107">
        <f t="shared" ca="1" si="269"/>
        <v>0</v>
      </c>
      <c r="AX485" s="107">
        <v>0</v>
      </c>
      <c r="AY485" s="138" t="str">
        <f t="shared" ca="1" si="279"/>
        <v xml:space="preserve"> </v>
      </c>
      <c r="AZ485" s="107">
        <f t="shared" ca="1" si="280"/>
        <v>0</v>
      </c>
      <c r="BA485" s="107">
        <f ca="1">IF(AZ485=1,(SUM($AW$6:AW485,$AX$6:AX485)-SUM($BA$6:BA484)),0)</f>
        <v>0</v>
      </c>
      <c r="BB485" s="107"/>
      <c r="BC485" s="107">
        <f ca="1">AV485+SUM($AW$6:AW485)+SUM($AX$6:AX485)-SUM($BA$6:BA485)</f>
        <v>0</v>
      </c>
      <c r="BD485" s="107">
        <f t="shared" ca="1" si="281"/>
        <v>0</v>
      </c>
      <c r="BE485" s="51">
        <f>'PiT PD Structure'!J525</f>
        <v>0</v>
      </c>
      <c r="BF485" s="139">
        <f t="shared" ca="1" si="270"/>
        <v>0.45</v>
      </c>
      <c r="BG485" s="51">
        <f t="shared" ca="1" si="282"/>
        <v>1</v>
      </c>
      <c r="BH485" s="50">
        <f t="shared" ca="1" si="283"/>
        <v>0</v>
      </c>
      <c r="BI485" s="50">
        <f t="shared" ca="1" si="284"/>
        <v>3.4816594052244909E-13</v>
      </c>
      <c r="BJ485" s="140">
        <v>0</v>
      </c>
      <c r="BK485" s="140">
        <v>0</v>
      </c>
      <c r="BR485" s="75">
        <f t="shared" ca="1" si="271"/>
        <v>58044</v>
      </c>
      <c r="BS485" s="74">
        <f t="shared" ca="1" si="243"/>
        <v>11</v>
      </c>
      <c r="BT485" s="74">
        <f t="shared" ca="1" si="265"/>
        <v>0</v>
      </c>
      <c r="BU485" s="73" t="str">
        <f t="shared" ca="1" si="244"/>
        <v xml:space="preserve"> </v>
      </c>
      <c r="BW485" s="75">
        <f t="shared" ca="1" si="245"/>
        <v>58044</v>
      </c>
      <c r="BX485" s="74">
        <f t="shared" ca="1" si="246"/>
        <v>11</v>
      </c>
      <c r="BY485" s="74">
        <f t="shared" ca="1" si="266"/>
        <v>0</v>
      </c>
      <c r="BZ485" s="73" t="str">
        <f t="shared" ca="1" si="247"/>
        <v xml:space="preserve"> </v>
      </c>
      <c r="CB485" s="75">
        <f t="shared" ca="1" si="272"/>
        <v>58044</v>
      </c>
      <c r="CC485" s="74">
        <f t="shared" ca="1" si="248"/>
        <v>11</v>
      </c>
      <c r="CD485" s="74">
        <f t="shared" ca="1" si="267"/>
        <v>0</v>
      </c>
      <c r="CE485" s="73" t="str">
        <f t="shared" ca="1" si="249"/>
        <v xml:space="preserve"> </v>
      </c>
    </row>
    <row r="486" spans="1:83" x14ac:dyDescent="0.2">
      <c r="A486" s="38" t="str">
        <f t="shared" si="273"/>
        <v xml:space="preserve"> </v>
      </c>
      <c r="B486" s="108"/>
      <c r="C486" s="38"/>
      <c r="D486" s="137"/>
      <c r="E486" s="137"/>
      <c r="F486" s="137"/>
      <c r="G486" s="122"/>
      <c r="H486" s="137"/>
      <c r="I486" s="50"/>
      <c r="J486" s="50"/>
      <c r="K486" s="50"/>
      <c r="L486" s="38"/>
      <c r="M486" s="38"/>
      <c r="N486" s="38"/>
      <c r="O486" s="50"/>
      <c r="P486" s="218"/>
      <c r="Q486" s="50"/>
      <c r="R486" s="50"/>
      <c r="S486" s="38"/>
      <c r="T486" s="51"/>
      <c r="U486" s="65"/>
      <c r="V486" s="105"/>
      <c r="W486" s="66"/>
      <c r="X486" s="66"/>
      <c r="Y486" s="38"/>
      <c r="Z486" s="66">
        <f t="shared" si="261"/>
        <v>0</v>
      </c>
      <c r="AA486" s="67"/>
      <c r="AC486" s="41" t="e">
        <f>VLOOKUP(A486,'Input Sheet'!$A$2:$B$232,2,0)</f>
        <v>#N/A</v>
      </c>
      <c r="AD486" s="70"/>
      <c r="AI486" s="68"/>
      <c r="AL486" s="107">
        <f t="shared" ca="1" si="274"/>
        <v>0</v>
      </c>
      <c r="AM486" s="49">
        <f t="shared" ca="1" si="268"/>
        <v>58075</v>
      </c>
      <c r="AN486" s="137" t="str">
        <f t="shared" ca="1" si="275"/>
        <v xml:space="preserve"> </v>
      </c>
      <c r="AO486" s="107">
        <f t="shared" ca="1" si="264"/>
        <v>0</v>
      </c>
      <c r="AP486" s="143">
        <f t="shared" ca="1" si="262"/>
        <v>0</v>
      </c>
      <c r="AQ486" s="143">
        <f t="shared" ca="1" si="276"/>
        <v>0</v>
      </c>
      <c r="AR486" s="49" t="str">
        <f t="shared" ca="1" si="277"/>
        <v xml:space="preserve"> </v>
      </c>
      <c r="AS486" s="107">
        <f t="shared" ca="1" si="278"/>
        <v>0</v>
      </c>
      <c r="AT486" s="107">
        <f t="shared" ca="1" si="263"/>
        <v>0</v>
      </c>
      <c r="AU486" s="107"/>
      <c r="AV486" s="107">
        <f ca="1">MAX(SUM($AQ$6:AQ486)-SUM($AT$6:AT486),0)</f>
        <v>0</v>
      </c>
      <c r="AW486" s="107">
        <f t="shared" ca="1" si="269"/>
        <v>0</v>
      </c>
      <c r="AX486" s="107">
        <v>0</v>
      </c>
      <c r="AY486" s="138" t="str">
        <f t="shared" ca="1" si="279"/>
        <v xml:space="preserve"> </v>
      </c>
      <c r="AZ486" s="107">
        <f t="shared" ca="1" si="280"/>
        <v>0</v>
      </c>
      <c r="BA486" s="107">
        <f ca="1">IF(AZ486=1,(SUM($AW$6:AW486,$AX$6:AX486)-SUM($BA$6:BA485)),0)</f>
        <v>0</v>
      </c>
      <c r="BB486" s="107"/>
      <c r="BC486" s="107">
        <f ca="1">AV486+SUM($AW$6:AW486)+SUM($AX$6:AX486)-SUM($BA$6:BA486)</f>
        <v>0</v>
      </c>
      <c r="BD486" s="107">
        <f t="shared" ca="1" si="281"/>
        <v>0</v>
      </c>
      <c r="BE486" s="51">
        <f>'PiT PD Structure'!J526</f>
        <v>0</v>
      </c>
      <c r="BF486" s="139">
        <f t="shared" ca="1" si="270"/>
        <v>0.45</v>
      </c>
      <c r="BG486" s="51">
        <f t="shared" ca="1" si="282"/>
        <v>1</v>
      </c>
      <c r="BH486" s="50">
        <f t="shared" ca="1" si="283"/>
        <v>0</v>
      </c>
      <c r="BI486" s="50">
        <f t="shared" ca="1" si="284"/>
        <v>3.4816594052244909E-13</v>
      </c>
      <c r="BJ486" s="140">
        <v>0</v>
      </c>
      <c r="BK486" s="140">
        <v>0</v>
      </c>
      <c r="BR486" s="75">
        <f t="shared" ca="1" si="271"/>
        <v>58075</v>
      </c>
      <c r="BS486" s="74">
        <f t="shared" ref="BS486:BS510" ca="1" si="285">MONTH(BR486)</f>
        <v>12</v>
      </c>
      <c r="BT486" s="74">
        <f t="shared" ca="1" si="265"/>
        <v>0</v>
      </c>
      <c r="BU486" s="73" t="str">
        <f t="shared" ref="BU486:BU510" ca="1" si="286">IF(BT486=1,BR486," ")</f>
        <v xml:space="preserve"> </v>
      </c>
      <c r="BW486" s="75">
        <f t="shared" ref="BW486:BW510" ca="1" si="287">EOMONTH(BR485,1)</f>
        <v>58075</v>
      </c>
      <c r="BX486" s="74">
        <f t="shared" ref="BX486:BX510" ca="1" si="288">MONTH(BR486)</f>
        <v>12</v>
      </c>
      <c r="BY486" s="74">
        <f t="shared" ca="1" si="266"/>
        <v>0</v>
      </c>
      <c r="BZ486" s="73" t="str">
        <f t="shared" ref="BZ486:BZ510" ca="1" si="289">IF(BY486=1,BW486," ")</f>
        <v xml:space="preserve"> </v>
      </c>
      <c r="CB486" s="75">
        <f t="shared" ca="1" si="272"/>
        <v>58075</v>
      </c>
      <c r="CC486" s="74">
        <f t="shared" ref="CC486:CC510" ca="1" si="290">MONTH(CB486)</f>
        <v>12</v>
      </c>
      <c r="CD486" s="74">
        <f t="shared" ca="1" si="267"/>
        <v>0</v>
      </c>
      <c r="CE486" s="73" t="str">
        <f t="shared" ref="CE486:CE510" ca="1" si="291">IF(CD486=1,CB486," ")</f>
        <v xml:space="preserve"> </v>
      </c>
    </row>
    <row r="487" spans="1:83" x14ac:dyDescent="0.2">
      <c r="A487" s="38" t="str">
        <f t="shared" si="273"/>
        <v xml:space="preserve"> </v>
      </c>
      <c r="B487" s="108"/>
      <c r="C487" s="38"/>
      <c r="D487" s="137"/>
      <c r="E487" s="137"/>
      <c r="F487" s="137"/>
      <c r="G487" s="122"/>
      <c r="H487" s="137"/>
      <c r="I487" s="50"/>
      <c r="J487" s="50"/>
      <c r="K487" s="50"/>
      <c r="L487" s="38"/>
      <c r="M487" s="38"/>
      <c r="N487" s="38"/>
      <c r="O487" s="50"/>
      <c r="P487" s="218"/>
      <c r="Q487" s="50"/>
      <c r="R487" s="50"/>
      <c r="S487" s="38"/>
      <c r="T487" s="51"/>
      <c r="U487" s="65"/>
      <c r="V487" s="105"/>
      <c r="W487" s="66"/>
      <c r="X487" s="66"/>
      <c r="Y487" s="38"/>
      <c r="Z487" s="66">
        <f t="shared" si="261"/>
        <v>0</v>
      </c>
      <c r="AA487" s="67"/>
      <c r="AC487" s="41" t="e">
        <f>VLOOKUP(A487,'Input Sheet'!$A$2:$B$232,2,0)</f>
        <v>#N/A</v>
      </c>
      <c r="AD487" s="70"/>
      <c r="AI487" s="68"/>
      <c r="AL487" s="107">
        <f t="shared" ca="1" si="274"/>
        <v>0</v>
      </c>
      <c r="AM487" s="49">
        <f t="shared" ca="1" si="268"/>
        <v>58106</v>
      </c>
      <c r="AN487" s="137" t="str">
        <f t="shared" ca="1" si="275"/>
        <v xml:space="preserve"> </v>
      </c>
      <c r="AO487" s="107">
        <f t="shared" ca="1" si="264"/>
        <v>0</v>
      </c>
      <c r="AP487" s="143">
        <f t="shared" ca="1" si="262"/>
        <v>0</v>
      </c>
      <c r="AQ487" s="143">
        <f t="shared" ca="1" si="276"/>
        <v>0</v>
      </c>
      <c r="AR487" s="49" t="str">
        <f t="shared" ca="1" si="277"/>
        <v xml:space="preserve"> </v>
      </c>
      <c r="AS487" s="107">
        <f t="shared" ca="1" si="278"/>
        <v>0</v>
      </c>
      <c r="AT487" s="107">
        <f t="shared" ca="1" si="263"/>
        <v>0</v>
      </c>
      <c r="AU487" s="107"/>
      <c r="AV487" s="107">
        <f ca="1">MAX(SUM($AQ$6:AQ487)-SUM($AT$6:AT487),0)</f>
        <v>0</v>
      </c>
      <c r="AW487" s="107">
        <f t="shared" ca="1" si="269"/>
        <v>0</v>
      </c>
      <c r="AX487" s="107">
        <v>0</v>
      </c>
      <c r="AY487" s="138" t="str">
        <f t="shared" ca="1" si="279"/>
        <v xml:space="preserve"> </v>
      </c>
      <c r="AZ487" s="107">
        <f t="shared" ca="1" si="280"/>
        <v>0</v>
      </c>
      <c r="BA487" s="107">
        <f ca="1">IF(AZ487=1,(SUM($AW$6:AW487,$AX$6:AX487)-SUM($BA$6:BA486)),0)</f>
        <v>0</v>
      </c>
      <c r="BB487" s="107"/>
      <c r="BC487" s="107">
        <f ca="1">AV487+SUM($AW$6:AW487)+SUM($AX$6:AX487)-SUM($BA$6:BA487)</f>
        <v>0</v>
      </c>
      <c r="BD487" s="107">
        <f t="shared" ca="1" si="281"/>
        <v>0</v>
      </c>
      <c r="BE487" s="51">
        <f>'PiT PD Structure'!J527</f>
        <v>0</v>
      </c>
      <c r="BF487" s="139">
        <f t="shared" ca="1" si="270"/>
        <v>0.45</v>
      </c>
      <c r="BG487" s="51">
        <f t="shared" ca="1" si="282"/>
        <v>1</v>
      </c>
      <c r="BH487" s="50">
        <f t="shared" ca="1" si="283"/>
        <v>0</v>
      </c>
      <c r="BI487" s="50">
        <f t="shared" ca="1" si="284"/>
        <v>3.4816594052244909E-13</v>
      </c>
      <c r="BJ487" s="140">
        <v>0</v>
      </c>
      <c r="BK487" s="140">
        <v>0</v>
      </c>
      <c r="BR487" s="75">
        <f t="shared" ca="1" si="271"/>
        <v>58106</v>
      </c>
      <c r="BS487" s="74">
        <f t="shared" ca="1" si="285"/>
        <v>1</v>
      </c>
      <c r="BT487" s="74">
        <f t="shared" ca="1" si="265"/>
        <v>0</v>
      </c>
      <c r="BU487" s="73" t="str">
        <f t="shared" ca="1" si="286"/>
        <v xml:space="preserve"> </v>
      </c>
      <c r="BW487" s="75">
        <f t="shared" ca="1" si="287"/>
        <v>58106</v>
      </c>
      <c r="BX487" s="74">
        <f t="shared" ca="1" si="288"/>
        <v>1</v>
      </c>
      <c r="BY487" s="74">
        <f t="shared" ca="1" si="266"/>
        <v>0</v>
      </c>
      <c r="BZ487" s="73" t="str">
        <f t="shared" ca="1" si="289"/>
        <v xml:space="preserve"> </v>
      </c>
      <c r="CB487" s="75">
        <f t="shared" ca="1" si="272"/>
        <v>58106</v>
      </c>
      <c r="CC487" s="74">
        <f t="shared" ca="1" si="290"/>
        <v>1</v>
      </c>
      <c r="CD487" s="74">
        <f t="shared" ca="1" si="267"/>
        <v>0</v>
      </c>
      <c r="CE487" s="73" t="str">
        <f t="shared" ca="1" si="291"/>
        <v xml:space="preserve"> </v>
      </c>
    </row>
    <row r="488" spans="1:83" x14ac:dyDescent="0.2">
      <c r="A488" s="38" t="str">
        <f t="shared" si="273"/>
        <v xml:space="preserve"> </v>
      </c>
      <c r="B488" s="108"/>
      <c r="C488" s="38"/>
      <c r="D488" s="137"/>
      <c r="E488" s="137"/>
      <c r="F488" s="137"/>
      <c r="G488" s="122"/>
      <c r="H488" s="137"/>
      <c r="I488" s="50"/>
      <c r="J488" s="50"/>
      <c r="K488" s="50"/>
      <c r="L488" s="38"/>
      <c r="M488" s="38"/>
      <c r="N488" s="38"/>
      <c r="O488" s="50"/>
      <c r="P488" s="218"/>
      <c r="Q488" s="50"/>
      <c r="R488" s="50"/>
      <c r="S488" s="38"/>
      <c r="T488" s="51"/>
      <c r="U488" s="65"/>
      <c r="V488" s="105"/>
      <c r="W488" s="66"/>
      <c r="X488" s="66"/>
      <c r="Y488" s="38"/>
      <c r="Z488" s="66">
        <f t="shared" si="261"/>
        <v>0</v>
      </c>
      <c r="AA488" s="67"/>
      <c r="AC488" s="41" t="e">
        <f>VLOOKUP(A488,'Input Sheet'!$A$2:$B$232,2,0)</f>
        <v>#N/A</v>
      </c>
      <c r="AD488" s="70"/>
      <c r="AI488" s="68"/>
      <c r="AL488" s="107">
        <f t="shared" ca="1" si="274"/>
        <v>0</v>
      </c>
      <c r="AM488" s="49">
        <f t="shared" ca="1" si="268"/>
        <v>58134</v>
      </c>
      <c r="AN488" s="137" t="str">
        <f t="shared" ca="1" si="275"/>
        <v xml:space="preserve"> </v>
      </c>
      <c r="AO488" s="107">
        <f t="shared" ca="1" si="264"/>
        <v>0</v>
      </c>
      <c r="AP488" s="143">
        <f t="shared" ca="1" si="262"/>
        <v>0</v>
      </c>
      <c r="AQ488" s="143">
        <f t="shared" ca="1" si="276"/>
        <v>0</v>
      </c>
      <c r="AR488" s="49" t="str">
        <f t="shared" ca="1" si="277"/>
        <v xml:space="preserve"> </v>
      </c>
      <c r="AS488" s="107">
        <f t="shared" ca="1" si="278"/>
        <v>0</v>
      </c>
      <c r="AT488" s="107">
        <f t="shared" ca="1" si="263"/>
        <v>0</v>
      </c>
      <c r="AU488" s="107"/>
      <c r="AV488" s="107">
        <f ca="1">MAX(SUM($AQ$6:AQ488)-SUM($AT$6:AT488),0)</f>
        <v>0</v>
      </c>
      <c r="AW488" s="107">
        <f t="shared" ca="1" si="269"/>
        <v>0</v>
      </c>
      <c r="AX488" s="107">
        <v>0</v>
      </c>
      <c r="AY488" s="138" t="str">
        <f t="shared" ca="1" si="279"/>
        <v xml:space="preserve"> </v>
      </c>
      <c r="AZ488" s="107">
        <f t="shared" ca="1" si="280"/>
        <v>0</v>
      </c>
      <c r="BA488" s="107">
        <f ca="1">IF(AZ488=1,(SUM($AW$6:AW488,$AX$6:AX488)-SUM($BA$6:BA487)),0)</f>
        <v>0</v>
      </c>
      <c r="BB488" s="107"/>
      <c r="BC488" s="107">
        <f ca="1">AV488+SUM($AW$6:AW488)+SUM($AX$6:AX488)-SUM($BA$6:BA488)</f>
        <v>0</v>
      </c>
      <c r="BD488" s="107">
        <f t="shared" ca="1" si="281"/>
        <v>0</v>
      </c>
      <c r="BE488" s="51">
        <f>'PiT PD Structure'!J528</f>
        <v>0</v>
      </c>
      <c r="BF488" s="139">
        <f t="shared" ca="1" si="270"/>
        <v>0.45</v>
      </c>
      <c r="BG488" s="51">
        <f t="shared" ca="1" si="282"/>
        <v>1</v>
      </c>
      <c r="BH488" s="50">
        <f t="shared" ca="1" si="283"/>
        <v>0</v>
      </c>
      <c r="BI488" s="50">
        <f t="shared" ca="1" si="284"/>
        <v>3.4816594052244909E-13</v>
      </c>
      <c r="BJ488" s="140">
        <v>0</v>
      </c>
      <c r="BK488" s="140">
        <v>0</v>
      </c>
      <c r="BR488" s="75">
        <f t="shared" ca="1" si="271"/>
        <v>58134</v>
      </c>
      <c r="BS488" s="74">
        <f t="shared" ca="1" si="285"/>
        <v>2</v>
      </c>
      <c r="BT488" s="74">
        <f t="shared" ca="1" si="265"/>
        <v>0</v>
      </c>
      <c r="BU488" s="73" t="str">
        <f t="shared" ca="1" si="286"/>
        <v xml:space="preserve"> </v>
      </c>
      <c r="BW488" s="75">
        <f t="shared" ca="1" si="287"/>
        <v>58134</v>
      </c>
      <c r="BX488" s="74">
        <f t="shared" ca="1" si="288"/>
        <v>2</v>
      </c>
      <c r="BY488" s="74">
        <f t="shared" ca="1" si="266"/>
        <v>0</v>
      </c>
      <c r="BZ488" s="73" t="str">
        <f t="shared" ca="1" si="289"/>
        <v xml:space="preserve"> </v>
      </c>
      <c r="CB488" s="75">
        <f t="shared" ca="1" si="272"/>
        <v>58134</v>
      </c>
      <c r="CC488" s="74">
        <f t="shared" ca="1" si="290"/>
        <v>2</v>
      </c>
      <c r="CD488" s="74">
        <f t="shared" ca="1" si="267"/>
        <v>0</v>
      </c>
      <c r="CE488" s="73" t="str">
        <f t="shared" ca="1" si="291"/>
        <v xml:space="preserve"> </v>
      </c>
    </row>
    <row r="489" spans="1:83" x14ac:dyDescent="0.2">
      <c r="A489" s="38" t="str">
        <f t="shared" si="273"/>
        <v xml:space="preserve"> </v>
      </c>
      <c r="B489" s="108"/>
      <c r="C489" s="38"/>
      <c r="D489" s="137"/>
      <c r="E489" s="137"/>
      <c r="F489" s="137"/>
      <c r="G489" s="122"/>
      <c r="H489" s="137"/>
      <c r="I489" s="50"/>
      <c r="J489" s="50"/>
      <c r="K489" s="50"/>
      <c r="L489" s="38"/>
      <c r="M489" s="38"/>
      <c r="N489" s="38"/>
      <c r="O489" s="50"/>
      <c r="P489" s="218"/>
      <c r="Q489" s="50"/>
      <c r="R489" s="50"/>
      <c r="S489" s="38"/>
      <c r="T489" s="51"/>
      <c r="U489" s="65"/>
      <c r="V489" s="105"/>
      <c r="W489" s="66"/>
      <c r="X489" s="66"/>
      <c r="Y489" s="38"/>
      <c r="Z489" s="66">
        <f t="shared" si="261"/>
        <v>0</v>
      </c>
      <c r="AA489" s="67"/>
      <c r="AC489" s="41" t="e">
        <f>VLOOKUP(A489,'Input Sheet'!$A$2:$B$232,2,0)</f>
        <v>#N/A</v>
      </c>
      <c r="AD489" s="70"/>
      <c r="AI489" s="68"/>
      <c r="AL489" s="107">
        <f t="shared" ca="1" si="274"/>
        <v>0</v>
      </c>
      <c r="AM489" s="49">
        <f t="shared" ca="1" si="268"/>
        <v>58165</v>
      </c>
      <c r="AN489" s="137" t="str">
        <f t="shared" ca="1" si="275"/>
        <v xml:space="preserve"> </v>
      </c>
      <c r="AO489" s="107">
        <f t="shared" ca="1" si="264"/>
        <v>0</v>
      </c>
      <c r="AP489" s="143">
        <f t="shared" ca="1" si="262"/>
        <v>0</v>
      </c>
      <c r="AQ489" s="143">
        <f t="shared" ca="1" si="276"/>
        <v>0</v>
      </c>
      <c r="AR489" s="49" t="str">
        <f t="shared" ca="1" si="277"/>
        <v xml:space="preserve"> </v>
      </c>
      <c r="AS489" s="107">
        <f t="shared" ca="1" si="278"/>
        <v>0</v>
      </c>
      <c r="AT489" s="107">
        <f t="shared" ca="1" si="263"/>
        <v>0</v>
      </c>
      <c r="AU489" s="107"/>
      <c r="AV489" s="107">
        <f ca="1">MAX(SUM($AQ$6:AQ489)-SUM($AT$6:AT489),0)</f>
        <v>0</v>
      </c>
      <c r="AW489" s="107">
        <f t="shared" ca="1" si="269"/>
        <v>0</v>
      </c>
      <c r="AX489" s="107">
        <v>0</v>
      </c>
      <c r="AY489" s="138" t="str">
        <f t="shared" ca="1" si="279"/>
        <v xml:space="preserve"> </v>
      </c>
      <c r="AZ489" s="107">
        <f t="shared" ca="1" si="280"/>
        <v>0</v>
      </c>
      <c r="BA489" s="107">
        <f ca="1">IF(AZ489=1,(SUM($AW$6:AW489,$AX$6:AX489)-SUM($BA$6:BA488)),0)</f>
        <v>0</v>
      </c>
      <c r="BB489" s="107"/>
      <c r="BC489" s="107">
        <f ca="1">AV489+SUM($AW$6:AW489)+SUM($AX$6:AX489)-SUM($BA$6:BA489)</f>
        <v>0</v>
      </c>
      <c r="BD489" s="107">
        <f t="shared" ca="1" si="281"/>
        <v>0</v>
      </c>
      <c r="BE489" s="51">
        <f>'PiT PD Structure'!J529</f>
        <v>0</v>
      </c>
      <c r="BF489" s="139">
        <f t="shared" ca="1" si="270"/>
        <v>0.45</v>
      </c>
      <c r="BG489" s="51">
        <f t="shared" ca="1" si="282"/>
        <v>1</v>
      </c>
      <c r="BH489" s="50">
        <f t="shared" ca="1" si="283"/>
        <v>0</v>
      </c>
      <c r="BI489" s="50">
        <f t="shared" ca="1" si="284"/>
        <v>3.4816594052244909E-13</v>
      </c>
      <c r="BJ489" s="140">
        <v>0</v>
      </c>
      <c r="BK489" s="140">
        <v>0</v>
      </c>
      <c r="BR489" s="75">
        <f t="shared" ca="1" si="271"/>
        <v>58165</v>
      </c>
      <c r="BS489" s="74">
        <f t="shared" ca="1" si="285"/>
        <v>3</v>
      </c>
      <c r="BT489" s="74">
        <f t="shared" ca="1" si="265"/>
        <v>0</v>
      </c>
      <c r="BU489" s="73" t="str">
        <f t="shared" ca="1" si="286"/>
        <v xml:space="preserve"> </v>
      </c>
      <c r="BW489" s="75">
        <f t="shared" ca="1" si="287"/>
        <v>58165</v>
      </c>
      <c r="BX489" s="74">
        <f t="shared" ca="1" si="288"/>
        <v>3</v>
      </c>
      <c r="BY489" s="74">
        <f t="shared" ca="1" si="266"/>
        <v>0</v>
      </c>
      <c r="BZ489" s="73" t="str">
        <f t="shared" ca="1" si="289"/>
        <v xml:space="preserve"> </v>
      </c>
      <c r="CB489" s="75">
        <f t="shared" ca="1" si="272"/>
        <v>58165</v>
      </c>
      <c r="CC489" s="74">
        <f t="shared" ca="1" si="290"/>
        <v>3</v>
      </c>
      <c r="CD489" s="74">
        <f t="shared" ca="1" si="267"/>
        <v>0</v>
      </c>
      <c r="CE489" s="73" t="str">
        <f t="shared" ca="1" si="291"/>
        <v xml:space="preserve"> </v>
      </c>
    </row>
    <row r="490" spans="1:83" x14ac:dyDescent="0.2">
      <c r="A490" s="38" t="str">
        <f t="shared" si="273"/>
        <v xml:space="preserve"> </v>
      </c>
      <c r="B490" s="108"/>
      <c r="C490" s="38"/>
      <c r="D490" s="137"/>
      <c r="E490" s="137"/>
      <c r="F490" s="137"/>
      <c r="G490" s="122"/>
      <c r="H490" s="137"/>
      <c r="I490" s="50"/>
      <c r="J490" s="50"/>
      <c r="K490" s="50"/>
      <c r="L490" s="38"/>
      <c r="M490" s="38"/>
      <c r="N490" s="38"/>
      <c r="O490" s="50"/>
      <c r="P490" s="218"/>
      <c r="Q490" s="50"/>
      <c r="R490" s="50"/>
      <c r="S490" s="38"/>
      <c r="T490" s="51"/>
      <c r="U490" s="65"/>
      <c r="V490" s="105"/>
      <c r="W490" s="66"/>
      <c r="X490" s="66"/>
      <c r="Y490" s="38"/>
      <c r="Z490" s="66">
        <f t="shared" si="261"/>
        <v>0</v>
      </c>
      <c r="AA490" s="67"/>
      <c r="AC490" s="41" t="e">
        <f>VLOOKUP(A490,'Input Sheet'!$A$2:$B$232,2,0)</f>
        <v>#N/A</v>
      </c>
      <c r="AD490" s="70"/>
      <c r="AI490" s="68"/>
      <c r="AL490" s="107">
        <f t="shared" ca="1" si="274"/>
        <v>0</v>
      </c>
      <c r="AM490" s="49">
        <f t="shared" ca="1" si="268"/>
        <v>58195</v>
      </c>
      <c r="AN490" s="137" t="str">
        <f t="shared" ca="1" si="275"/>
        <v xml:space="preserve"> </v>
      </c>
      <c r="AO490" s="107">
        <f t="shared" ca="1" si="264"/>
        <v>0</v>
      </c>
      <c r="AP490" s="143">
        <f t="shared" ca="1" si="262"/>
        <v>0</v>
      </c>
      <c r="AQ490" s="143">
        <f t="shared" ca="1" si="276"/>
        <v>0</v>
      </c>
      <c r="AR490" s="49" t="str">
        <f t="shared" ca="1" si="277"/>
        <v xml:space="preserve"> </v>
      </c>
      <c r="AS490" s="107">
        <f t="shared" ca="1" si="278"/>
        <v>0</v>
      </c>
      <c r="AT490" s="107">
        <f t="shared" ca="1" si="263"/>
        <v>0</v>
      </c>
      <c r="AU490" s="107"/>
      <c r="AV490" s="107">
        <f ca="1">MAX(SUM($AQ$6:AQ490)-SUM($AT$6:AT490),0)</f>
        <v>0</v>
      </c>
      <c r="AW490" s="107">
        <f t="shared" ca="1" si="269"/>
        <v>0</v>
      </c>
      <c r="AX490" s="107">
        <v>0</v>
      </c>
      <c r="AY490" s="138" t="str">
        <f t="shared" ca="1" si="279"/>
        <v xml:space="preserve"> </v>
      </c>
      <c r="AZ490" s="107">
        <f t="shared" ca="1" si="280"/>
        <v>0</v>
      </c>
      <c r="BA490" s="107">
        <f ca="1">IF(AZ490=1,(SUM($AW$6:AW490,$AX$6:AX490)-SUM($BA$6:BA489)),0)</f>
        <v>0</v>
      </c>
      <c r="BB490" s="107"/>
      <c r="BC490" s="107">
        <f ca="1">AV490+SUM($AW$6:AW490)+SUM($AX$6:AX490)-SUM($BA$6:BA490)</f>
        <v>0</v>
      </c>
      <c r="BD490" s="107">
        <f t="shared" ca="1" si="281"/>
        <v>0</v>
      </c>
      <c r="BE490" s="51">
        <f>'PiT PD Structure'!J530</f>
        <v>0</v>
      </c>
      <c r="BF490" s="139">
        <f t="shared" ca="1" si="270"/>
        <v>0.45</v>
      </c>
      <c r="BG490" s="51">
        <f t="shared" ca="1" si="282"/>
        <v>1</v>
      </c>
      <c r="BH490" s="50">
        <f t="shared" ca="1" si="283"/>
        <v>0</v>
      </c>
      <c r="BI490" s="50">
        <f t="shared" ca="1" si="284"/>
        <v>3.4816594052244909E-13</v>
      </c>
      <c r="BJ490" s="140">
        <v>0</v>
      </c>
      <c r="BK490" s="140">
        <v>0</v>
      </c>
      <c r="BR490" s="75">
        <f t="shared" ca="1" si="271"/>
        <v>58195</v>
      </c>
      <c r="BS490" s="74">
        <f t="shared" ca="1" si="285"/>
        <v>4</v>
      </c>
      <c r="BT490" s="74">
        <f t="shared" ca="1" si="265"/>
        <v>0</v>
      </c>
      <c r="BU490" s="73" t="str">
        <f t="shared" ca="1" si="286"/>
        <v xml:space="preserve"> </v>
      </c>
      <c r="BW490" s="75">
        <f t="shared" ca="1" si="287"/>
        <v>58195</v>
      </c>
      <c r="BX490" s="74">
        <f t="shared" ca="1" si="288"/>
        <v>4</v>
      </c>
      <c r="BY490" s="74">
        <f t="shared" ca="1" si="266"/>
        <v>0</v>
      </c>
      <c r="BZ490" s="73" t="str">
        <f t="shared" ca="1" si="289"/>
        <v xml:space="preserve"> </v>
      </c>
      <c r="CB490" s="75">
        <f t="shared" ca="1" si="272"/>
        <v>58195</v>
      </c>
      <c r="CC490" s="74">
        <f t="shared" ca="1" si="290"/>
        <v>4</v>
      </c>
      <c r="CD490" s="74">
        <f t="shared" ca="1" si="267"/>
        <v>0</v>
      </c>
      <c r="CE490" s="73" t="str">
        <f t="shared" ca="1" si="291"/>
        <v xml:space="preserve"> </v>
      </c>
    </row>
    <row r="491" spans="1:83" x14ac:dyDescent="0.2">
      <c r="A491" s="38" t="str">
        <f t="shared" si="273"/>
        <v xml:space="preserve"> </v>
      </c>
      <c r="B491" s="108"/>
      <c r="C491" s="38"/>
      <c r="D491" s="137"/>
      <c r="E491" s="137"/>
      <c r="F491" s="137"/>
      <c r="G491" s="122"/>
      <c r="H491" s="137"/>
      <c r="I491" s="50"/>
      <c r="J491" s="50"/>
      <c r="K491" s="50"/>
      <c r="L491" s="38"/>
      <c r="M491" s="38"/>
      <c r="N491" s="38"/>
      <c r="O491" s="50"/>
      <c r="P491" s="218"/>
      <c r="Q491" s="50"/>
      <c r="R491" s="50"/>
      <c r="S491" s="38"/>
      <c r="T491" s="51"/>
      <c r="U491" s="65"/>
      <c r="V491" s="105"/>
      <c r="W491" s="66"/>
      <c r="X491" s="66"/>
      <c r="Y491" s="38"/>
      <c r="Z491" s="66">
        <f t="shared" si="261"/>
        <v>0</v>
      </c>
      <c r="AA491" s="67"/>
      <c r="AC491" s="41" t="e">
        <f>VLOOKUP(A491,'Input Sheet'!$A$2:$B$232,2,0)</f>
        <v>#N/A</v>
      </c>
      <c r="AD491" s="70"/>
      <c r="AI491" s="68"/>
      <c r="AL491" s="107">
        <f t="shared" ca="1" si="274"/>
        <v>0</v>
      </c>
      <c r="AM491" s="49">
        <f t="shared" ca="1" si="268"/>
        <v>58226</v>
      </c>
      <c r="AN491" s="137" t="str">
        <f t="shared" ca="1" si="275"/>
        <v xml:space="preserve"> </v>
      </c>
      <c r="AO491" s="107">
        <f t="shared" ca="1" si="264"/>
        <v>0</v>
      </c>
      <c r="AP491" s="143">
        <f t="shared" ca="1" si="262"/>
        <v>0</v>
      </c>
      <c r="AQ491" s="143">
        <f t="shared" ca="1" si="276"/>
        <v>0</v>
      </c>
      <c r="AR491" s="49" t="str">
        <f t="shared" ca="1" si="277"/>
        <v xml:space="preserve"> </v>
      </c>
      <c r="AS491" s="107">
        <f t="shared" ca="1" si="278"/>
        <v>0</v>
      </c>
      <c r="AT491" s="107">
        <f t="shared" ca="1" si="263"/>
        <v>0</v>
      </c>
      <c r="AU491" s="107"/>
      <c r="AV491" s="107">
        <f ca="1">MAX(SUM($AQ$6:AQ491)-SUM($AT$6:AT491),0)</f>
        <v>0</v>
      </c>
      <c r="AW491" s="107">
        <f t="shared" ca="1" si="269"/>
        <v>0</v>
      </c>
      <c r="AX491" s="107">
        <v>0</v>
      </c>
      <c r="AY491" s="138" t="str">
        <f t="shared" ca="1" si="279"/>
        <v xml:space="preserve"> </v>
      </c>
      <c r="AZ491" s="107">
        <f t="shared" ca="1" si="280"/>
        <v>0</v>
      </c>
      <c r="BA491" s="107">
        <f ca="1">IF(AZ491=1,(SUM($AW$6:AW491,$AX$6:AX491)-SUM($BA$6:BA490)),0)</f>
        <v>0</v>
      </c>
      <c r="BB491" s="107"/>
      <c r="BC491" s="107">
        <f ca="1">AV491+SUM($AW$6:AW491)+SUM($AX$6:AX491)-SUM($BA$6:BA491)</f>
        <v>0</v>
      </c>
      <c r="BD491" s="107">
        <f t="shared" ca="1" si="281"/>
        <v>0</v>
      </c>
      <c r="BE491" s="51">
        <f>'PiT PD Structure'!J531</f>
        <v>0</v>
      </c>
      <c r="BF491" s="139">
        <f t="shared" ca="1" si="270"/>
        <v>0.45</v>
      </c>
      <c r="BG491" s="51">
        <f t="shared" ca="1" si="282"/>
        <v>1</v>
      </c>
      <c r="BH491" s="50">
        <f t="shared" ca="1" si="283"/>
        <v>0</v>
      </c>
      <c r="BI491" s="50">
        <f t="shared" ca="1" si="284"/>
        <v>3.4816594052244909E-13</v>
      </c>
      <c r="BJ491" s="140">
        <v>0</v>
      </c>
      <c r="BK491" s="140">
        <v>0</v>
      </c>
      <c r="BR491" s="75">
        <f t="shared" ca="1" si="271"/>
        <v>58226</v>
      </c>
      <c r="BS491" s="74">
        <f t="shared" ca="1" si="285"/>
        <v>5</v>
      </c>
      <c r="BT491" s="74">
        <f t="shared" ca="1" si="265"/>
        <v>0</v>
      </c>
      <c r="BU491" s="73" t="str">
        <f t="shared" ca="1" si="286"/>
        <v xml:space="preserve"> </v>
      </c>
      <c r="BW491" s="75">
        <f t="shared" ca="1" si="287"/>
        <v>58226</v>
      </c>
      <c r="BX491" s="74">
        <f t="shared" ca="1" si="288"/>
        <v>5</v>
      </c>
      <c r="BY491" s="74">
        <f t="shared" ca="1" si="266"/>
        <v>0</v>
      </c>
      <c r="BZ491" s="73" t="str">
        <f t="shared" ca="1" si="289"/>
        <v xml:space="preserve"> </v>
      </c>
      <c r="CB491" s="75">
        <f t="shared" ca="1" si="272"/>
        <v>58226</v>
      </c>
      <c r="CC491" s="74">
        <f t="shared" ca="1" si="290"/>
        <v>5</v>
      </c>
      <c r="CD491" s="74">
        <f t="shared" ca="1" si="267"/>
        <v>0</v>
      </c>
      <c r="CE491" s="73" t="str">
        <f t="shared" ca="1" si="291"/>
        <v xml:space="preserve"> </v>
      </c>
    </row>
    <row r="492" spans="1:83" x14ac:dyDescent="0.2">
      <c r="A492" s="38" t="str">
        <f t="shared" si="273"/>
        <v xml:space="preserve"> </v>
      </c>
      <c r="B492" s="108"/>
      <c r="C492" s="38"/>
      <c r="D492" s="137"/>
      <c r="E492" s="137"/>
      <c r="F492" s="137"/>
      <c r="G492" s="122"/>
      <c r="H492" s="137"/>
      <c r="I492" s="50"/>
      <c r="J492" s="50"/>
      <c r="K492" s="50"/>
      <c r="L492" s="38"/>
      <c r="M492" s="38"/>
      <c r="N492" s="38"/>
      <c r="O492" s="50"/>
      <c r="P492" s="218"/>
      <c r="Q492" s="50"/>
      <c r="R492" s="50"/>
      <c r="S492" s="38"/>
      <c r="T492" s="51"/>
      <c r="U492" s="65"/>
      <c r="V492" s="105"/>
      <c r="W492" s="66"/>
      <c r="X492" s="66"/>
      <c r="Y492" s="38"/>
      <c r="Z492" s="66">
        <f t="shared" si="261"/>
        <v>0</v>
      </c>
      <c r="AA492" s="67"/>
      <c r="AC492" s="41" t="e">
        <f>VLOOKUP(A492,'Input Sheet'!$A$2:$B$232,2,0)</f>
        <v>#N/A</v>
      </c>
      <c r="AD492" s="70"/>
      <c r="AI492" s="68"/>
      <c r="AL492" s="107">
        <f t="shared" ca="1" si="274"/>
        <v>0</v>
      </c>
      <c r="AM492" s="49">
        <f t="shared" ca="1" si="268"/>
        <v>58256</v>
      </c>
      <c r="AN492" s="137" t="str">
        <f t="shared" ca="1" si="275"/>
        <v xml:space="preserve"> </v>
      </c>
      <c r="AO492" s="107">
        <f t="shared" ca="1" si="264"/>
        <v>0</v>
      </c>
      <c r="AP492" s="143">
        <f t="shared" ca="1" si="262"/>
        <v>0</v>
      </c>
      <c r="AQ492" s="143">
        <f t="shared" ca="1" si="276"/>
        <v>0</v>
      </c>
      <c r="AR492" s="49" t="str">
        <f t="shared" ca="1" si="277"/>
        <v xml:space="preserve"> </v>
      </c>
      <c r="AS492" s="107">
        <f t="shared" ca="1" si="278"/>
        <v>0</v>
      </c>
      <c r="AT492" s="107">
        <f t="shared" ca="1" si="263"/>
        <v>0</v>
      </c>
      <c r="AU492" s="107"/>
      <c r="AV492" s="107">
        <f ca="1">MAX(SUM($AQ$6:AQ492)-SUM($AT$6:AT492),0)</f>
        <v>0</v>
      </c>
      <c r="AW492" s="107">
        <f t="shared" ca="1" si="269"/>
        <v>0</v>
      </c>
      <c r="AX492" s="107">
        <v>0</v>
      </c>
      <c r="AY492" s="138" t="str">
        <f t="shared" ca="1" si="279"/>
        <v xml:space="preserve"> </v>
      </c>
      <c r="AZ492" s="107">
        <f t="shared" ca="1" si="280"/>
        <v>0</v>
      </c>
      <c r="BA492" s="107">
        <f ca="1">IF(AZ492=1,(SUM($AW$6:AW492,$AX$6:AX492)-SUM($BA$6:BA491)),0)</f>
        <v>0</v>
      </c>
      <c r="BB492" s="107"/>
      <c r="BC492" s="107">
        <f ca="1">AV492+SUM($AW$6:AW492)+SUM($AX$6:AX492)-SUM($BA$6:BA492)</f>
        <v>0</v>
      </c>
      <c r="BD492" s="107">
        <f t="shared" ca="1" si="281"/>
        <v>0</v>
      </c>
      <c r="BE492" s="51">
        <f>'PiT PD Structure'!J532</f>
        <v>0</v>
      </c>
      <c r="BF492" s="139">
        <f t="shared" ca="1" si="270"/>
        <v>0.45</v>
      </c>
      <c r="BG492" s="51">
        <f t="shared" ca="1" si="282"/>
        <v>1</v>
      </c>
      <c r="BH492" s="50">
        <f t="shared" ca="1" si="283"/>
        <v>0</v>
      </c>
      <c r="BI492" s="50">
        <f t="shared" ca="1" si="284"/>
        <v>3.4816594052244909E-13</v>
      </c>
      <c r="BJ492" s="140">
        <v>0</v>
      </c>
      <c r="BK492" s="140">
        <v>0</v>
      </c>
      <c r="BR492" s="75">
        <f t="shared" ca="1" si="271"/>
        <v>58256</v>
      </c>
      <c r="BS492" s="74">
        <f t="shared" ca="1" si="285"/>
        <v>6</v>
      </c>
      <c r="BT492" s="74">
        <f t="shared" ca="1" si="265"/>
        <v>0</v>
      </c>
      <c r="BU492" s="73" t="str">
        <f t="shared" ca="1" si="286"/>
        <v xml:space="preserve"> </v>
      </c>
      <c r="BW492" s="75">
        <f t="shared" ca="1" si="287"/>
        <v>58256</v>
      </c>
      <c r="BX492" s="74">
        <f t="shared" ca="1" si="288"/>
        <v>6</v>
      </c>
      <c r="BY492" s="74">
        <f t="shared" ca="1" si="266"/>
        <v>0</v>
      </c>
      <c r="BZ492" s="73" t="str">
        <f t="shared" ca="1" si="289"/>
        <v xml:space="preserve"> </v>
      </c>
      <c r="CB492" s="75">
        <f t="shared" ca="1" si="272"/>
        <v>58256</v>
      </c>
      <c r="CC492" s="74">
        <f t="shared" ca="1" si="290"/>
        <v>6</v>
      </c>
      <c r="CD492" s="74">
        <f t="shared" ca="1" si="267"/>
        <v>0</v>
      </c>
      <c r="CE492" s="73" t="str">
        <f t="shared" ca="1" si="291"/>
        <v xml:space="preserve"> </v>
      </c>
    </row>
    <row r="493" spans="1:83" x14ac:dyDescent="0.2">
      <c r="A493" s="38" t="str">
        <f t="shared" si="273"/>
        <v xml:space="preserve"> </v>
      </c>
      <c r="B493" s="108"/>
      <c r="C493" s="38"/>
      <c r="D493" s="137"/>
      <c r="E493" s="137"/>
      <c r="F493" s="137"/>
      <c r="G493" s="122"/>
      <c r="H493" s="137"/>
      <c r="I493" s="50"/>
      <c r="J493" s="50"/>
      <c r="K493" s="50"/>
      <c r="L493" s="38"/>
      <c r="M493" s="38"/>
      <c r="N493" s="38"/>
      <c r="O493" s="50"/>
      <c r="P493" s="218"/>
      <c r="Q493" s="50"/>
      <c r="R493" s="50"/>
      <c r="S493" s="38"/>
      <c r="T493" s="51"/>
      <c r="U493" s="65"/>
      <c r="V493" s="105"/>
      <c r="W493" s="66"/>
      <c r="X493" s="66"/>
      <c r="Y493" s="38"/>
      <c r="Z493" s="66">
        <f t="shared" si="261"/>
        <v>0</v>
      </c>
      <c r="AA493" s="67"/>
      <c r="AC493" s="41" t="e">
        <f>VLOOKUP(A493,'Input Sheet'!$A$2:$B$232,2,0)</f>
        <v>#N/A</v>
      </c>
      <c r="AD493" s="70"/>
      <c r="AI493" s="68"/>
      <c r="AL493" s="107">
        <f t="shared" ca="1" si="274"/>
        <v>0</v>
      </c>
      <c r="AM493" s="49">
        <f t="shared" ca="1" si="268"/>
        <v>58287</v>
      </c>
      <c r="AN493" s="137" t="str">
        <f t="shared" ca="1" si="275"/>
        <v xml:space="preserve"> </v>
      </c>
      <c r="AO493" s="107">
        <f t="shared" ca="1" si="264"/>
        <v>0</v>
      </c>
      <c r="AP493" s="143">
        <f t="shared" ca="1" si="262"/>
        <v>0</v>
      </c>
      <c r="AQ493" s="143">
        <f t="shared" ca="1" si="276"/>
        <v>0</v>
      </c>
      <c r="AR493" s="49" t="str">
        <f t="shared" ca="1" si="277"/>
        <v xml:space="preserve"> </v>
      </c>
      <c r="AS493" s="107">
        <f t="shared" ca="1" si="278"/>
        <v>0</v>
      </c>
      <c r="AT493" s="107">
        <f t="shared" ca="1" si="263"/>
        <v>0</v>
      </c>
      <c r="AU493" s="107"/>
      <c r="AV493" s="107">
        <f ca="1">MAX(SUM($AQ$6:AQ493)-SUM($AT$6:AT493),0)</f>
        <v>0</v>
      </c>
      <c r="AW493" s="107">
        <f t="shared" ca="1" si="269"/>
        <v>0</v>
      </c>
      <c r="AX493" s="107">
        <v>0</v>
      </c>
      <c r="AY493" s="138" t="str">
        <f t="shared" ca="1" si="279"/>
        <v xml:space="preserve"> </v>
      </c>
      <c r="AZ493" s="107">
        <f t="shared" ca="1" si="280"/>
        <v>0</v>
      </c>
      <c r="BA493" s="107">
        <f ca="1">IF(AZ493=1,(SUM($AW$6:AW493,$AX$6:AX493)-SUM($BA$6:BA492)),0)</f>
        <v>0</v>
      </c>
      <c r="BB493" s="107"/>
      <c r="BC493" s="107">
        <f ca="1">AV493+SUM($AW$6:AW493)+SUM($AX$6:AX493)-SUM($BA$6:BA493)</f>
        <v>0</v>
      </c>
      <c r="BD493" s="107">
        <f t="shared" ca="1" si="281"/>
        <v>0</v>
      </c>
      <c r="BE493" s="51">
        <f>'PiT PD Structure'!J533</f>
        <v>0</v>
      </c>
      <c r="BF493" s="139">
        <f t="shared" ca="1" si="270"/>
        <v>0.45</v>
      </c>
      <c r="BG493" s="51">
        <f t="shared" ca="1" si="282"/>
        <v>1</v>
      </c>
      <c r="BH493" s="50">
        <f t="shared" ca="1" si="283"/>
        <v>0</v>
      </c>
      <c r="BI493" s="50">
        <f t="shared" ca="1" si="284"/>
        <v>3.4816594052244909E-13</v>
      </c>
      <c r="BJ493" s="140">
        <v>0</v>
      </c>
      <c r="BK493" s="140">
        <v>0</v>
      </c>
      <c r="BR493" s="75">
        <f t="shared" ca="1" si="271"/>
        <v>58287</v>
      </c>
      <c r="BS493" s="74">
        <f t="shared" ca="1" si="285"/>
        <v>7</v>
      </c>
      <c r="BT493" s="74">
        <f t="shared" ca="1" si="265"/>
        <v>0</v>
      </c>
      <c r="BU493" s="73" t="str">
        <f t="shared" ca="1" si="286"/>
        <v xml:space="preserve"> </v>
      </c>
      <c r="BW493" s="75">
        <f t="shared" ca="1" si="287"/>
        <v>58287</v>
      </c>
      <c r="BX493" s="74">
        <f t="shared" ca="1" si="288"/>
        <v>7</v>
      </c>
      <c r="BY493" s="74">
        <f t="shared" ca="1" si="266"/>
        <v>0</v>
      </c>
      <c r="BZ493" s="73" t="str">
        <f t="shared" ca="1" si="289"/>
        <v xml:space="preserve"> </v>
      </c>
      <c r="CB493" s="75">
        <f t="shared" ca="1" si="272"/>
        <v>58287</v>
      </c>
      <c r="CC493" s="74">
        <f t="shared" ca="1" si="290"/>
        <v>7</v>
      </c>
      <c r="CD493" s="74">
        <f t="shared" ca="1" si="267"/>
        <v>0</v>
      </c>
      <c r="CE493" s="73" t="str">
        <f t="shared" ca="1" si="291"/>
        <v xml:space="preserve"> </v>
      </c>
    </row>
    <row r="494" spans="1:83" x14ac:dyDescent="0.2">
      <c r="A494" s="38" t="str">
        <f t="shared" si="273"/>
        <v xml:space="preserve"> </v>
      </c>
      <c r="B494" s="108"/>
      <c r="C494" s="38"/>
      <c r="D494" s="137"/>
      <c r="E494" s="137"/>
      <c r="F494" s="137"/>
      <c r="G494" s="122"/>
      <c r="H494" s="137"/>
      <c r="I494" s="50"/>
      <c r="J494" s="50"/>
      <c r="K494" s="50"/>
      <c r="L494" s="38"/>
      <c r="M494" s="38"/>
      <c r="N494" s="38"/>
      <c r="O494" s="50"/>
      <c r="P494" s="218"/>
      <c r="Q494" s="50"/>
      <c r="R494" s="50"/>
      <c r="S494" s="38"/>
      <c r="T494" s="51"/>
      <c r="U494" s="65"/>
      <c r="V494" s="105"/>
      <c r="W494" s="66"/>
      <c r="X494" s="66"/>
      <c r="Y494" s="38"/>
      <c r="Z494" s="66">
        <f t="shared" si="261"/>
        <v>0</v>
      </c>
      <c r="AA494" s="67"/>
      <c r="AC494" s="41" t="e">
        <f>VLOOKUP(A494,'Input Sheet'!$A$2:$B$232,2,0)</f>
        <v>#N/A</v>
      </c>
      <c r="AD494" s="70"/>
      <c r="AI494" s="68"/>
      <c r="AL494" s="107">
        <f t="shared" ca="1" si="274"/>
        <v>0</v>
      </c>
      <c r="AM494" s="49">
        <f t="shared" ca="1" si="268"/>
        <v>58318</v>
      </c>
      <c r="AN494" s="137" t="str">
        <f t="shared" ca="1" si="275"/>
        <v xml:space="preserve"> </v>
      </c>
      <c r="AO494" s="107">
        <f t="shared" ca="1" si="264"/>
        <v>0</v>
      </c>
      <c r="AP494" s="143">
        <f t="shared" ca="1" si="262"/>
        <v>0</v>
      </c>
      <c r="AQ494" s="143">
        <f t="shared" ca="1" si="276"/>
        <v>0</v>
      </c>
      <c r="AR494" s="49" t="str">
        <f t="shared" ca="1" si="277"/>
        <v xml:space="preserve"> </v>
      </c>
      <c r="AS494" s="107">
        <f t="shared" ca="1" si="278"/>
        <v>0</v>
      </c>
      <c r="AT494" s="107">
        <f t="shared" ca="1" si="263"/>
        <v>0</v>
      </c>
      <c r="AU494" s="107"/>
      <c r="AV494" s="107">
        <f ca="1">MAX(SUM($AQ$6:AQ494)-SUM($AT$6:AT494),0)</f>
        <v>0</v>
      </c>
      <c r="AW494" s="107">
        <f t="shared" ca="1" si="269"/>
        <v>0</v>
      </c>
      <c r="AX494" s="107">
        <v>0</v>
      </c>
      <c r="AY494" s="138" t="str">
        <f t="shared" ca="1" si="279"/>
        <v xml:space="preserve"> </v>
      </c>
      <c r="AZ494" s="107">
        <f t="shared" ca="1" si="280"/>
        <v>0</v>
      </c>
      <c r="BA494" s="107">
        <f ca="1">IF(AZ494=1,(SUM($AW$6:AW494,$AX$6:AX494)-SUM($BA$6:BA493)),0)</f>
        <v>0</v>
      </c>
      <c r="BB494" s="107"/>
      <c r="BC494" s="107">
        <f ca="1">AV494+SUM($AW$6:AW494)+SUM($AX$6:AX494)-SUM($BA$6:BA494)</f>
        <v>0</v>
      </c>
      <c r="BD494" s="107">
        <f t="shared" ca="1" si="281"/>
        <v>0</v>
      </c>
      <c r="BE494" s="51">
        <f>'PiT PD Structure'!J534</f>
        <v>0</v>
      </c>
      <c r="BF494" s="139">
        <f t="shared" ca="1" si="270"/>
        <v>0.45</v>
      </c>
      <c r="BG494" s="51">
        <f t="shared" ca="1" si="282"/>
        <v>1</v>
      </c>
      <c r="BH494" s="50">
        <f t="shared" ca="1" si="283"/>
        <v>0</v>
      </c>
      <c r="BI494" s="50">
        <f t="shared" ca="1" si="284"/>
        <v>3.4816594052244909E-13</v>
      </c>
      <c r="BJ494" s="140">
        <v>0</v>
      </c>
      <c r="BK494" s="140">
        <v>0</v>
      </c>
      <c r="BR494" s="75">
        <f t="shared" ca="1" si="271"/>
        <v>58318</v>
      </c>
      <c r="BS494" s="74">
        <f t="shared" ca="1" si="285"/>
        <v>8</v>
      </c>
      <c r="BT494" s="74">
        <f t="shared" ca="1" si="265"/>
        <v>0</v>
      </c>
      <c r="BU494" s="73" t="str">
        <f t="shared" ca="1" si="286"/>
        <v xml:space="preserve"> </v>
      </c>
      <c r="BW494" s="75">
        <f t="shared" ca="1" si="287"/>
        <v>58318</v>
      </c>
      <c r="BX494" s="74">
        <f t="shared" ca="1" si="288"/>
        <v>8</v>
      </c>
      <c r="BY494" s="74">
        <f t="shared" ca="1" si="266"/>
        <v>0</v>
      </c>
      <c r="BZ494" s="73" t="str">
        <f t="shared" ca="1" si="289"/>
        <v xml:space="preserve"> </v>
      </c>
      <c r="CB494" s="75">
        <f t="shared" ca="1" si="272"/>
        <v>58318</v>
      </c>
      <c r="CC494" s="74">
        <f t="shared" ca="1" si="290"/>
        <v>8</v>
      </c>
      <c r="CD494" s="74">
        <f t="shared" ca="1" si="267"/>
        <v>0</v>
      </c>
      <c r="CE494" s="73" t="str">
        <f t="shared" ca="1" si="291"/>
        <v xml:space="preserve"> </v>
      </c>
    </row>
    <row r="495" spans="1:83" x14ac:dyDescent="0.2">
      <c r="A495" s="38" t="str">
        <f t="shared" si="273"/>
        <v xml:space="preserve"> </v>
      </c>
      <c r="B495" s="108"/>
      <c r="C495" s="38"/>
      <c r="D495" s="137"/>
      <c r="E495" s="137"/>
      <c r="F495" s="137"/>
      <c r="G495" s="122"/>
      <c r="H495" s="137"/>
      <c r="I495" s="50"/>
      <c r="J495" s="50"/>
      <c r="K495" s="50"/>
      <c r="L495" s="38"/>
      <c r="M495" s="38"/>
      <c r="N495" s="38"/>
      <c r="O495" s="50"/>
      <c r="P495" s="218"/>
      <c r="Q495" s="50"/>
      <c r="R495" s="50"/>
      <c r="S495" s="38"/>
      <c r="T495" s="51"/>
      <c r="U495" s="65"/>
      <c r="V495" s="105"/>
      <c r="W495" s="66"/>
      <c r="X495" s="66"/>
      <c r="Y495" s="38"/>
      <c r="Z495" s="66">
        <f t="shared" si="261"/>
        <v>0</v>
      </c>
      <c r="AA495" s="67"/>
      <c r="AC495" s="41" t="e">
        <f>VLOOKUP(A495,'Input Sheet'!$A$2:$B$232,2,0)</f>
        <v>#N/A</v>
      </c>
      <c r="AD495" s="70"/>
      <c r="AI495" s="68"/>
      <c r="AL495" s="107">
        <f t="shared" ca="1" si="274"/>
        <v>0</v>
      </c>
      <c r="AM495" s="49">
        <f t="shared" ca="1" si="268"/>
        <v>58348</v>
      </c>
      <c r="AN495" s="137" t="str">
        <f t="shared" ca="1" si="275"/>
        <v xml:space="preserve"> </v>
      </c>
      <c r="AO495" s="107">
        <f t="shared" ca="1" si="264"/>
        <v>0</v>
      </c>
      <c r="AP495" s="143">
        <f t="shared" ca="1" si="262"/>
        <v>0</v>
      </c>
      <c r="AQ495" s="143">
        <f t="shared" ca="1" si="276"/>
        <v>0</v>
      </c>
      <c r="AR495" s="49" t="str">
        <f t="shared" ca="1" si="277"/>
        <v xml:space="preserve"> </v>
      </c>
      <c r="AS495" s="107">
        <f t="shared" ca="1" si="278"/>
        <v>0</v>
      </c>
      <c r="AT495" s="107">
        <f t="shared" ca="1" si="263"/>
        <v>0</v>
      </c>
      <c r="AU495" s="107"/>
      <c r="AV495" s="107">
        <f ca="1">MAX(SUM($AQ$6:AQ495)-SUM($AT$6:AT495),0)</f>
        <v>0</v>
      </c>
      <c r="AW495" s="107">
        <f t="shared" ca="1" si="269"/>
        <v>0</v>
      </c>
      <c r="AX495" s="107">
        <v>0</v>
      </c>
      <c r="AY495" s="138" t="str">
        <f t="shared" ca="1" si="279"/>
        <v xml:space="preserve"> </v>
      </c>
      <c r="AZ495" s="107">
        <f t="shared" ca="1" si="280"/>
        <v>0</v>
      </c>
      <c r="BA495" s="107">
        <f ca="1">IF(AZ495=1,(SUM($AW$6:AW495,$AX$6:AX495)-SUM($BA$6:BA494)),0)</f>
        <v>0</v>
      </c>
      <c r="BB495" s="107"/>
      <c r="BC495" s="107">
        <f ca="1">AV495+SUM($AW$6:AW495)+SUM($AX$6:AX495)-SUM($BA$6:BA495)</f>
        <v>0</v>
      </c>
      <c r="BD495" s="107">
        <f t="shared" ca="1" si="281"/>
        <v>0</v>
      </c>
      <c r="BE495" s="51">
        <f>'PiT PD Structure'!J535</f>
        <v>0</v>
      </c>
      <c r="BF495" s="139">
        <f t="shared" ca="1" si="270"/>
        <v>0.45</v>
      </c>
      <c r="BG495" s="51">
        <f t="shared" ca="1" si="282"/>
        <v>1</v>
      </c>
      <c r="BH495" s="50">
        <f t="shared" ca="1" si="283"/>
        <v>0</v>
      </c>
      <c r="BI495" s="50">
        <f t="shared" ca="1" si="284"/>
        <v>3.4816594052244909E-13</v>
      </c>
      <c r="BJ495" s="140">
        <v>0</v>
      </c>
      <c r="BK495" s="140">
        <v>0</v>
      </c>
      <c r="BR495" s="75">
        <f t="shared" ca="1" si="271"/>
        <v>58348</v>
      </c>
      <c r="BS495" s="74">
        <f t="shared" ca="1" si="285"/>
        <v>9</v>
      </c>
      <c r="BT495" s="74">
        <f t="shared" ca="1" si="265"/>
        <v>0</v>
      </c>
      <c r="BU495" s="73" t="str">
        <f t="shared" ca="1" si="286"/>
        <v xml:space="preserve"> </v>
      </c>
      <c r="BW495" s="75">
        <f t="shared" ca="1" si="287"/>
        <v>58348</v>
      </c>
      <c r="BX495" s="74">
        <f t="shared" ca="1" si="288"/>
        <v>9</v>
      </c>
      <c r="BY495" s="74">
        <f t="shared" ca="1" si="266"/>
        <v>0</v>
      </c>
      <c r="BZ495" s="73" t="str">
        <f t="shared" ca="1" si="289"/>
        <v xml:space="preserve"> </v>
      </c>
      <c r="CB495" s="75">
        <f t="shared" ca="1" si="272"/>
        <v>58348</v>
      </c>
      <c r="CC495" s="74">
        <f t="shared" ca="1" si="290"/>
        <v>9</v>
      </c>
      <c r="CD495" s="74">
        <f t="shared" ca="1" si="267"/>
        <v>0</v>
      </c>
      <c r="CE495" s="73" t="str">
        <f t="shared" ca="1" si="291"/>
        <v xml:space="preserve"> </v>
      </c>
    </row>
    <row r="496" spans="1:83" x14ac:dyDescent="0.2">
      <c r="A496" s="38" t="str">
        <f t="shared" si="273"/>
        <v xml:space="preserve"> </v>
      </c>
      <c r="B496" s="108"/>
      <c r="C496" s="38"/>
      <c r="D496" s="137"/>
      <c r="E496" s="137"/>
      <c r="F496" s="137"/>
      <c r="G496" s="122"/>
      <c r="H496" s="137"/>
      <c r="I496" s="50"/>
      <c r="J496" s="50"/>
      <c r="K496" s="50"/>
      <c r="L496" s="38"/>
      <c r="M496" s="38"/>
      <c r="N496" s="38"/>
      <c r="O496" s="50"/>
      <c r="P496" s="218"/>
      <c r="Q496" s="50"/>
      <c r="R496" s="50"/>
      <c r="S496" s="38"/>
      <c r="T496" s="51"/>
      <c r="U496" s="65"/>
      <c r="V496" s="105"/>
      <c r="W496" s="66"/>
      <c r="X496" s="66"/>
      <c r="Y496" s="38"/>
      <c r="Z496" s="66">
        <f t="shared" si="261"/>
        <v>0</v>
      </c>
      <c r="AA496" s="67"/>
      <c r="AC496" s="41" t="e">
        <f>VLOOKUP(A496,'Input Sheet'!$A$2:$B$232,2,0)</f>
        <v>#N/A</v>
      </c>
      <c r="AD496" s="70"/>
      <c r="AI496" s="68"/>
      <c r="AL496" s="107">
        <f t="shared" ca="1" si="274"/>
        <v>0</v>
      </c>
      <c r="AM496" s="49">
        <f t="shared" ca="1" si="268"/>
        <v>58379</v>
      </c>
      <c r="AN496" s="137" t="str">
        <f t="shared" ca="1" si="275"/>
        <v xml:space="preserve"> </v>
      </c>
      <c r="AO496" s="107">
        <f t="shared" ca="1" si="264"/>
        <v>0</v>
      </c>
      <c r="AP496" s="143">
        <f t="shared" ca="1" si="262"/>
        <v>0</v>
      </c>
      <c r="AQ496" s="143">
        <f t="shared" ca="1" si="276"/>
        <v>0</v>
      </c>
      <c r="AR496" s="49" t="str">
        <f t="shared" ca="1" si="277"/>
        <v xml:space="preserve"> </v>
      </c>
      <c r="AS496" s="107">
        <f t="shared" ca="1" si="278"/>
        <v>0</v>
      </c>
      <c r="AT496" s="107">
        <f t="shared" ca="1" si="263"/>
        <v>0</v>
      </c>
      <c r="AU496" s="107"/>
      <c r="AV496" s="107">
        <f ca="1">MAX(SUM($AQ$6:AQ496)-SUM($AT$6:AT496),0)</f>
        <v>0</v>
      </c>
      <c r="AW496" s="107">
        <f t="shared" ca="1" si="269"/>
        <v>0</v>
      </c>
      <c r="AX496" s="107">
        <v>0</v>
      </c>
      <c r="AY496" s="138" t="str">
        <f t="shared" ca="1" si="279"/>
        <v xml:space="preserve"> </v>
      </c>
      <c r="AZ496" s="107">
        <f t="shared" ca="1" si="280"/>
        <v>0</v>
      </c>
      <c r="BA496" s="107">
        <f ca="1">IF(AZ496=1,(SUM($AW$6:AW496,$AX$6:AX496)-SUM($BA$6:BA495)),0)</f>
        <v>0</v>
      </c>
      <c r="BB496" s="107"/>
      <c r="BC496" s="107">
        <f ca="1">AV496+SUM($AW$6:AW496)+SUM($AX$6:AX496)-SUM($BA$6:BA496)</f>
        <v>0</v>
      </c>
      <c r="BD496" s="107">
        <f t="shared" ca="1" si="281"/>
        <v>0</v>
      </c>
      <c r="BE496" s="51">
        <f>'PiT PD Structure'!J536</f>
        <v>0</v>
      </c>
      <c r="BF496" s="139">
        <f t="shared" ca="1" si="270"/>
        <v>0.45</v>
      </c>
      <c r="BG496" s="51">
        <f t="shared" ca="1" si="282"/>
        <v>1</v>
      </c>
      <c r="BH496" s="50">
        <f t="shared" ca="1" si="283"/>
        <v>0</v>
      </c>
      <c r="BI496" s="50">
        <f t="shared" ca="1" si="284"/>
        <v>3.4816594052244909E-13</v>
      </c>
      <c r="BJ496" s="140">
        <v>0</v>
      </c>
      <c r="BK496" s="140">
        <v>0</v>
      </c>
      <c r="BR496" s="75">
        <f t="shared" ca="1" si="271"/>
        <v>58379</v>
      </c>
      <c r="BS496" s="74">
        <f t="shared" ca="1" si="285"/>
        <v>10</v>
      </c>
      <c r="BT496" s="74">
        <f t="shared" ca="1" si="265"/>
        <v>0</v>
      </c>
      <c r="BU496" s="73" t="str">
        <f t="shared" ca="1" si="286"/>
        <v xml:space="preserve"> </v>
      </c>
      <c r="BW496" s="75">
        <f t="shared" ca="1" si="287"/>
        <v>58379</v>
      </c>
      <c r="BX496" s="74">
        <f t="shared" ca="1" si="288"/>
        <v>10</v>
      </c>
      <c r="BY496" s="74">
        <f t="shared" ca="1" si="266"/>
        <v>0</v>
      </c>
      <c r="BZ496" s="73" t="str">
        <f t="shared" ca="1" si="289"/>
        <v xml:space="preserve"> </v>
      </c>
      <c r="CB496" s="75">
        <f t="shared" ca="1" si="272"/>
        <v>58379</v>
      </c>
      <c r="CC496" s="74">
        <f t="shared" ca="1" si="290"/>
        <v>10</v>
      </c>
      <c r="CD496" s="74">
        <f t="shared" ca="1" si="267"/>
        <v>0</v>
      </c>
      <c r="CE496" s="73" t="str">
        <f t="shared" ca="1" si="291"/>
        <v xml:space="preserve"> </v>
      </c>
    </row>
    <row r="497" spans="1:83" x14ac:dyDescent="0.2">
      <c r="A497" s="38" t="str">
        <f t="shared" si="273"/>
        <v xml:space="preserve"> </v>
      </c>
      <c r="B497" s="108"/>
      <c r="C497" s="38"/>
      <c r="D497" s="137"/>
      <c r="E497" s="137"/>
      <c r="F497" s="137"/>
      <c r="G497" s="122"/>
      <c r="H497" s="137"/>
      <c r="I497" s="50"/>
      <c r="J497" s="50"/>
      <c r="K497" s="50"/>
      <c r="L497" s="38"/>
      <c r="M497" s="38"/>
      <c r="N497" s="38"/>
      <c r="O497" s="50"/>
      <c r="P497" s="218"/>
      <c r="Q497" s="50"/>
      <c r="R497" s="50"/>
      <c r="S497" s="38"/>
      <c r="T497" s="51"/>
      <c r="U497" s="65"/>
      <c r="V497" s="105"/>
      <c r="W497" s="66"/>
      <c r="X497" s="66"/>
      <c r="Y497" s="38"/>
      <c r="Z497" s="66">
        <f t="shared" si="261"/>
        <v>0</v>
      </c>
      <c r="AA497" s="67"/>
      <c r="AC497" s="41" t="e">
        <f>VLOOKUP(A497,'Input Sheet'!$A$2:$B$232,2,0)</f>
        <v>#N/A</v>
      </c>
      <c r="AD497" s="70"/>
      <c r="AI497" s="68"/>
      <c r="AL497" s="107">
        <f t="shared" ca="1" si="274"/>
        <v>0</v>
      </c>
      <c r="AM497" s="49">
        <f t="shared" ca="1" si="268"/>
        <v>58409</v>
      </c>
      <c r="AN497" s="137" t="str">
        <f t="shared" ca="1" si="275"/>
        <v xml:space="preserve"> </v>
      </c>
      <c r="AO497" s="107">
        <f t="shared" ca="1" si="264"/>
        <v>0</v>
      </c>
      <c r="AP497" s="143">
        <f t="shared" ca="1" si="262"/>
        <v>0</v>
      </c>
      <c r="AQ497" s="143">
        <f t="shared" ca="1" si="276"/>
        <v>0</v>
      </c>
      <c r="AR497" s="49" t="str">
        <f t="shared" ca="1" si="277"/>
        <v xml:space="preserve"> </v>
      </c>
      <c r="AS497" s="107">
        <f t="shared" ca="1" si="278"/>
        <v>0</v>
      </c>
      <c r="AT497" s="107">
        <f t="shared" ca="1" si="263"/>
        <v>0</v>
      </c>
      <c r="AU497" s="107"/>
      <c r="AV497" s="107">
        <f ca="1">MAX(SUM($AQ$6:AQ497)-SUM($AT$6:AT497),0)</f>
        <v>0</v>
      </c>
      <c r="AW497" s="107">
        <f t="shared" ca="1" si="269"/>
        <v>0</v>
      </c>
      <c r="AX497" s="107">
        <v>0</v>
      </c>
      <c r="AY497" s="138" t="str">
        <f t="shared" ca="1" si="279"/>
        <v xml:space="preserve"> </v>
      </c>
      <c r="AZ497" s="107">
        <f t="shared" ca="1" si="280"/>
        <v>0</v>
      </c>
      <c r="BA497" s="107">
        <f ca="1">IF(AZ497=1,(SUM($AW$6:AW497,$AX$6:AX497)-SUM($BA$6:BA496)),0)</f>
        <v>0</v>
      </c>
      <c r="BB497" s="107"/>
      <c r="BC497" s="107">
        <f ca="1">AV497+SUM($AW$6:AW497)+SUM($AX$6:AX497)-SUM($BA$6:BA497)</f>
        <v>0</v>
      </c>
      <c r="BD497" s="107">
        <f t="shared" ca="1" si="281"/>
        <v>0</v>
      </c>
      <c r="BE497" s="51">
        <f>'PiT PD Structure'!J537</f>
        <v>0</v>
      </c>
      <c r="BF497" s="139">
        <f t="shared" ca="1" si="270"/>
        <v>0.45</v>
      </c>
      <c r="BG497" s="51">
        <f t="shared" ca="1" si="282"/>
        <v>1</v>
      </c>
      <c r="BH497" s="50">
        <f t="shared" ca="1" si="283"/>
        <v>0</v>
      </c>
      <c r="BI497" s="50">
        <f t="shared" ca="1" si="284"/>
        <v>3.4816594052244909E-13</v>
      </c>
      <c r="BJ497" s="140">
        <v>0</v>
      </c>
      <c r="BK497" s="140">
        <v>0</v>
      </c>
      <c r="BR497" s="75">
        <f t="shared" ca="1" si="271"/>
        <v>58409</v>
      </c>
      <c r="BS497" s="74">
        <f t="shared" ca="1" si="285"/>
        <v>11</v>
      </c>
      <c r="BT497" s="74">
        <f t="shared" ca="1" si="265"/>
        <v>0</v>
      </c>
      <c r="BU497" s="73" t="str">
        <f t="shared" ca="1" si="286"/>
        <v xml:space="preserve"> </v>
      </c>
      <c r="BW497" s="75">
        <f t="shared" ca="1" si="287"/>
        <v>58409</v>
      </c>
      <c r="BX497" s="74">
        <f t="shared" ca="1" si="288"/>
        <v>11</v>
      </c>
      <c r="BY497" s="74">
        <f t="shared" ca="1" si="266"/>
        <v>0</v>
      </c>
      <c r="BZ497" s="73" t="str">
        <f t="shared" ca="1" si="289"/>
        <v xml:space="preserve"> </v>
      </c>
      <c r="CB497" s="75">
        <f t="shared" ca="1" si="272"/>
        <v>58409</v>
      </c>
      <c r="CC497" s="74">
        <f t="shared" ca="1" si="290"/>
        <v>11</v>
      </c>
      <c r="CD497" s="74">
        <f t="shared" ca="1" si="267"/>
        <v>0</v>
      </c>
      <c r="CE497" s="73" t="str">
        <f t="shared" ca="1" si="291"/>
        <v xml:space="preserve"> </v>
      </c>
    </row>
    <row r="498" spans="1:83" x14ac:dyDescent="0.2">
      <c r="A498" s="38" t="str">
        <f t="shared" si="273"/>
        <v xml:space="preserve"> </v>
      </c>
      <c r="B498" s="108"/>
      <c r="C498" s="38"/>
      <c r="D498" s="137"/>
      <c r="E498" s="137"/>
      <c r="F498" s="137"/>
      <c r="G498" s="122"/>
      <c r="H498" s="137"/>
      <c r="I498" s="50"/>
      <c r="J498" s="50"/>
      <c r="K498" s="50"/>
      <c r="L498" s="38"/>
      <c r="M498" s="38"/>
      <c r="N498" s="38"/>
      <c r="O498" s="50"/>
      <c r="P498" s="218"/>
      <c r="Q498" s="50"/>
      <c r="R498" s="50"/>
      <c r="S498" s="38"/>
      <c r="T498" s="51"/>
      <c r="U498" s="65"/>
      <c r="V498" s="105"/>
      <c r="W498" s="66"/>
      <c r="X498" s="66"/>
      <c r="Y498" s="38"/>
      <c r="Z498" s="66">
        <f t="shared" si="261"/>
        <v>0</v>
      </c>
      <c r="AA498" s="67"/>
      <c r="AC498" s="41" t="e">
        <f>VLOOKUP(A498,'Input Sheet'!$A$2:$B$232,2,0)</f>
        <v>#N/A</v>
      </c>
      <c r="AD498" s="70"/>
      <c r="AI498" s="68"/>
      <c r="AL498" s="107">
        <f t="shared" ca="1" si="274"/>
        <v>0</v>
      </c>
      <c r="AM498" s="49">
        <f t="shared" ca="1" si="268"/>
        <v>58440</v>
      </c>
      <c r="AN498" s="137" t="str">
        <f t="shared" ca="1" si="275"/>
        <v xml:space="preserve"> </v>
      </c>
      <c r="AO498" s="107">
        <f t="shared" ca="1" si="264"/>
        <v>0</v>
      </c>
      <c r="AP498" s="143">
        <f t="shared" ca="1" si="262"/>
        <v>0</v>
      </c>
      <c r="AQ498" s="143">
        <f t="shared" ca="1" si="276"/>
        <v>0</v>
      </c>
      <c r="AR498" s="49" t="str">
        <f t="shared" ca="1" si="277"/>
        <v xml:space="preserve"> </v>
      </c>
      <c r="AS498" s="107">
        <f t="shared" ca="1" si="278"/>
        <v>0</v>
      </c>
      <c r="AT498" s="107">
        <f t="shared" ca="1" si="263"/>
        <v>0</v>
      </c>
      <c r="AU498" s="107"/>
      <c r="AV498" s="107">
        <f ca="1">MAX(SUM($AQ$6:AQ498)-SUM($AT$6:AT498),0)</f>
        <v>0</v>
      </c>
      <c r="AW498" s="107">
        <f t="shared" ca="1" si="269"/>
        <v>0</v>
      </c>
      <c r="AX498" s="107">
        <v>0</v>
      </c>
      <c r="AY498" s="138" t="str">
        <f t="shared" ca="1" si="279"/>
        <v xml:space="preserve"> </v>
      </c>
      <c r="AZ498" s="107">
        <f t="shared" ca="1" si="280"/>
        <v>0</v>
      </c>
      <c r="BA498" s="107">
        <f ca="1">IF(AZ498=1,(SUM($AW$6:AW498,$AX$6:AX498)-SUM($BA$6:BA497)),0)</f>
        <v>0</v>
      </c>
      <c r="BB498" s="107"/>
      <c r="BC498" s="107">
        <f ca="1">AV498+SUM($AW$6:AW498)+SUM($AX$6:AX498)-SUM($BA$6:BA498)</f>
        <v>0</v>
      </c>
      <c r="BD498" s="107">
        <f t="shared" ca="1" si="281"/>
        <v>0</v>
      </c>
      <c r="BE498" s="51">
        <f>'PiT PD Structure'!J538</f>
        <v>0</v>
      </c>
      <c r="BF498" s="139">
        <f t="shared" ca="1" si="270"/>
        <v>0.45</v>
      </c>
      <c r="BG498" s="51">
        <f t="shared" ca="1" si="282"/>
        <v>1</v>
      </c>
      <c r="BH498" s="50">
        <f t="shared" ca="1" si="283"/>
        <v>0</v>
      </c>
      <c r="BI498" s="50">
        <f t="shared" ca="1" si="284"/>
        <v>3.4816594052244909E-13</v>
      </c>
      <c r="BJ498" s="140">
        <v>0</v>
      </c>
      <c r="BK498" s="140">
        <v>0</v>
      </c>
      <c r="BR498" s="75">
        <f t="shared" ca="1" si="271"/>
        <v>58440</v>
      </c>
      <c r="BS498" s="74">
        <f t="shared" ca="1" si="285"/>
        <v>12</v>
      </c>
      <c r="BT498" s="74">
        <f t="shared" ca="1" si="265"/>
        <v>0</v>
      </c>
      <c r="BU498" s="73" t="str">
        <f t="shared" ca="1" si="286"/>
        <v xml:space="preserve"> </v>
      </c>
      <c r="BW498" s="75">
        <f t="shared" ca="1" si="287"/>
        <v>58440</v>
      </c>
      <c r="BX498" s="74">
        <f t="shared" ca="1" si="288"/>
        <v>12</v>
      </c>
      <c r="BY498" s="74">
        <f t="shared" ca="1" si="266"/>
        <v>0</v>
      </c>
      <c r="BZ498" s="73" t="str">
        <f t="shared" ca="1" si="289"/>
        <v xml:space="preserve"> </v>
      </c>
      <c r="CB498" s="75">
        <f t="shared" ca="1" si="272"/>
        <v>58440</v>
      </c>
      <c r="CC498" s="74">
        <f t="shared" ca="1" si="290"/>
        <v>12</v>
      </c>
      <c r="CD498" s="74">
        <f t="shared" ca="1" si="267"/>
        <v>0</v>
      </c>
      <c r="CE498" s="73" t="str">
        <f t="shared" ca="1" si="291"/>
        <v xml:space="preserve"> </v>
      </c>
    </row>
    <row r="499" spans="1:83" x14ac:dyDescent="0.2">
      <c r="A499" s="38" t="str">
        <f t="shared" si="273"/>
        <v xml:space="preserve"> </v>
      </c>
      <c r="B499" s="108"/>
      <c r="C499" s="38"/>
      <c r="D499" s="137"/>
      <c r="E499" s="137"/>
      <c r="F499" s="137"/>
      <c r="G499" s="122"/>
      <c r="H499" s="137"/>
      <c r="I499" s="50"/>
      <c r="J499" s="50"/>
      <c r="K499" s="50"/>
      <c r="L499" s="38"/>
      <c r="M499" s="38"/>
      <c r="N499" s="38"/>
      <c r="O499" s="50"/>
      <c r="P499" s="218"/>
      <c r="Q499" s="50"/>
      <c r="R499" s="50"/>
      <c r="S499" s="38"/>
      <c r="T499" s="51"/>
      <c r="U499" s="65"/>
      <c r="V499" s="105"/>
      <c r="W499" s="66"/>
      <c r="X499" s="66"/>
      <c r="Y499" s="38"/>
      <c r="Z499" s="66">
        <f t="shared" si="261"/>
        <v>0</v>
      </c>
      <c r="AA499" s="67"/>
      <c r="AC499" s="41" t="e">
        <f>VLOOKUP(A499,'Input Sheet'!$A$2:$B$232,2,0)</f>
        <v>#N/A</v>
      </c>
      <c r="AD499" s="70"/>
      <c r="AI499" s="68"/>
      <c r="AL499" s="107">
        <f t="shared" ca="1" si="274"/>
        <v>0</v>
      </c>
      <c r="AM499" s="49">
        <f t="shared" ca="1" si="268"/>
        <v>58471</v>
      </c>
      <c r="AN499" s="137" t="str">
        <f t="shared" ca="1" si="275"/>
        <v xml:space="preserve"> </v>
      </c>
      <c r="AO499" s="107">
        <f t="shared" ca="1" si="264"/>
        <v>0</v>
      </c>
      <c r="AP499" s="143">
        <f t="shared" ca="1" si="262"/>
        <v>0</v>
      </c>
      <c r="AQ499" s="143">
        <f t="shared" ca="1" si="276"/>
        <v>0</v>
      </c>
      <c r="AR499" s="49" t="str">
        <f t="shared" ca="1" si="277"/>
        <v xml:space="preserve"> </v>
      </c>
      <c r="AS499" s="107">
        <f t="shared" ca="1" si="278"/>
        <v>0</v>
      </c>
      <c r="AT499" s="107">
        <f t="shared" ca="1" si="263"/>
        <v>0</v>
      </c>
      <c r="AU499" s="107"/>
      <c r="AV499" s="107">
        <f ca="1">MAX(SUM($AQ$6:AQ499)-SUM($AT$6:AT499),0)</f>
        <v>0</v>
      </c>
      <c r="AW499" s="107">
        <f t="shared" ca="1" si="269"/>
        <v>0</v>
      </c>
      <c r="AX499" s="107">
        <v>0</v>
      </c>
      <c r="AY499" s="138" t="str">
        <f t="shared" ca="1" si="279"/>
        <v xml:space="preserve"> </v>
      </c>
      <c r="AZ499" s="107">
        <f t="shared" ca="1" si="280"/>
        <v>0</v>
      </c>
      <c r="BA499" s="107">
        <f ca="1">IF(AZ499=1,(SUM($AW$6:AW499,$AX$6:AX499)-SUM($BA$6:BA498)),0)</f>
        <v>0</v>
      </c>
      <c r="BB499" s="107"/>
      <c r="BC499" s="107">
        <f ca="1">AV499+SUM($AW$6:AW499)+SUM($AX$6:AX499)-SUM($BA$6:BA499)</f>
        <v>0</v>
      </c>
      <c r="BD499" s="107">
        <f t="shared" ca="1" si="281"/>
        <v>0</v>
      </c>
      <c r="BE499" s="51">
        <f>'PiT PD Structure'!J539</f>
        <v>0</v>
      </c>
      <c r="BF499" s="139">
        <f t="shared" ca="1" si="270"/>
        <v>0.45</v>
      </c>
      <c r="BG499" s="51">
        <f t="shared" ca="1" si="282"/>
        <v>1</v>
      </c>
      <c r="BH499" s="50">
        <f t="shared" ca="1" si="283"/>
        <v>0</v>
      </c>
      <c r="BI499" s="50">
        <f t="shared" ca="1" si="284"/>
        <v>3.4816594052244909E-13</v>
      </c>
      <c r="BJ499" s="140">
        <v>0</v>
      </c>
      <c r="BK499" s="140">
        <v>0</v>
      </c>
      <c r="BR499" s="75">
        <f t="shared" ca="1" si="271"/>
        <v>58471</v>
      </c>
      <c r="BS499" s="74">
        <f t="shared" ca="1" si="285"/>
        <v>1</v>
      </c>
      <c r="BT499" s="74">
        <f t="shared" ca="1" si="265"/>
        <v>0</v>
      </c>
      <c r="BU499" s="73" t="str">
        <f t="shared" ca="1" si="286"/>
        <v xml:space="preserve"> </v>
      </c>
      <c r="BW499" s="75">
        <f t="shared" ca="1" si="287"/>
        <v>58471</v>
      </c>
      <c r="BX499" s="74">
        <f t="shared" ca="1" si="288"/>
        <v>1</v>
      </c>
      <c r="BY499" s="74">
        <f t="shared" ca="1" si="266"/>
        <v>0</v>
      </c>
      <c r="BZ499" s="73" t="str">
        <f t="shared" ca="1" si="289"/>
        <v xml:space="preserve"> </v>
      </c>
      <c r="CB499" s="75">
        <f t="shared" ca="1" si="272"/>
        <v>58471</v>
      </c>
      <c r="CC499" s="74">
        <f t="shared" ca="1" si="290"/>
        <v>1</v>
      </c>
      <c r="CD499" s="74">
        <f t="shared" ca="1" si="267"/>
        <v>0</v>
      </c>
      <c r="CE499" s="73" t="str">
        <f t="shared" ca="1" si="291"/>
        <v xml:space="preserve"> </v>
      </c>
    </row>
    <row r="500" spans="1:83" x14ac:dyDescent="0.2">
      <c r="A500" s="38" t="str">
        <f t="shared" si="273"/>
        <v xml:space="preserve"> </v>
      </c>
      <c r="B500" s="108"/>
      <c r="C500" s="38"/>
      <c r="D500" s="137"/>
      <c r="E500" s="137"/>
      <c r="F500" s="137"/>
      <c r="G500" s="122"/>
      <c r="H500" s="137"/>
      <c r="I500" s="50"/>
      <c r="J500" s="50"/>
      <c r="K500" s="50"/>
      <c r="L500" s="38"/>
      <c r="M500" s="38"/>
      <c r="N500" s="38"/>
      <c r="O500" s="50"/>
      <c r="P500" s="218"/>
      <c r="Q500" s="50"/>
      <c r="R500" s="50"/>
      <c r="S500" s="38"/>
      <c r="T500" s="51"/>
      <c r="U500" s="65"/>
      <c r="V500" s="105"/>
      <c r="W500" s="66"/>
      <c r="X500" s="66"/>
      <c r="Y500" s="38"/>
      <c r="Z500" s="66">
        <f t="shared" si="261"/>
        <v>0</v>
      </c>
      <c r="AA500" s="67"/>
      <c r="AC500" s="41" t="e">
        <f>VLOOKUP(A500,'Input Sheet'!$A$2:$B$232,2,0)</f>
        <v>#N/A</v>
      </c>
      <c r="AD500" s="70"/>
      <c r="AI500" s="68"/>
      <c r="AL500" s="107">
        <f t="shared" ca="1" si="274"/>
        <v>0</v>
      </c>
      <c r="AM500" s="49">
        <f t="shared" ca="1" si="268"/>
        <v>58500</v>
      </c>
      <c r="AN500" s="137" t="str">
        <f t="shared" ca="1" si="275"/>
        <v xml:space="preserve"> </v>
      </c>
      <c r="AO500" s="107">
        <f t="shared" ca="1" si="264"/>
        <v>0</v>
      </c>
      <c r="AP500" s="143">
        <f t="shared" ca="1" si="262"/>
        <v>0</v>
      </c>
      <c r="AQ500" s="143">
        <f t="shared" ca="1" si="276"/>
        <v>0</v>
      </c>
      <c r="AR500" s="49" t="str">
        <f t="shared" ca="1" si="277"/>
        <v xml:space="preserve"> </v>
      </c>
      <c r="AS500" s="107">
        <f t="shared" ca="1" si="278"/>
        <v>0</v>
      </c>
      <c r="AT500" s="107">
        <f t="shared" ca="1" si="263"/>
        <v>0</v>
      </c>
      <c r="AU500" s="107"/>
      <c r="AV500" s="107">
        <f ca="1">MAX(SUM($AQ$6:AQ500)-SUM($AT$6:AT500),0)</f>
        <v>0</v>
      </c>
      <c r="AW500" s="107">
        <f t="shared" ca="1" si="269"/>
        <v>0</v>
      </c>
      <c r="AX500" s="107">
        <v>0</v>
      </c>
      <c r="AY500" s="138" t="str">
        <f t="shared" ca="1" si="279"/>
        <v xml:space="preserve"> </v>
      </c>
      <c r="AZ500" s="107">
        <f t="shared" ca="1" si="280"/>
        <v>0</v>
      </c>
      <c r="BA500" s="107">
        <f ca="1">IF(AZ500=1,(SUM($AW$6:AW500,$AX$6:AX500)-SUM($BA$6:BA499)),0)</f>
        <v>0</v>
      </c>
      <c r="BB500" s="107"/>
      <c r="BC500" s="107">
        <f ca="1">AV500+SUM($AW$6:AW500)+SUM($AX$6:AX500)-SUM($BA$6:BA500)</f>
        <v>0</v>
      </c>
      <c r="BD500" s="107">
        <f t="shared" ca="1" si="281"/>
        <v>0</v>
      </c>
      <c r="BE500" s="51">
        <f>'PiT PD Structure'!J540</f>
        <v>0</v>
      </c>
      <c r="BF500" s="139">
        <f t="shared" ca="1" si="270"/>
        <v>0.45</v>
      </c>
      <c r="BG500" s="51">
        <f t="shared" ca="1" si="282"/>
        <v>1</v>
      </c>
      <c r="BH500" s="50">
        <f t="shared" ca="1" si="283"/>
        <v>0</v>
      </c>
      <c r="BI500" s="50">
        <f t="shared" ca="1" si="284"/>
        <v>3.4816594052244909E-13</v>
      </c>
      <c r="BJ500" s="140">
        <v>0</v>
      </c>
      <c r="BK500" s="140">
        <v>0</v>
      </c>
      <c r="BR500" s="75">
        <f t="shared" ca="1" si="271"/>
        <v>58500</v>
      </c>
      <c r="BS500" s="74">
        <f t="shared" ca="1" si="285"/>
        <v>2</v>
      </c>
      <c r="BT500" s="74">
        <f t="shared" ca="1" si="265"/>
        <v>0</v>
      </c>
      <c r="BU500" s="73" t="str">
        <f t="shared" ca="1" si="286"/>
        <v xml:space="preserve"> </v>
      </c>
      <c r="BW500" s="75">
        <f t="shared" ca="1" si="287"/>
        <v>58500</v>
      </c>
      <c r="BX500" s="74">
        <f t="shared" ca="1" si="288"/>
        <v>2</v>
      </c>
      <c r="BY500" s="74">
        <f t="shared" ca="1" si="266"/>
        <v>0</v>
      </c>
      <c r="BZ500" s="73" t="str">
        <f t="shared" ca="1" si="289"/>
        <v xml:space="preserve"> </v>
      </c>
      <c r="CB500" s="75">
        <f t="shared" ca="1" si="272"/>
        <v>58500</v>
      </c>
      <c r="CC500" s="74">
        <f t="shared" ca="1" si="290"/>
        <v>2</v>
      </c>
      <c r="CD500" s="74">
        <f t="shared" ca="1" si="267"/>
        <v>0</v>
      </c>
      <c r="CE500" s="73" t="str">
        <f t="shared" ca="1" si="291"/>
        <v xml:space="preserve"> </v>
      </c>
    </row>
    <row r="501" spans="1:83" x14ac:dyDescent="0.2">
      <c r="A501" s="38" t="str">
        <f t="shared" si="273"/>
        <v xml:space="preserve"> </v>
      </c>
      <c r="B501" s="108"/>
      <c r="C501" s="38"/>
      <c r="D501" s="137"/>
      <c r="E501" s="137"/>
      <c r="F501" s="137"/>
      <c r="G501" s="122"/>
      <c r="H501" s="137"/>
      <c r="I501" s="50"/>
      <c r="J501" s="50"/>
      <c r="K501" s="50"/>
      <c r="L501" s="38"/>
      <c r="M501" s="38"/>
      <c r="N501" s="38"/>
      <c r="O501" s="50"/>
      <c r="P501" s="218"/>
      <c r="Q501" s="50"/>
      <c r="R501" s="50"/>
      <c r="S501" s="38"/>
      <c r="T501" s="51"/>
      <c r="U501" s="65"/>
      <c r="V501" s="105"/>
      <c r="W501" s="66"/>
      <c r="X501" s="66"/>
      <c r="Y501" s="38"/>
      <c r="Z501" s="66">
        <f t="shared" si="261"/>
        <v>0</v>
      </c>
      <c r="AC501" s="41" t="e">
        <f>VLOOKUP(A501,'Input Sheet'!$A$2:$B$232,2,0)</f>
        <v>#N/A</v>
      </c>
      <c r="AD501" s="70"/>
      <c r="AI501" s="68"/>
      <c r="AL501" s="107">
        <f t="shared" ca="1" si="274"/>
        <v>0</v>
      </c>
      <c r="AM501" s="49">
        <f t="shared" ca="1" si="268"/>
        <v>58531</v>
      </c>
      <c r="AN501" s="137" t="str">
        <f t="shared" ca="1" si="275"/>
        <v xml:space="preserve"> </v>
      </c>
      <c r="AO501" s="107">
        <f t="shared" ca="1" si="264"/>
        <v>0</v>
      </c>
      <c r="AP501" s="143">
        <f t="shared" ca="1" si="262"/>
        <v>0</v>
      </c>
      <c r="AQ501" s="143">
        <f t="shared" ca="1" si="276"/>
        <v>0</v>
      </c>
      <c r="AR501" s="49" t="str">
        <f t="shared" ca="1" si="277"/>
        <v xml:space="preserve"> </v>
      </c>
      <c r="AS501" s="107">
        <f t="shared" ca="1" si="278"/>
        <v>0</v>
      </c>
      <c r="AT501" s="107">
        <f t="shared" ca="1" si="263"/>
        <v>0</v>
      </c>
      <c r="AU501" s="107"/>
      <c r="AV501" s="107">
        <f ca="1">MAX(SUM($AQ$6:AQ501)-SUM($AT$6:AT501),0)</f>
        <v>0</v>
      </c>
      <c r="AW501" s="107">
        <f t="shared" ca="1" si="269"/>
        <v>0</v>
      </c>
      <c r="AX501" s="107">
        <v>0</v>
      </c>
      <c r="AY501" s="138" t="str">
        <f t="shared" ca="1" si="279"/>
        <v xml:space="preserve"> </v>
      </c>
      <c r="AZ501" s="107">
        <f t="shared" ca="1" si="280"/>
        <v>0</v>
      </c>
      <c r="BA501" s="107">
        <f ca="1">IF(AZ501=1,(SUM($AW$6:AW501,$AX$6:AX501)-SUM($BA$6:BA500)),0)</f>
        <v>0</v>
      </c>
      <c r="BB501" s="107"/>
      <c r="BC501" s="107">
        <f ca="1">AV501+SUM($AW$6:AW501)+SUM($AX$6:AX501)-SUM($BA$6:BA501)</f>
        <v>0</v>
      </c>
      <c r="BD501" s="107">
        <f t="shared" ca="1" si="281"/>
        <v>0</v>
      </c>
      <c r="BE501" s="51">
        <f>'PiT PD Structure'!J541</f>
        <v>0</v>
      </c>
      <c r="BF501" s="139">
        <f t="shared" ca="1" si="270"/>
        <v>0.45</v>
      </c>
      <c r="BG501" s="51">
        <f t="shared" ca="1" si="282"/>
        <v>1</v>
      </c>
      <c r="BH501" s="50">
        <f t="shared" ca="1" si="283"/>
        <v>0</v>
      </c>
      <c r="BI501" s="50">
        <f t="shared" ca="1" si="284"/>
        <v>3.4816594052244909E-13</v>
      </c>
      <c r="BJ501" s="140">
        <v>0</v>
      </c>
      <c r="BK501" s="140">
        <v>0</v>
      </c>
      <c r="BR501" s="75">
        <f t="shared" ca="1" si="271"/>
        <v>58531</v>
      </c>
      <c r="BS501" s="74">
        <f t="shared" ca="1" si="285"/>
        <v>3</v>
      </c>
      <c r="BT501" s="74">
        <f t="shared" ca="1" si="265"/>
        <v>0</v>
      </c>
      <c r="BU501" s="73" t="str">
        <f t="shared" ca="1" si="286"/>
        <v xml:space="preserve"> </v>
      </c>
      <c r="BW501" s="75">
        <f t="shared" ca="1" si="287"/>
        <v>58531</v>
      </c>
      <c r="BX501" s="74">
        <f t="shared" ca="1" si="288"/>
        <v>3</v>
      </c>
      <c r="BY501" s="74">
        <f t="shared" ca="1" si="266"/>
        <v>0</v>
      </c>
      <c r="BZ501" s="73" t="str">
        <f t="shared" ca="1" si="289"/>
        <v xml:space="preserve"> </v>
      </c>
      <c r="CB501" s="75">
        <f t="shared" ca="1" si="272"/>
        <v>58531</v>
      </c>
      <c r="CC501" s="74">
        <f t="shared" ca="1" si="290"/>
        <v>3</v>
      </c>
      <c r="CD501" s="74">
        <f t="shared" ca="1" si="267"/>
        <v>0</v>
      </c>
      <c r="CE501" s="73" t="str">
        <f t="shared" ca="1" si="291"/>
        <v xml:space="preserve"> </v>
      </c>
    </row>
    <row r="502" spans="1:83" x14ac:dyDescent="0.2">
      <c r="A502" s="38" t="str">
        <f t="shared" si="273"/>
        <v xml:space="preserve"> </v>
      </c>
      <c r="B502" s="108"/>
      <c r="C502" s="38"/>
      <c r="D502" s="137"/>
      <c r="E502" s="137"/>
      <c r="F502" s="137"/>
      <c r="G502" s="122"/>
      <c r="H502" s="137"/>
      <c r="I502" s="50"/>
      <c r="J502" s="50"/>
      <c r="K502" s="50"/>
      <c r="L502" s="38"/>
      <c r="M502" s="38"/>
      <c r="N502" s="38"/>
      <c r="O502" s="50"/>
      <c r="P502" s="218"/>
      <c r="Q502" s="50"/>
      <c r="R502" s="50"/>
      <c r="S502" s="38"/>
      <c r="T502" s="51"/>
      <c r="U502" s="65"/>
      <c r="V502" s="105"/>
      <c r="W502" s="66"/>
      <c r="X502" s="66"/>
      <c r="Y502" s="38"/>
      <c r="Z502" s="66">
        <f t="shared" si="261"/>
        <v>0</v>
      </c>
      <c r="AC502" s="41" t="e">
        <f>VLOOKUP(A502,'Input Sheet'!$A$2:$B$232,2,0)</f>
        <v>#N/A</v>
      </c>
      <c r="AD502" s="70"/>
      <c r="AI502" s="68"/>
      <c r="AL502" s="107">
        <f t="shared" ca="1" si="274"/>
        <v>0</v>
      </c>
      <c r="AM502" s="49">
        <f t="shared" ca="1" si="268"/>
        <v>58561</v>
      </c>
      <c r="AN502" s="137" t="str">
        <f t="shared" ca="1" si="275"/>
        <v xml:space="preserve"> </v>
      </c>
      <c r="AO502" s="107">
        <f t="shared" ca="1" si="264"/>
        <v>0</v>
      </c>
      <c r="AP502" s="143">
        <f t="shared" ca="1" si="262"/>
        <v>0</v>
      </c>
      <c r="AQ502" s="143">
        <f t="shared" ca="1" si="276"/>
        <v>0</v>
      </c>
      <c r="AR502" s="49" t="str">
        <f t="shared" ca="1" si="277"/>
        <v xml:space="preserve"> </v>
      </c>
      <c r="AS502" s="107">
        <f t="shared" ca="1" si="278"/>
        <v>0</v>
      </c>
      <c r="AT502" s="107">
        <f t="shared" ca="1" si="263"/>
        <v>0</v>
      </c>
      <c r="AU502" s="107"/>
      <c r="AV502" s="107">
        <f ca="1">MAX(SUM($AQ$6:AQ502)-SUM($AT$6:AT502),0)</f>
        <v>0</v>
      </c>
      <c r="AW502" s="107">
        <f t="shared" ca="1" si="269"/>
        <v>0</v>
      </c>
      <c r="AX502" s="107">
        <v>0</v>
      </c>
      <c r="AY502" s="138" t="str">
        <f t="shared" ca="1" si="279"/>
        <v xml:space="preserve"> </v>
      </c>
      <c r="AZ502" s="107">
        <f t="shared" ca="1" si="280"/>
        <v>0</v>
      </c>
      <c r="BA502" s="107">
        <f ca="1">IF(AZ502=1,(SUM($AW$6:AW502,$AX$6:AX502)-SUM($BA$6:BA501)),0)</f>
        <v>0</v>
      </c>
      <c r="BB502" s="107"/>
      <c r="BC502" s="107">
        <f ca="1">AV502+SUM($AW$6:AW502)+SUM($AX$6:AX502)-SUM($BA$6:BA502)</f>
        <v>0</v>
      </c>
      <c r="BD502" s="107">
        <f t="shared" ca="1" si="281"/>
        <v>0</v>
      </c>
      <c r="BE502" s="51">
        <f>'PiT PD Structure'!J542</f>
        <v>0</v>
      </c>
      <c r="BF502" s="139">
        <f t="shared" ca="1" si="270"/>
        <v>0.45</v>
      </c>
      <c r="BG502" s="51">
        <f t="shared" ca="1" si="282"/>
        <v>1</v>
      </c>
      <c r="BH502" s="50">
        <f t="shared" ca="1" si="283"/>
        <v>0</v>
      </c>
      <c r="BI502" s="50">
        <f t="shared" ca="1" si="284"/>
        <v>3.4816594052244909E-13</v>
      </c>
      <c r="BJ502" s="140">
        <v>0</v>
      </c>
      <c r="BK502" s="140">
        <v>0</v>
      </c>
      <c r="BR502" s="75">
        <f t="shared" ca="1" si="271"/>
        <v>58561</v>
      </c>
      <c r="BS502" s="74">
        <f t="shared" ca="1" si="285"/>
        <v>4</v>
      </c>
      <c r="BT502" s="74">
        <f t="shared" ca="1" si="265"/>
        <v>0</v>
      </c>
      <c r="BU502" s="73" t="str">
        <f t="shared" ca="1" si="286"/>
        <v xml:space="preserve"> </v>
      </c>
      <c r="BW502" s="75">
        <f t="shared" ca="1" si="287"/>
        <v>58561</v>
      </c>
      <c r="BX502" s="74">
        <f t="shared" ca="1" si="288"/>
        <v>4</v>
      </c>
      <c r="BY502" s="74">
        <f t="shared" ca="1" si="266"/>
        <v>0</v>
      </c>
      <c r="BZ502" s="73" t="str">
        <f t="shared" ca="1" si="289"/>
        <v xml:space="preserve"> </v>
      </c>
      <c r="CB502" s="75">
        <f t="shared" ca="1" si="272"/>
        <v>58561</v>
      </c>
      <c r="CC502" s="74">
        <f t="shared" ca="1" si="290"/>
        <v>4</v>
      </c>
      <c r="CD502" s="74">
        <f t="shared" ca="1" si="267"/>
        <v>0</v>
      </c>
      <c r="CE502" s="73" t="str">
        <f t="shared" ca="1" si="291"/>
        <v xml:space="preserve"> </v>
      </c>
    </row>
    <row r="503" spans="1:83" x14ac:dyDescent="0.2">
      <c r="A503" s="38" t="str">
        <f t="shared" si="273"/>
        <v xml:space="preserve"> </v>
      </c>
      <c r="B503" s="108"/>
      <c r="C503" s="38"/>
      <c r="D503" s="137"/>
      <c r="E503" s="137"/>
      <c r="F503" s="137"/>
      <c r="G503" s="122"/>
      <c r="H503" s="137"/>
      <c r="I503" s="50"/>
      <c r="J503" s="50"/>
      <c r="K503" s="50"/>
      <c r="L503" s="38"/>
      <c r="M503" s="38"/>
      <c r="N503" s="38"/>
      <c r="O503" s="50"/>
      <c r="P503" s="218"/>
      <c r="Q503" s="50"/>
      <c r="R503" s="50"/>
      <c r="S503" s="38"/>
      <c r="T503" s="51"/>
      <c r="U503" s="65"/>
      <c r="V503" s="105"/>
      <c r="W503" s="66"/>
      <c r="X503" s="66"/>
      <c r="Y503" s="38"/>
      <c r="Z503" s="66">
        <f t="shared" si="261"/>
        <v>0</v>
      </c>
      <c r="AC503" s="41" t="e">
        <f>VLOOKUP(A503,'Input Sheet'!$A$2:$B$232,2,0)</f>
        <v>#N/A</v>
      </c>
      <c r="AD503" s="70"/>
      <c r="AI503" s="68"/>
      <c r="AL503" s="107">
        <f t="shared" ca="1" si="274"/>
        <v>0</v>
      </c>
      <c r="AM503" s="49">
        <f t="shared" ca="1" si="268"/>
        <v>58592</v>
      </c>
      <c r="AN503" s="137" t="str">
        <f t="shared" ca="1" si="275"/>
        <v xml:space="preserve"> </v>
      </c>
      <c r="AO503" s="107">
        <f t="shared" ca="1" si="264"/>
        <v>0</v>
      </c>
      <c r="AP503" s="143">
        <f t="shared" ca="1" si="262"/>
        <v>0</v>
      </c>
      <c r="AQ503" s="143">
        <f t="shared" ca="1" si="276"/>
        <v>0</v>
      </c>
      <c r="AR503" s="49" t="str">
        <f t="shared" ca="1" si="277"/>
        <v xml:space="preserve"> </v>
      </c>
      <c r="AS503" s="107">
        <f t="shared" ca="1" si="278"/>
        <v>0</v>
      </c>
      <c r="AT503" s="107">
        <f t="shared" ca="1" si="263"/>
        <v>0</v>
      </c>
      <c r="AU503" s="107"/>
      <c r="AV503" s="107">
        <f ca="1">MAX(SUM($AQ$6:AQ503)-SUM($AT$6:AT503),0)</f>
        <v>0</v>
      </c>
      <c r="AW503" s="107">
        <f t="shared" ca="1" si="269"/>
        <v>0</v>
      </c>
      <c r="AX503" s="107">
        <v>0</v>
      </c>
      <c r="AY503" s="138" t="str">
        <f t="shared" ca="1" si="279"/>
        <v xml:space="preserve"> </v>
      </c>
      <c r="AZ503" s="107">
        <f t="shared" ca="1" si="280"/>
        <v>0</v>
      </c>
      <c r="BA503" s="107">
        <f ca="1">IF(AZ503=1,(SUM($AW$6:AW503,$AX$6:AX503)-SUM($BA$6:BA502)),0)</f>
        <v>0</v>
      </c>
      <c r="BB503" s="107"/>
      <c r="BC503" s="107">
        <f ca="1">AV503+SUM($AW$6:AW503)+SUM($AX$6:AX503)-SUM($BA$6:BA503)</f>
        <v>0</v>
      </c>
      <c r="BD503" s="107">
        <f t="shared" ca="1" si="281"/>
        <v>0</v>
      </c>
      <c r="BE503" s="51">
        <f>'PiT PD Structure'!J543</f>
        <v>0</v>
      </c>
      <c r="BF503" s="139">
        <f t="shared" ca="1" si="270"/>
        <v>0.45</v>
      </c>
      <c r="BG503" s="51">
        <f t="shared" ca="1" si="282"/>
        <v>1</v>
      </c>
      <c r="BH503" s="50">
        <f t="shared" ca="1" si="283"/>
        <v>0</v>
      </c>
      <c r="BI503" s="50">
        <f t="shared" ca="1" si="284"/>
        <v>3.4816594052244909E-13</v>
      </c>
      <c r="BJ503" s="140">
        <v>0</v>
      </c>
      <c r="BK503" s="140">
        <v>0</v>
      </c>
      <c r="BR503" s="75">
        <f t="shared" ca="1" si="271"/>
        <v>58592</v>
      </c>
      <c r="BS503" s="74">
        <f t="shared" ca="1" si="285"/>
        <v>5</v>
      </c>
      <c r="BT503" s="74">
        <f t="shared" ca="1" si="265"/>
        <v>0</v>
      </c>
      <c r="BU503" s="73" t="str">
        <f t="shared" ca="1" si="286"/>
        <v xml:space="preserve"> </v>
      </c>
      <c r="BW503" s="75">
        <f t="shared" ca="1" si="287"/>
        <v>58592</v>
      </c>
      <c r="BX503" s="74">
        <f t="shared" ca="1" si="288"/>
        <v>5</v>
      </c>
      <c r="BY503" s="74">
        <f t="shared" ca="1" si="266"/>
        <v>0</v>
      </c>
      <c r="BZ503" s="73" t="str">
        <f t="shared" ca="1" si="289"/>
        <v xml:space="preserve"> </v>
      </c>
      <c r="CB503" s="75">
        <f t="shared" ca="1" si="272"/>
        <v>58592</v>
      </c>
      <c r="CC503" s="74">
        <f t="shared" ca="1" si="290"/>
        <v>5</v>
      </c>
      <c r="CD503" s="74">
        <f t="shared" ca="1" si="267"/>
        <v>0</v>
      </c>
      <c r="CE503" s="73" t="str">
        <f t="shared" ca="1" si="291"/>
        <v xml:space="preserve"> </v>
      </c>
    </row>
    <row r="504" spans="1:83" x14ac:dyDescent="0.2">
      <c r="A504" s="38" t="str">
        <f t="shared" si="273"/>
        <v xml:space="preserve"> </v>
      </c>
      <c r="B504" s="108"/>
      <c r="C504" s="38"/>
      <c r="D504" s="137"/>
      <c r="E504" s="137"/>
      <c r="F504" s="137"/>
      <c r="G504" s="122"/>
      <c r="H504" s="137"/>
      <c r="I504" s="50"/>
      <c r="J504" s="50"/>
      <c r="K504" s="50"/>
      <c r="L504" s="38"/>
      <c r="M504" s="38"/>
      <c r="N504" s="38"/>
      <c r="O504" s="50"/>
      <c r="P504" s="218"/>
      <c r="Q504" s="50"/>
      <c r="R504" s="50"/>
      <c r="S504" s="38"/>
      <c r="T504" s="51"/>
      <c r="U504" s="65"/>
      <c r="V504" s="105"/>
      <c r="W504" s="66"/>
      <c r="X504" s="66"/>
      <c r="Y504" s="38"/>
      <c r="Z504" s="66">
        <f t="shared" si="261"/>
        <v>0</v>
      </c>
      <c r="AC504" s="41" t="e">
        <f>VLOOKUP(A504,'Input Sheet'!$A$2:$B$232,2,0)</f>
        <v>#N/A</v>
      </c>
      <c r="AD504" s="70"/>
      <c r="AI504" s="68"/>
      <c r="AL504" s="107">
        <f t="shared" ca="1" si="274"/>
        <v>0</v>
      </c>
      <c r="AM504" s="49">
        <f t="shared" ca="1" si="268"/>
        <v>58622</v>
      </c>
      <c r="AN504" s="137" t="str">
        <f t="shared" ca="1" si="275"/>
        <v xml:space="preserve"> </v>
      </c>
      <c r="AO504" s="107">
        <f t="shared" ca="1" si="264"/>
        <v>0</v>
      </c>
      <c r="AP504" s="143">
        <f t="shared" ca="1" si="262"/>
        <v>0</v>
      </c>
      <c r="AQ504" s="143">
        <f t="shared" ca="1" si="276"/>
        <v>0</v>
      </c>
      <c r="AR504" s="49" t="str">
        <f t="shared" ca="1" si="277"/>
        <v xml:space="preserve"> </v>
      </c>
      <c r="AS504" s="107">
        <f t="shared" ca="1" si="278"/>
        <v>0</v>
      </c>
      <c r="AT504" s="107">
        <f t="shared" ca="1" si="263"/>
        <v>0</v>
      </c>
      <c r="AU504" s="107"/>
      <c r="AV504" s="107">
        <f ca="1">MAX(SUM($AQ$6:AQ504)-SUM($AT$6:AT504),0)</f>
        <v>0</v>
      </c>
      <c r="AW504" s="107">
        <f t="shared" ca="1" si="269"/>
        <v>0</v>
      </c>
      <c r="AX504" s="107">
        <v>0</v>
      </c>
      <c r="AY504" s="138" t="str">
        <f t="shared" ca="1" si="279"/>
        <v xml:space="preserve"> </v>
      </c>
      <c r="AZ504" s="107">
        <f t="shared" ca="1" si="280"/>
        <v>0</v>
      </c>
      <c r="BA504" s="107">
        <f ca="1">IF(AZ504=1,(SUM($AW$6:AW504,$AX$6:AX504)-SUM($BA$6:BA503)),0)</f>
        <v>0</v>
      </c>
      <c r="BB504" s="107"/>
      <c r="BC504" s="107">
        <f ca="1">AV504+SUM($AW$6:AW504)+SUM($AX$6:AX504)-SUM($BA$6:BA504)</f>
        <v>0</v>
      </c>
      <c r="BD504" s="107">
        <f t="shared" ca="1" si="281"/>
        <v>0</v>
      </c>
      <c r="BE504" s="51">
        <f>'PiT PD Structure'!J544</f>
        <v>0</v>
      </c>
      <c r="BF504" s="139">
        <f t="shared" ca="1" si="270"/>
        <v>0.45</v>
      </c>
      <c r="BG504" s="51">
        <f t="shared" ca="1" si="282"/>
        <v>1</v>
      </c>
      <c r="BH504" s="50">
        <f t="shared" ca="1" si="283"/>
        <v>0</v>
      </c>
      <c r="BI504" s="50">
        <f t="shared" ca="1" si="284"/>
        <v>3.4816594052244909E-13</v>
      </c>
      <c r="BJ504" s="140">
        <v>0</v>
      </c>
      <c r="BK504" s="140">
        <v>0</v>
      </c>
      <c r="BR504" s="75">
        <f t="shared" ca="1" si="271"/>
        <v>58622</v>
      </c>
      <c r="BS504" s="74">
        <f t="shared" ca="1" si="285"/>
        <v>6</v>
      </c>
      <c r="BT504" s="74">
        <f t="shared" ca="1" si="265"/>
        <v>0</v>
      </c>
      <c r="BU504" s="73" t="str">
        <f t="shared" ca="1" si="286"/>
        <v xml:space="preserve"> </v>
      </c>
      <c r="BW504" s="75">
        <f t="shared" ca="1" si="287"/>
        <v>58622</v>
      </c>
      <c r="BX504" s="74">
        <f t="shared" ca="1" si="288"/>
        <v>6</v>
      </c>
      <c r="BY504" s="74">
        <f t="shared" ca="1" si="266"/>
        <v>0</v>
      </c>
      <c r="BZ504" s="73" t="str">
        <f t="shared" ca="1" si="289"/>
        <v xml:space="preserve"> </v>
      </c>
      <c r="CB504" s="75">
        <f t="shared" ca="1" si="272"/>
        <v>58622</v>
      </c>
      <c r="CC504" s="74">
        <f t="shared" ca="1" si="290"/>
        <v>6</v>
      </c>
      <c r="CD504" s="74">
        <f t="shared" ca="1" si="267"/>
        <v>0</v>
      </c>
      <c r="CE504" s="73" t="str">
        <f t="shared" ca="1" si="291"/>
        <v xml:space="preserve"> </v>
      </c>
    </row>
    <row r="505" spans="1:83" x14ac:dyDescent="0.2">
      <c r="A505" s="38" t="str">
        <f t="shared" si="273"/>
        <v xml:space="preserve"> </v>
      </c>
      <c r="B505" s="108"/>
      <c r="C505" s="38"/>
      <c r="D505" s="137"/>
      <c r="E505" s="137"/>
      <c r="F505" s="137"/>
      <c r="G505" s="122"/>
      <c r="H505" s="137"/>
      <c r="I505" s="50"/>
      <c r="J505" s="50"/>
      <c r="K505" s="50"/>
      <c r="L505" s="38"/>
      <c r="M505" s="38"/>
      <c r="N505" s="38"/>
      <c r="O505" s="50"/>
      <c r="P505" s="218"/>
      <c r="Q505" s="50"/>
      <c r="R505" s="50"/>
      <c r="S505" s="38"/>
      <c r="T505" s="51"/>
      <c r="U505" s="65"/>
      <c r="V505" s="105"/>
      <c r="W505" s="66"/>
      <c r="X505" s="66"/>
      <c r="Y505" s="38"/>
      <c r="Z505" s="66">
        <f t="shared" si="261"/>
        <v>0</v>
      </c>
      <c r="AC505" s="41" t="e">
        <f>VLOOKUP(A505,'Input Sheet'!$A$2:$B$232,2,0)</f>
        <v>#N/A</v>
      </c>
      <c r="AD505" s="70"/>
      <c r="AI505" s="68"/>
      <c r="AL505" s="107">
        <f t="shared" ca="1" si="274"/>
        <v>0</v>
      </c>
      <c r="AM505" s="49">
        <f t="shared" ca="1" si="268"/>
        <v>58653</v>
      </c>
      <c r="AN505" s="137" t="str">
        <f t="shared" ca="1" si="275"/>
        <v xml:space="preserve"> </v>
      </c>
      <c r="AO505" s="107">
        <f t="shared" ca="1" si="264"/>
        <v>0</v>
      </c>
      <c r="AP505" s="143">
        <f t="shared" ca="1" si="262"/>
        <v>0</v>
      </c>
      <c r="AQ505" s="143">
        <f t="shared" ca="1" si="276"/>
        <v>0</v>
      </c>
      <c r="AR505" s="49" t="str">
        <f t="shared" ca="1" si="277"/>
        <v xml:space="preserve"> </v>
      </c>
      <c r="AS505" s="107">
        <f t="shared" ca="1" si="278"/>
        <v>0</v>
      </c>
      <c r="AT505" s="107">
        <f t="shared" ca="1" si="263"/>
        <v>0</v>
      </c>
      <c r="AU505" s="107"/>
      <c r="AV505" s="107">
        <f ca="1">MAX(SUM($AQ$6:AQ505)-SUM($AT$6:AT505),0)</f>
        <v>0</v>
      </c>
      <c r="AW505" s="107">
        <f t="shared" ca="1" si="269"/>
        <v>0</v>
      </c>
      <c r="AX505" s="107">
        <v>0</v>
      </c>
      <c r="AY505" s="138" t="str">
        <f t="shared" ca="1" si="279"/>
        <v xml:space="preserve"> </v>
      </c>
      <c r="AZ505" s="107">
        <f t="shared" ca="1" si="280"/>
        <v>0</v>
      </c>
      <c r="BA505" s="107">
        <f ca="1">IF(AZ505=1,(SUM($AW$6:AW505,$AX$6:AX505)-SUM($BA$6:BA504)),0)</f>
        <v>0</v>
      </c>
      <c r="BB505" s="107"/>
      <c r="BC505" s="107">
        <f ca="1">AV505+SUM($AW$6:AW505)+SUM($AX$6:AX505)-SUM($BA$6:BA505)</f>
        <v>0</v>
      </c>
      <c r="BD505" s="107">
        <f t="shared" ca="1" si="281"/>
        <v>0</v>
      </c>
      <c r="BE505" s="51">
        <f>'PiT PD Structure'!J545</f>
        <v>0</v>
      </c>
      <c r="BF505" s="139">
        <f t="shared" ca="1" si="270"/>
        <v>0.45</v>
      </c>
      <c r="BG505" s="51">
        <f t="shared" ca="1" si="282"/>
        <v>1</v>
      </c>
      <c r="BH505" s="50">
        <f t="shared" ca="1" si="283"/>
        <v>0</v>
      </c>
      <c r="BI505" s="50">
        <f t="shared" ca="1" si="284"/>
        <v>3.4816594052244909E-13</v>
      </c>
      <c r="BJ505" s="140">
        <v>0</v>
      </c>
      <c r="BK505" s="140">
        <v>0</v>
      </c>
      <c r="BR505" s="75">
        <f t="shared" ca="1" si="271"/>
        <v>58653</v>
      </c>
      <c r="BS505" s="74">
        <f t="shared" ca="1" si="285"/>
        <v>7</v>
      </c>
      <c r="BT505" s="74">
        <f t="shared" ca="1" si="265"/>
        <v>0</v>
      </c>
      <c r="BU505" s="73" t="str">
        <f t="shared" ca="1" si="286"/>
        <v xml:space="preserve"> </v>
      </c>
      <c r="BW505" s="75">
        <f t="shared" ca="1" si="287"/>
        <v>58653</v>
      </c>
      <c r="BX505" s="74">
        <f t="shared" ca="1" si="288"/>
        <v>7</v>
      </c>
      <c r="BY505" s="74">
        <f t="shared" ca="1" si="266"/>
        <v>0</v>
      </c>
      <c r="BZ505" s="73" t="str">
        <f t="shared" ca="1" si="289"/>
        <v xml:space="preserve"> </v>
      </c>
      <c r="CB505" s="75">
        <f t="shared" ca="1" si="272"/>
        <v>58653</v>
      </c>
      <c r="CC505" s="74">
        <f t="shared" ca="1" si="290"/>
        <v>7</v>
      </c>
      <c r="CD505" s="74">
        <f t="shared" ca="1" si="267"/>
        <v>0</v>
      </c>
      <c r="CE505" s="73" t="str">
        <f t="shared" ca="1" si="291"/>
        <v xml:space="preserve"> </v>
      </c>
    </row>
    <row r="506" spans="1:83" x14ac:dyDescent="0.2">
      <c r="A506" s="38" t="str">
        <f t="shared" si="273"/>
        <v xml:space="preserve"> </v>
      </c>
      <c r="B506" s="108"/>
      <c r="C506" s="38"/>
      <c r="D506" s="137"/>
      <c r="E506" s="137"/>
      <c r="F506" s="137"/>
      <c r="G506" s="122"/>
      <c r="H506" s="137"/>
      <c r="I506" s="50"/>
      <c r="J506" s="50"/>
      <c r="K506" s="50"/>
      <c r="L506" s="38"/>
      <c r="M506" s="38"/>
      <c r="N506" s="38"/>
      <c r="O506" s="50"/>
      <c r="P506" s="218"/>
      <c r="Q506" s="50"/>
      <c r="R506" s="50"/>
      <c r="S506" s="38"/>
      <c r="T506" s="51"/>
      <c r="U506" s="65"/>
      <c r="V506" s="105"/>
      <c r="W506" s="66"/>
      <c r="X506" s="66"/>
      <c r="Y506" s="38"/>
      <c r="Z506" s="66">
        <f t="shared" si="261"/>
        <v>0</v>
      </c>
      <c r="AC506" s="41" t="e">
        <f>VLOOKUP(A506,'Input Sheet'!$A$2:$B$232,2,0)</f>
        <v>#N/A</v>
      </c>
      <c r="AD506" s="70"/>
      <c r="AI506" s="68"/>
      <c r="AL506" s="107">
        <f t="shared" ca="1" si="274"/>
        <v>0</v>
      </c>
      <c r="AM506" s="49">
        <f t="shared" ca="1" si="268"/>
        <v>58684</v>
      </c>
      <c r="AN506" s="137" t="str">
        <f t="shared" ca="1" si="275"/>
        <v xml:space="preserve"> </v>
      </c>
      <c r="AO506" s="107">
        <f t="shared" ca="1" si="264"/>
        <v>0</v>
      </c>
      <c r="AP506" s="143">
        <f t="shared" ca="1" si="262"/>
        <v>0</v>
      </c>
      <c r="AQ506" s="143">
        <f t="shared" ca="1" si="276"/>
        <v>0</v>
      </c>
      <c r="AR506" s="49" t="str">
        <f t="shared" ca="1" si="277"/>
        <v xml:space="preserve"> </v>
      </c>
      <c r="AS506" s="107">
        <f t="shared" ca="1" si="278"/>
        <v>0</v>
      </c>
      <c r="AT506" s="107">
        <f t="shared" ca="1" si="263"/>
        <v>0</v>
      </c>
      <c r="AU506" s="107"/>
      <c r="AV506" s="107">
        <f ca="1">MAX(SUM($AQ$6:AQ506)-SUM($AT$6:AT506),0)</f>
        <v>0</v>
      </c>
      <c r="AW506" s="107">
        <f t="shared" ca="1" si="269"/>
        <v>0</v>
      </c>
      <c r="AX506" s="107">
        <v>0</v>
      </c>
      <c r="AY506" s="138" t="str">
        <f t="shared" ca="1" si="279"/>
        <v xml:space="preserve"> </v>
      </c>
      <c r="AZ506" s="107">
        <f t="shared" ca="1" si="280"/>
        <v>0</v>
      </c>
      <c r="BA506" s="107">
        <f ca="1">IF(AZ506=1,(SUM($AW$6:AW506,$AX$6:AX506)-SUM($BA$6:BA505)),0)</f>
        <v>0</v>
      </c>
      <c r="BB506" s="107"/>
      <c r="BC506" s="107">
        <f ca="1">AV506+SUM($AW$6:AW506)+SUM($AX$6:AX506)-SUM($BA$6:BA506)</f>
        <v>0</v>
      </c>
      <c r="BD506" s="107">
        <f t="shared" ca="1" si="281"/>
        <v>0</v>
      </c>
      <c r="BE506" s="51">
        <f>'PiT PD Structure'!J546</f>
        <v>0</v>
      </c>
      <c r="BF506" s="139">
        <f t="shared" ca="1" si="270"/>
        <v>0.45</v>
      </c>
      <c r="BG506" s="51">
        <f t="shared" ca="1" si="282"/>
        <v>1</v>
      </c>
      <c r="BH506" s="50">
        <f t="shared" ca="1" si="283"/>
        <v>0</v>
      </c>
      <c r="BI506" s="50">
        <f t="shared" ca="1" si="284"/>
        <v>3.4816594052244909E-13</v>
      </c>
      <c r="BJ506" s="140">
        <v>0</v>
      </c>
      <c r="BK506" s="140">
        <v>0</v>
      </c>
      <c r="BR506" s="75">
        <f t="shared" ca="1" si="271"/>
        <v>58684</v>
      </c>
      <c r="BS506" s="74">
        <f t="shared" ca="1" si="285"/>
        <v>8</v>
      </c>
      <c r="BT506" s="74">
        <f t="shared" ca="1" si="265"/>
        <v>0</v>
      </c>
      <c r="BU506" s="73" t="str">
        <f t="shared" ca="1" si="286"/>
        <v xml:space="preserve"> </v>
      </c>
      <c r="BW506" s="75">
        <f t="shared" ca="1" si="287"/>
        <v>58684</v>
      </c>
      <c r="BX506" s="74">
        <f t="shared" ca="1" si="288"/>
        <v>8</v>
      </c>
      <c r="BY506" s="74">
        <f t="shared" ca="1" si="266"/>
        <v>0</v>
      </c>
      <c r="BZ506" s="73" t="str">
        <f t="shared" ca="1" si="289"/>
        <v xml:space="preserve"> </v>
      </c>
      <c r="CB506" s="75">
        <f t="shared" ca="1" si="272"/>
        <v>58684</v>
      </c>
      <c r="CC506" s="74">
        <f t="shared" ca="1" si="290"/>
        <v>8</v>
      </c>
      <c r="CD506" s="74">
        <f t="shared" ca="1" si="267"/>
        <v>0</v>
      </c>
      <c r="CE506" s="73" t="str">
        <f t="shared" ca="1" si="291"/>
        <v xml:space="preserve"> </v>
      </c>
    </row>
    <row r="507" spans="1:83" x14ac:dyDescent="0.2">
      <c r="A507" s="38" t="str">
        <f t="shared" si="273"/>
        <v xml:space="preserve"> </v>
      </c>
      <c r="B507" s="108"/>
      <c r="C507" s="38"/>
      <c r="D507" s="137"/>
      <c r="E507" s="137"/>
      <c r="F507" s="137"/>
      <c r="G507" s="122"/>
      <c r="H507" s="137"/>
      <c r="I507" s="50"/>
      <c r="J507" s="50"/>
      <c r="K507" s="50"/>
      <c r="L507" s="38"/>
      <c r="M507" s="38"/>
      <c r="N507" s="38"/>
      <c r="O507" s="50"/>
      <c r="P507" s="218"/>
      <c r="Q507" s="50"/>
      <c r="R507" s="50"/>
      <c r="S507" s="38"/>
      <c r="T507" s="51"/>
      <c r="U507" s="65"/>
      <c r="V507" s="105"/>
      <c r="W507" s="66"/>
      <c r="X507" s="66"/>
      <c r="Y507" s="38"/>
      <c r="Z507" s="66">
        <f t="shared" si="261"/>
        <v>0</v>
      </c>
      <c r="AC507" s="41" t="e">
        <f>VLOOKUP(A507,'Input Sheet'!$A$2:$B$232,2,0)</f>
        <v>#N/A</v>
      </c>
      <c r="AD507" s="70"/>
      <c r="AI507" s="68"/>
      <c r="AL507" s="107">
        <f t="shared" ca="1" si="274"/>
        <v>0</v>
      </c>
      <c r="AM507" s="49">
        <f t="shared" ca="1" si="268"/>
        <v>58714</v>
      </c>
      <c r="AN507" s="137" t="str">
        <f t="shared" ca="1" si="275"/>
        <v xml:space="preserve"> </v>
      </c>
      <c r="AO507" s="107">
        <f t="shared" ca="1" si="264"/>
        <v>0</v>
      </c>
      <c r="AP507" s="143">
        <f t="shared" ca="1" si="262"/>
        <v>0</v>
      </c>
      <c r="AQ507" s="143">
        <f t="shared" ca="1" si="276"/>
        <v>0</v>
      </c>
      <c r="AR507" s="49" t="str">
        <f t="shared" ca="1" si="277"/>
        <v xml:space="preserve"> </v>
      </c>
      <c r="AS507" s="107">
        <f t="shared" ca="1" si="278"/>
        <v>0</v>
      </c>
      <c r="AT507" s="107">
        <f t="shared" ca="1" si="263"/>
        <v>0</v>
      </c>
      <c r="AU507" s="107"/>
      <c r="AV507" s="107">
        <f ca="1">MAX(SUM($AQ$6:AQ507)-SUM($AT$6:AT507),0)</f>
        <v>0</v>
      </c>
      <c r="AW507" s="107">
        <f t="shared" ca="1" si="269"/>
        <v>0</v>
      </c>
      <c r="AX507" s="107">
        <v>0</v>
      </c>
      <c r="AY507" s="138" t="str">
        <f t="shared" ca="1" si="279"/>
        <v xml:space="preserve"> </v>
      </c>
      <c r="AZ507" s="107">
        <f t="shared" ca="1" si="280"/>
        <v>0</v>
      </c>
      <c r="BA507" s="107">
        <f ca="1">IF(AZ507=1,(SUM($AW$6:AW507,$AX$6:AX507)-SUM($BA$6:BA506)),0)</f>
        <v>0</v>
      </c>
      <c r="BB507" s="107"/>
      <c r="BC507" s="107">
        <f ca="1">AV507+SUM($AW$6:AW507)+SUM($AX$6:AX507)-SUM($BA$6:BA507)</f>
        <v>0</v>
      </c>
      <c r="BD507" s="107">
        <f t="shared" ca="1" si="281"/>
        <v>0</v>
      </c>
      <c r="BE507" s="51">
        <f>'PiT PD Structure'!J547</f>
        <v>0</v>
      </c>
      <c r="BF507" s="139">
        <f t="shared" ca="1" si="270"/>
        <v>0.45</v>
      </c>
      <c r="BG507" s="51">
        <f t="shared" ca="1" si="282"/>
        <v>1</v>
      </c>
      <c r="BH507" s="50">
        <f t="shared" ca="1" si="283"/>
        <v>0</v>
      </c>
      <c r="BI507" s="50">
        <f t="shared" ca="1" si="284"/>
        <v>3.4816594052244909E-13</v>
      </c>
      <c r="BJ507" s="140">
        <v>0</v>
      </c>
      <c r="BK507" s="140">
        <v>0</v>
      </c>
      <c r="BR507" s="75">
        <f t="shared" ca="1" si="271"/>
        <v>58714</v>
      </c>
      <c r="BS507" s="74">
        <f t="shared" ca="1" si="285"/>
        <v>9</v>
      </c>
      <c r="BT507" s="74">
        <f t="shared" ca="1" si="265"/>
        <v>0</v>
      </c>
      <c r="BU507" s="73" t="str">
        <f t="shared" ca="1" si="286"/>
        <v xml:space="preserve"> </v>
      </c>
      <c r="BW507" s="75">
        <f t="shared" ca="1" si="287"/>
        <v>58714</v>
      </c>
      <c r="BX507" s="74">
        <f t="shared" ca="1" si="288"/>
        <v>9</v>
      </c>
      <c r="BY507" s="74">
        <f t="shared" ca="1" si="266"/>
        <v>0</v>
      </c>
      <c r="BZ507" s="73" t="str">
        <f t="shared" ca="1" si="289"/>
        <v xml:space="preserve"> </v>
      </c>
      <c r="CB507" s="75">
        <f t="shared" ca="1" si="272"/>
        <v>58714</v>
      </c>
      <c r="CC507" s="74">
        <f t="shared" ca="1" si="290"/>
        <v>9</v>
      </c>
      <c r="CD507" s="74">
        <f t="shared" ca="1" si="267"/>
        <v>0</v>
      </c>
      <c r="CE507" s="73" t="str">
        <f t="shared" ca="1" si="291"/>
        <v xml:space="preserve"> </v>
      </c>
    </row>
    <row r="508" spans="1:83" x14ac:dyDescent="0.2">
      <c r="A508" s="38" t="str">
        <f t="shared" si="273"/>
        <v xml:space="preserve"> </v>
      </c>
      <c r="B508" s="108"/>
      <c r="C508" s="38"/>
      <c r="D508" s="137"/>
      <c r="E508" s="137"/>
      <c r="F508" s="137"/>
      <c r="G508" s="122"/>
      <c r="H508" s="137"/>
      <c r="I508" s="50"/>
      <c r="J508" s="50"/>
      <c r="K508" s="50"/>
      <c r="L508" s="38"/>
      <c r="M508" s="38"/>
      <c r="N508" s="38"/>
      <c r="O508" s="50"/>
      <c r="P508" s="218"/>
      <c r="Q508" s="50"/>
      <c r="R508" s="50"/>
      <c r="S508" s="38"/>
      <c r="T508" s="51"/>
      <c r="U508" s="65"/>
      <c r="V508" s="105"/>
      <c r="W508" s="66"/>
      <c r="X508" s="66"/>
      <c r="Y508" s="38"/>
      <c r="Z508" s="66">
        <f t="shared" si="261"/>
        <v>0</v>
      </c>
      <c r="AC508" s="41" t="e">
        <f>VLOOKUP(A508,'Input Sheet'!$A$2:$B$232,2,0)</f>
        <v>#N/A</v>
      </c>
      <c r="AD508" s="70"/>
      <c r="AI508" s="68"/>
      <c r="AL508" s="107">
        <f t="shared" ref="AL508:AL510" ca="1" si="292">IF(AM508&lt;=$AR$2,AL507+1,0)</f>
        <v>0</v>
      </c>
      <c r="AM508" s="49">
        <f t="shared" ca="1" si="268"/>
        <v>58745</v>
      </c>
      <c r="AN508" s="137" t="str">
        <f t="shared" ref="AN508:AN510" ca="1" si="293">CE508</f>
        <v xml:space="preserve"> </v>
      </c>
      <c r="AO508" s="107">
        <f t="shared" ca="1" si="264"/>
        <v>0</v>
      </c>
      <c r="AP508" s="143">
        <f t="shared" ca="1" si="262"/>
        <v>0</v>
      </c>
      <c r="AQ508" s="143">
        <f t="shared" ref="AQ508:AQ510" ca="1" si="294">IF(AND(AP508&gt;0,AM508&lt;=$AR$2),AQ507+AP508,0)</f>
        <v>0</v>
      </c>
      <c r="AR508" s="49" t="str">
        <f t="shared" ref="AR508:AR510" ca="1" si="295">BU508</f>
        <v xml:space="preserve"> </v>
      </c>
      <c r="AS508" s="107">
        <f t="shared" ref="AS508:AS510" ca="1" si="296">BT508</f>
        <v>0</v>
      </c>
      <c r="AT508" s="107">
        <f t="shared" ca="1" si="263"/>
        <v>0</v>
      </c>
      <c r="AU508" s="107"/>
      <c r="AV508" s="107">
        <f ca="1">MAX(SUM($AQ$6:AQ508)-SUM($AT$6:AT508),0)</f>
        <v>0</v>
      </c>
      <c r="AW508" s="107">
        <f t="shared" ca="1" si="269"/>
        <v>0</v>
      </c>
      <c r="AX508" s="107">
        <v>0</v>
      </c>
      <c r="AY508" s="138" t="str">
        <f t="shared" ref="AY508:AY510" ca="1" si="297">BZ508</f>
        <v xml:space="preserve"> </v>
      </c>
      <c r="AZ508" s="107">
        <f t="shared" ref="AZ508:AZ510" ca="1" si="298">BY508</f>
        <v>0</v>
      </c>
      <c r="BA508" s="107">
        <f ca="1">IF(AZ508=1,(SUM($AW$6:AW508,$AX$6:AX508)-SUM($BA$6:BA507)),0)</f>
        <v>0</v>
      </c>
      <c r="BB508" s="107"/>
      <c r="BC508" s="107">
        <f ca="1">AV508+SUM($AW$6:AW508)+SUM($AX$6:AX508)-SUM($BA$6:BA508)</f>
        <v>0</v>
      </c>
      <c r="BD508" s="107">
        <f t="shared" ref="BD508:BD510" ca="1" si="299">IF(AL508&gt;0,AM508-AM507,0)</f>
        <v>0</v>
      </c>
      <c r="BE508" s="51">
        <f>'PiT PD Structure'!J548</f>
        <v>0</v>
      </c>
      <c r="BF508" s="139">
        <f t="shared" ca="1" si="270"/>
        <v>0.45</v>
      </c>
      <c r="BG508" s="51">
        <f t="shared" ref="BG508:BG510" ca="1" si="300">1/(1+$BE$2)^(BD508/360)</f>
        <v>1</v>
      </c>
      <c r="BH508" s="50">
        <f t="shared" ref="BH508:BH510" ca="1" si="301">IF(AL508=0,0,BC508*BE508*BF508*BG508)</f>
        <v>0</v>
      </c>
      <c r="BI508" s="50">
        <f t="shared" ref="BI508:BI510" ca="1" si="302">BI507-BH507</f>
        <v>3.4816594052244909E-13</v>
      </c>
      <c r="BJ508" s="140">
        <v>0</v>
      </c>
      <c r="BK508" s="140">
        <v>0</v>
      </c>
      <c r="BR508" s="75">
        <f t="shared" ca="1" si="271"/>
        <v>58745</v>
      </c>
      <c r="BS508" s="74">
        <f t="shared" ca="1" si="285"/>
        <v>10</v>
      </c>
      <c r="BT508" s="74">
        <f t="shared" ca="1" si="265"/>
        <v>0</v>
      </c>
      <c r="BU508" s="73" t="str">
        <f t="shared" ca="1" si="286"/>
        <v xml:space="preserve"> </v>
      </c>
      <c r="BW508" s="75">
        <f t="shared" ca="1" si="287"/>
        <v>58745</v>
      </c>
      <c r="BX508" s="74">
        <f t="shared" ca="1" si="288"/>
        <v>10</v>
      </c>
      <c r="BY508" s="74">
        <f t="shared" ca="1" si="266"/>
        <v>0</v>
      </c>
      <c r="BZ508" s="73" t="str">
        <f t="shared" ca="1" si="289"/>
        <v xml:space="preserve"> </v>
      </c>
      <c r="CB508" s="75">
        <f t="shared" ca="1" si="272"/>
        <v>58745</v>
      </c>
      <c r="CC508" s="74">
        <f t="shared" ca="1" si="290"/>
        <v>10</v>
      </c>
      <c r="CD508" s="74">
        <f t="shared" ca="1" si="267"/>
        <v>0</v>
      </c>
      <c r="CE508" s="73" t="str">
        <f t="shared" ca="1" si="291"/>
        <v xml:space="preserve"> </v>
      </c>
    </row>
    <row r="509" spans="1:83" x14ac:dyDescent="0.2">
      <c r="A509" s="38" t="str">
        <f t="shared" si="273"/>
        <v xml:space="preserve"> </v>
      </c>
      <c r="B509" s="108"/>
      <c r="C509" s="38"/>
      <c r="D509" s="137"/>
      <c r="E509" s="137"/>
      <c r="F509" s="137"/>
      <c r="G509" s="122"/>
      <c r="H509" s="137"/>
      <c r="I509" s="50"/>
      <c r="J509" s="50"/>
      <c r="K509" s="50"/>
      <c r="L509" s="38"/>
      <c r="M509" s="38"/>
      <c r="N509" s="38"/>
      <c r="O509" s="50"/>
      <c r="P509" s="218"/>
      <c r="Q509" s="50"/>
      <c r="R509" s="50"/>
      <c r="S509" s="38"/>
      <c r="T509" s="51"/>
      <c r="U509" s="65"/>
      <c r="V509" s="105"/>
      <c r="W509" s="66"/>
      <c r="X509" s="66"/>
      <c r="Y509" s="38"/>
      <c r="Z509" s="66">
        <f t="shared" si="261"/>
        <v>0</v>
      </c>
      <c r="AC509" s="41" t="e">
        <f>VLOOKUP(A509,'Input Sheet'!$A$2:$B$232,2,0)</f>
        <v>#N/A</v>
      </c>
      <c r="AD509" s="70"/>
      <c r="AI509" s="68"/>
      <c r="AL509" s="107">
        <f t="shared" ca="1" si="292"/>
        <v>0</v>
      </c>
      <c r="AM509" s="49">
        <f t="shared" ca="1" si="268"/>
        <v>58775</v>
      </c>
      <c r="AN509" s="137" t="str">
        <f t="shared" ca="1" si="293"/>
        <v xml:space="preserve"> </v>
      </c>
      <c r="AO509" s="107">
        <f t="shared" ca="1" si="264"/>
        <v>0</v>
      </c>
      <c r="AP509" s="143">
        <f t="shared" ca="1" si="262"/>
        <v>0</v>
      </c>
      <c r="AQ509" s="143">
        <f t="shared" ca="1" si="294"/>
        <v>0</v>
      </c>
      <c r="AR509" s="49" t="str">
        <f t="shared" ca="1" si="295"/>
        <v xml:space="preserve"> </v>
      </c>
      <c r="AS509" s="107">
        <f t="shared" ca="1" si="296"/>
        <v>0</v>
      </c>
      <c r="AT509" s="107">
        <f t="shared" ca="1" si="263"/>
        <v>0</v>
      </c>
      <c r="AU509" s="107"/>
      <c r="AV509" s="107">
        <f ca="1">MAX(SUM($AQ$6:AQ509)-SUM($AT$6:AT509),0)</f>
        <v>0</v>
      </c>
      <c r="AW509" s="107">
        <f t="shared" ca="1" si="269"/>
        <v>0</v>
      </c>
      <c r="AX509" s="107">
        <v>0</v>
      </c>
      <c r="AY509" s="138" t="str">
        <f t="shared" ca="1" si="297"/>
        <v xml:space="preserve"> </v>
      </c>
      <c r="AZ509" s="107">
        <f t="shared" ca="1" si="298"/>
        <v>0</v>
      </c>
      <c r="BA509" s="107">
        <f ca="1">IF(AZ509=1,(SUM($AW$6:AW509,$AX$6:AX509)-SUM($BA$6:BA508)),0)</f>
        <v>0</v>
      </c>
      <c r="BB509" s="107"/>
      <c r="BC509" s="107">
        <f ca="1">AV509+SUM($AW$6:AW509)+SUM($AX$6:AX509)-SUM($BA$6:BA509)</f>
        <v>0</v>
      </c>
      <c r="BD509" s="107">
        <f t="shared" ca="1" si="299"/>
        <v>0</v>
      </c>
      <c r="BE509" s="51">
        <f>'PiT PD Structure'!J549</f>
        <v>0</v>
      </c>
      <c r="BF509" s="139">
        <f t="shared" ca="1" si="270"/>
        <v>0.45</v>
      </c>
      <c r="BG509" s="51">
        <f t="shared" ca="1" si="300"/>
        <v>1</v>
      </c>
      <c r="BH509" s="50">
        <f t="shared" ca="1" si="301"/>
        <v>0</v>
      </c>
      <c r="BI509" s="50">
        <f t="shared" ca="1" si="302"/>
        <v>3.4816594052244909E-13</v>
      </c>
      <c r="BJ509" s="140">
        <v>0</v>
      </c>
      <c r="BK509" s="140">
        <v>0</v>
      </c>
      <c r="BR509" s="75">
        <f t="shared" ca="1" si="271"/>
        <v>58775</v>
      </c>
      <c r="BS509" s="74">
        <f t="shared" ca="1" si="285"/>
        <v>11</v>
      </c>
      <c r="BT509" s="74">
        <f t="shared" ca="1" si="265"/>
        <v>0</v>
      </c>
      <c r="BU509" s="73" t="str">
        <f t="shared" ca="1" si="286"/>
        <v xml:space="preserve"> </v>
      </c>
      <c r="BW509" s="75">
        <f t="shared" ca="1" si="287"/>
        <v>58775</v>
      </c>
      <c r="BX509" s="74">
        <f t="shared" ca="1" si="288"/>
        <v>11</v>
      </c>
      <c r="BY509" s="74">
        <f t="shared" ca="1" si="266"/>
        <v>0</v>
      </c>
      <c r="BZ509" s="73" t="str">
        <f t="shared" ca="1" si="289"/>
        <v xml:space="preserve"> </v>
      </c>
      <c r="CB509" s="75">
        <f t="shared" ca="1" si="272"/>
        <v>58775</v>
      </c>
      <c r="CC509" s="74">
        <f t="shared" ca="1" si="290"/>
        <v>11</v>
      </c>
      <c r="CD509" s="74">
        <f t="shared" ca="1" si="267"/>
        <v>0</v>
      </c>
      <c r="CE509" s="73" t="str">
        <f t="shared" ca="1" si="291"/>
        <v xml:space="preserve"> </v>
      </c>
    </row>
    <row r="510" spans="1:83" x14ac:dyDescent="0.2">
      <c r="A510" s="38" t="str">
        <f t="shared" si="273"/>
        <v xml:space="preserve"> </v>
      </c>
      <c r="B510" s="108"/>
      <c r="C510" s="38"/>
      <c r="D510" s="137"/>
      <c r="E510" s="137"/>
      <c r="F510" s="137"/>
      <c r="G510" s="122"/>
      <c r="H510" s="137"/>
      <c r="I510" s="50"/>
      <c r="J510" s="50"/>
      <c r="K510" s="50"/>
      <c r="L510" s="38"/>
      <c r="M510" s="38"/>
      <c r="N510" s="38"/>
      <c r="O510" s="50"/>
      <c r="P510" s="218"/>
      <c r="Q510" s="50"/>
      <c r="R510" s="50"/>
      <c r="S510" s="38"/>
      <c r="T510" s="51"/>
      <c r="U510" s="65"/>
      <c r="V510" s="105"/>
      <c r="W510" s="66"/>
      <c r="X510" s="66"/>
      <c r="Y510" s="38"/>
      <c r="Z510" s="66">
        <f t="shared" si="261"/>
        <v>0</v>
      </c>
      <c r="AC510" s="41" t="e">
        <f>VLOOKUP(A510,'Input Sheet'!$A$2:$B$232,2,0)</f>
        <v>#N/A</v>
      </c>
      <c r="AD510" s="70"/>
      <c r="AI510" s="68"/>
      <c r="AL510" s="107">
        <f t="shared" ca="1" si="292"/>
        <v>0</v>
      </c>
      <c r="AM510" s="49">
        <f t="shared" ca="1" si="268"/>
        <v>58806</v>
      </c>
      <c r="AN510" s="137" t="str">
        <f t="shared" ca="1" si="293"/>
        <v xml:space="preserve"> </v>
      </c>
      <c r="AO510" s="107">
        <f t="shared" ca="1" si="264"/>
        <v>0</v>
      </c>
      <c r="AP510" s="143">
        <f t="shared" ca="1" si="262"/>
        <v>0</v>
      </c>
      <c r="AQ510" s="143">
        <f t="shared" ca="1" si="294"/>
        <v>0</v>
      </c>
      <c r="AR510" s="49" t="str">
        <f t="shared" ca="1" si="295"/>
        <v xml:space="preserve"> </v>
      </c>
      <c r="AS510" s="107">
        <f t="shared" ca="1" si="296"/>
        <v>0</v>
      </c>
      <c r="AT510" s="107">
        <f t="shared" ca="1" si="263"/>
        <v>0</v>
      </c>
      <c r="AU510" s="107"/>
      <c r="AV510" s="107">
        <f ca="1">MAX(SUM($AQ$6:AQ510)-SUM($AT$6:AT510),0)</f>
        <v>0</v>
      </c>
      <c r="AW510" s="107">
        <f t="shared" ca="1" si="269"/>
        <v>0</v>
      </c>
      <c r="AX510" s="107">
        <v>0</v>
      </c>
      <c r="AY510" s="138" t="str">
        <f t="shared" ca="1" si="297"/>
        <v xml:space="preserve"> </v>
      </c>
      <c r="AZ510" s="107">
        <f t="shared" ca="1" si="298"/>
        <v>0</v>
      </c>
      <c r="BA510" s="107">
        <f ca="1">IF(AZ510=1,(SUM($AW$6:AW510,$AX$6:AX510)-SUM($BA$6:BA509)),0)</f>
        <v>0</v>
      </c>
      <c r="BB510" s="107"/>
      <c r="BC510" s="107">
        <f ca="1">AV510+SUM($AW$6:AW510)+SUM($AX$6:AX510)-SUM($BA$6:BA510)</f>
        <v>0</v>
      </c>
      <c r="BD510" s="107">
        <f t="shared" ca="1" si="299"/>
        <v>0</v>
      </c>
      <c r="BE510" s="51">
        <f>'PiT PD Structure'!J550</f>
        <v>0</v>
      </c>
      <c r="BF510" s="139">
        <f t="shared" ca="1" si="270"/>
        <v>0.45</v>
      </c>
      <c r="BG510" s="51">
        <f t="shared" ca="1" si="300"/>
        <v>1</v>
      </c>
      <c r="BH510" s="50">
        <f t="shared" ca="1" si="301"/>
        <v>0</v>
      </c>
      <c r="BI510" s="50">
        <f t="shared" ca="1" si="302"/>
        <v>3.4816594052244909E-13</v>
      </c>
      <c r="BJ510" s="140">
        <v>0</v>
      </c>
      <c r="BK510" s="140">
        <v>0</v>
      </c>
      <c r="BR510" s="75">
        <f t="shared" ca="1" si="271"/>
        <v>58806</v>
      </c>
      <c r="BS510" s="74">
        <f t="shared" ca="1" si="285"/>
        <v>12</v>
      </c>
      <c r="BT510" s="74">
        <f t="shared" ca="1" si="265"/>
        <v>0</v>
      </c>
      <c r="BU510" s="73" t="str">
        <f t="shared" ca="1" si="286"/>
        <v xml:space="preserve"> </v>
      </c>
      <c r="BW510" s="75">
        <f t="shared" ca="1" si="287"/>
        <v>58806</v>
      </c>
      <c r="BX510" s="74">
        <f t="shared" ca="1" si="288"/>
        <v>12</v>
      </c>
      <c r="BY510" s="74">
        <f t="shared" ca="1" si="266"/>
        <v>0</v>
      </c>
      <c r="BZ510" s="73" t="str">
        <f t="shared" ca="1" si="289"/>
        <v xml:space="preserve"> </v>
      </c>
      <c r="CB510" s="75">
        <f t="shared" ca="1" si="272"/>
        <v>58806</v>
      </c>
      <c r="CC510" s="74">
        <f t="shared" ca="1" si="290"/>
        <v>12</v>
      </c>
      <c r="CD510" s="74">
        <f t="shared" ca="1" si="267"/>
        <v>0</v>
      </c>
      <c r="CE510" s="73" t="str">
        <f t="shared" ca="1" si="291"/>
        <v xml:space="preserve"> </v>
      </c>
    </row>
    <row r="511" spans="1:83" x14ac:dyDescent="0.2">
      <c r="A511" s="38" t="str">
        <f t="shared" si="273"/>
        <v xml:space="preserve"> </v>
      </c>
      <c r="B511" s="108"/>
      <c r="C511" s="38"/>
      <c r="D511" s="137"/>
      <c r="E511" s="137"/>
      <c r="F511" s="137"/>
      <c r="G511" s="122"/>
      <c r="H511" s="137"/>
      <c r="I511" s="50"/>
      <c r="J511" s="50"/>
      <c r="K511" s="50"/>
      <c r="L511" s="38"/>
      <c r="M511" s="38"/>
      <c r="N511" s="38"/>
      <c r="O511" s="50"/>
      <c r="P511" s="218"/>
      <c r="Q511" s="50"/>
      <c r="R511" s="50"/>
      <c r="S511" s="38"/>
      <c r="T511" s="51"/>
      <c r="U511" s="65"/>
      <c r="V511" s="105"/>
      <c r="W511" s="66"/>
      <c r="X511" s="66"/>
      <c r="Y511" s="38"/>
      <c r="Z511" s="66">
        <f t="shared" si="261"/>
        <v>0</v>
      </c>
      <c r="AC511" s="41" t="e">
        <f>VLOOKUP(A511,'Input Sheet'!$A$2:$B$232,2,0)</f>
        <v>#N/A</v>
      </c>
      <c r="AD511" s="70"/>
      <c r="AI511" s="68"/>
    </row>
    <row r="512" spans="1:83" x14ac:dyDescent="0.2">
      <c r="A512" s="38" t="str">
        <f t="shared" si="273"/>
        <v xml:space="preserve"> </v>
      </c>
      <c r="B512" s="108"/>
      <c r="C512" s="38"/>
      <c r="D512" s="137"/>
      <c r="E512" s="137"/>
      <c r="F512" s="137"/>
      <c r="G512" s="122"/>
      <c r="H512" s="137"/>
      <c r="I512" s="50"/>
      <c r="J512" s="50"/>
      <c r="K512" s="50"/>
      <c r="L512" s="38"/>
      <c r="M512" s="38"/>
      <c r="N512" s="38"/>
      <c r="O512" s="50"/>
      <c r="P512" s="218"/>
      <c r="Q512" s="50"/>
      <c r="R512" s="50"/>
      <c r="S512" s="38"/>
      <c r="T512" s="51"/>
      <c r="U512" s="65"/>
      <c r="V512" s="105"/>
      <c r="W512" s="66"/>
      <c r="X512" s="66"/>
      <c r="Y512" s="38"/>
      <c r="Z512" s="66">
        <f t="shared" si="261"/>
        <v>0</v>
      </c>
      <c r="AC512" s="41" t="e">
        <f>VLOOKUP(A512,'Input Sheet'!$A$2:$B$232,2,0)</f>
        <v>#N/A</v>
      </c>
      <c r="AD512" s="70"/>
      <c r="AI512" s="68"/>
    </row>
    <row r="513" spans="1:30" x14ac:dyDescent="0.2">
      <c r="A513" s="38" t="str">
        <f t="shared" si="273"/>
        <v xml:space="preserve"> </v>
      </c>
      <c r="B513" s="108"/>
      <c r="C513" s="38"/>
      <c r="D513" s="137"/>
      <c r="E513" s="137"/>
      <c r="F513" s="137"/>
      <c r="G513" s="122"/>
      <c r="H513" s="137"/>
      <c r="I513" s="50"/>
      <c r="J513" s="50"/>
      <c r="K513" s="50"/>
      <c r="L513" s="38"/>
      <c r="M513" s="38"/>
      <c r="N513" s="38"/>
      <c r="O513" s="50"/>
      <c r="P513" s="218"/>
      <c r="Q513" s="50"/>
      <c r="R513" s="50"/>
      <c r="S513" s="38"/>
      <c r="T513" s="51"/>
      <c r="U513" s="65"/>
      <c r="V513" s="105"/>
      <c r="W513" s="66"/>
      <c r="X513" s="66"/>
      <c r="Y513" s="38"/>
      <c r="Z513" s="66">
        <f t="shared" si="261"/>
        <v>0</v>
      </c>
      <c r="AC513" s="41" t="e">
        <f>VLOOKUP(A513,'Input Sheet'!$A$2:$B$232,2,0)</f>
        <v>#N/A</v>
      </c>
      <c r="AD513" s="70"/>
    </row>
    <row r="514" spans="1:30" x14ac:dyDescent="0.2">
      <c r="A514" s="38" t="str">
        <f t="shared" si="273"/>
        <v xml:space="preserve"> </v>
      </c>
      <c r="B514" s="108"/>
      <c r="C514" s="38"/>
      <c r="D514" s="137"/>
      <c r="E514" s="137"/>
      <c r="F514" s="137"/>
      <c r="G514" s="122"/>
      <c r="H514" s="137"/>
      <c r="I514" s="50"/>
      <c r="J514" s="50"/>
      <c r="K514" s="50"/>
      <c r="L514" s="38"/>
      <c r="M514" s="38"/>
      <c r="N514" s="38"/>
      <c r="O514" s="50"/>
      <c r="P514" s="218"/>
      <c r="Q514" s="50"/>
      <c r="R514" s="50"/>
      <c r="S514" s="38"/>
      <c r="T514" s="51"/>
      <c r="U514" s="65"/>
      <c r="V514" s="105"/>
      <c r="W514" s="66"/>
      <c r="X514" s="66"/>
      <c r="Y514" s="38"/>
      <c r="Z514" s="66">
        <f t="shared" si="261"/>
        <v>0</v>
      </c>
      <c r="AC514" s="41" t="e">
        <f>VLOOKUP(A514,'Input Sheet'!$A$2:$B$232,2,0)</f>
        <v>#N/A</v>
      </c>
      <c r="AD514" s="70"/>
    </row>
    <row r="515" spans="1:30" x14ac:dyDescent="0.2">
      <c r="A515" s="38" t="str">
        <f t="shared" si="273"/>
        <v xml:space="preserve"> </v>
      </c>
      <c r="B515" s="108"/>
      <c r="C515" s="38"/>
      <c r="D515" s="137"/>
      <c r="E515" s="137"/>
      <c r="F515" s="137"/>
      <c r="G515" s="122"/>
      <c r="H515" s="137"/>
      <c r="I515" s="50"/>
      <c r="J515" s="50"/>
      <c r="K515" s="50"/>
      <c r="L515" s="38"/>
      <c r="M515" s="38"/>
      <c r="N515" s="38"/>
      <c r="O515" s="50"/>
      <c r="P515" s="218"/>
      <c r="Q515" s="50"/>
      <c r="R515" s="50"/>
      <c r="S515" s="38"/>
      <c r="T515" s="51"/>
      <c r="U515" s="65"/>
      <c r="V515" s="105"/>
      <c r="W515" s="66"/>
      <c r="X515" s="66"/>
      <c r="Y515" s="38"/>
      <c r="Z515" s="66">
        <f t="shared" si="261"/>
        <v>0</v>
      </c>
      <c r="AC515" s="41" t="e">
        <f>VLOOKUP(A515,'Input Sheet'!$A$2:$B$232,2,0)</f>
        <v>#N/A</v>
      </c>
      <c r="AD515" s="70"/>
    </row>
    <row r="516" spans="1:30" x14ac:dyDescent="0.2">
      <c r="A516" s="38" t="str">
        <f t="shared" si="273"/>
        <v xml:space="preserve"> </v>
      </c>
      <c r="B516" s="108"/>
      <c r="C516" s="38"/>
      <c r="D516" s="137"/>
      <c r="E516" s="137"/>
      <c r="F516" s="137"/>
      <c r="G516" s="122"/>
      <c r="H516" s="137"/>
      <c r="I516" s="50"/>
      <c r="J516" s="50"/>
      <c r="K516" s="50"/>
      <c r="L516" s="38"/>
      <c r="M516" s="38"/>
      <c r="N516" s="38"/>
      <c r="O516" s="50"/>
      <c r="P516" s="218"/>
      <c r="Q516" s="50"/>
      <c r="R516" s="50"/>
      <c r="S516" s="38"/>
      <c r="T516" s="51"/>
      <c r="U516" s="65"/>
      <c r="V516" s="105"/>
      <c r="W516" s="66"/>
      <c r="X516" s="66"/>
      <c r="Y516" s="38"/>
      <c r="Z516" s="66">
        <f t="shared" si="261"/>
        <v>0</v>
      </c>
      <c r="AC516" s="41" t="e">
        <f>VLOOKUP(A516,'Input Sheet'!$A$2:$B$232,2,0)</f>
        <v>#N/A</v>
      </c>
      <c r="AD516" s="70"/>
    </row>
    <row r="517" spans="1:30" x14ac:dyDescent="0.2">
      <c r="A517" s="38" t="str">
        <f t="shared" si="273"/>
        <v xml:space="preserve"> </v>
      </c>
      <c r="B517" s="108"/>
      <c r="C517" s="38"/>
      <c r="D517" s="137"/>
      <c r="E517" s="137"/>
      <c r="F517" s="137"/>
      <c r="G517" s="122"/>
      <c r="H517" s="137"/>
      <c r="I517" s="50"/>
      <c r="J517" s="50"/>
      <c r="K517" s="50"/>
      <c r="L517" s="38"/>
      <c r="M517" s="38"/>
      <c r="N517" s="38"/>
      <c r="O517" s="50"/>
      <c r="P517" s="218"/>
      <c r="Q517" s="50"/>
      <c r="R517" s="50"/>
      <c r="S517" s="38"/>
      <c r="T517" s="51"/>
      <c r="U517" s="65"/>
      <c r="V517" s="105"/>
      <c r="W517" s="66"/>
      <c r="X517" s="66"/>
      <c r="Y517" s="38"/>
      <c r="Z517" s="66">
        <f t="shared" ref="Z517:Z580" si="303">IF(Y517="Stage 1",X517,IF(Y517="Stage 2",W517,O517))</f>
        <v>0</v>
      </c>
      <c r="AC517" s="41" t="e">
        <f>VLOOKUP(A517,'Input Sheet'!$A$2:$B$232,2,0)</f>
        <v>#N/A</v>
      </c>
      <c r="AD517" s="70"/>
    </row>
    <row r="518" spans="1:30" x14ac:dyDescent="0.2">
      <c r="A518" s="38" t="str">
        <f t="shared" si="273"/>
        <v xml:space="preserve"> </v>
      </c>
      <c r="B518" s="108"/>
      <c r="C518" s="38"/>
      <c r="D518" s="137"/>
      <c r="E518" s="137"/>
      <c r="F518" s="137"/>
      <c r="G518" s="122"/>
      <c r="H518" s="137"/>
      <c r="I518" s="50"/>
      <c r="J518" s="50"/>
      <c r="K518" s="50"/>
      <c r="L518" s="38"/>
      <c r="M518" s="38"/>
      <c r="N518" s="38"/>
      <c r="O518" s="50"/>
      <c r="P518" s="218"/>
      <c r="Q518" s="50"/>
      <c r="R518" s="50"/>
      <c r="S518" s="38"/>
      <c r="T518" s="51"/>
      <c r="U518" s="65"/>
      <c r="V518" s="105"/>
      <c r="W518" s="66"/>
      <c r="X518" s="66"/>
      <c r="Y518" s="38"/>
      <c r="Z518" s="66">
        <f t="shared" si="303"/>
        <v>0</v>
      </c>
      <c r="AC518" s="41" t="e">
        <f>VLOOKUP(A518,'Input Sheet'!$A$2:$B$232,2,0)</f>
        <v>#N/A</v>
      </c>
      <c r="AD518" s="70"/>
    </row>
    <row r="519" spans="1:30" x14ac:dyDescent="0.2">
      <c r="A519" s="38" t="str">
        <f t="shared" si="273"/>
        <v xml:space="preserve"> </v>
      </c>
      <c r="B519" s="108"/>
      <c r="C519" s="38"/>
      <c r="D519" s="137"/>
      <c r="E519" s="137"/>
      <c r="F519" s="137"/>
      <c r="G519" s="122"/>
      <c r="H519" s="137"/>
      <c r="I519" s="50"/>
      <c r="J519" s="50"/>
      <c r="K519" s="50"/>
      <c r="L519" s="38"/>
      <c r="M519" s="38"/>
      <c r="N519" s="38"/>
      <c r="O519" s="50"/>
      <c r="P519" s="218"/>
      <c r="Q519" s="50"/>
      <c r="R519" s="50"/>
      <c r="S519" s="38"/>
      <c r="T519" s="51"/>
      <c r="U519" s="65"/>
      <c r="V519" s="105"/>
      <c r="W519" s="66"/>
      <c r="X519" s="66"/>
      <c r="Y519" s="38"/>
      <c r="Z519" s="66">
        <f t="shared" si="303"/>
        <v>0</v>
      </c>
      <c r="AC519" s="41" t="e">
        <f>VLOOKUP(A519,'Input Sheet'!$A$2:$B$232,2,0)</f>
        <v>#N/A</v>
      </c>
      <c r="AD519" s="70"/>
    </row>
    <row r="520" spans="1:30" x14ac:dyDescent="0.2">
      <c r="A520" s="38" t="str">
        <f t="shared" si="273"/>
        <v xml:space="preserve"> </v>
      </c>
      <c r="B520" s="108"/>
      <c r="C520" s="38"/>
      <c r="D520" s="137"/>
      <c r="E520" s="137"/>
      <c r="F520" s="137"/>
      <c r="G520" s="122"/>
      <c r="H520" s="137"/>
      <c r="I520" s="50"/>
      <c r="J520" s="50"/>
      <c r="K520" s="50"/>
      <c r="L520" s="38"/>
      <c r="M520" s="38"/>
      <c r="N520" s="38"/>
      <c r="O520" s="50"/>
      <c r="P520" s="218"/>
      <c r="Q520" s="50"/>
      <c r="R520" s="50"/>
      <c r="S520" s="38"/>
      <c r="T520" s="51"/>
      <c r="U520" s="65"/>
      <c r="V520" s="105"/>
      <c r="W520" s="66"/>
      <c r="X520" s="66"/>
      <c r="Y520" s="38"/>
      <c r="Z520" s="66">
        <f t="shared" si="303"/>
        <v>0</v>
      </c>
      <c r="AC520" s="41" t="e">
        <f>VLOOKUP(A520,'Input Sheet'!$A$2:$B$232,2,0)</f>
        <v>#N/A</v>
      </c>
      <c r="AD520" s="70"/>
    </row>
    <row r="521" spans="1:30" x14ac:dyDescent="0.2">
      <c r="A521" s="38" t="str">
        <f t="shared" si="273"/>
        <v xml:space="preserve"> </v>
      </c>
      <c r="B521" s="108"/>
      <c r="C521" s="38"/>
      <c r="D521" s="137"/>
      <c r="E521" s="137"/>
      <c r="F521" s="137"/>
      <c r="G521" s="122"/>
      <c r="H521" s="137"/>
      <c r="I521" s="50"/>
      <c r="J521" s="50"/>
      <c r="K521" s="50"/>
      <c r="L521" s="38"/>
      <c r="M521" s="38"/>
      <c r="N521" s="38"/>
      <c r="O521" s="50"/>
      <c r="P521" s="218"/>
      <c r="Q521" s="50"/>
      <c r="R521" s="50"/>
      <c r="S521" s="38"/>
      <c r="T521" s="51"/>
      <c r="U521" s="65"/>
      <c r="V521" s="105"/>
      <c r="W521" s="66"/>
      <c r="X521" s="66"/>
      <c r="Y521" s="38"/>
      <c r="Z521" s="66">
        <f t="shared" si="303"/>
        <v>0</v>
      </c>
      <c r="AC521" s="41" t="e">
        <f>VLOOKUP(A521,'Input Sheet'!$A$2:$B$232,2,0)</f>
        <v>#N/A</v>
      </c>
      <c r="AD521" s="70"/>
    </row>
    <row r="522" spans="1:30" x14ac:dyDescent="0.2">
      <c r="A522" s="38" t="str">
        <f t="shared" ref="A522:A585" si="304">IF(B522=0," ",A521+1)</f>
        <v xml:space="preserve"> </v>
      </c>
      <c r="B522" s="108"/>
      <c r="C522" s="38"/>
      <c r="D522" s="137"/>
      <c r="E522" s="137"/>
      <c r="F522" s="137"/>
      <c r="G522" s="122"/>
      <c r="H522" s="137"/>
      <c r="I522" s="50"/>
      <c r="J522" s="50"/>
      <c r="K522" s="50"/>
      <c r="L522" s="38"/>
      <c r="M522" s="38"/>
      <c r="N522" s="38"/>
      <c r="O522" s="50"/>
      <c r="P522" s="218"/>
      <c r="Q522" s="50"/>
      <c r="R522" s="50"/>
      <c r="S522" s="38"/>
      <c r="T522" s="51"/>
      <c r="U522" s="65"/>
      <c r="V522" s="105"/>
      <c r="W522" s="66"/>
      <c r="X522" s="66"/>
      <c r="Y522" s="38"/>
      <c r="Z522" s="66">
        <f t="shared" si="303"/>
        <v>0</v>
      </c>
      <c r="AC522" s="41" t="e">
        <f>VLOOKUP(A522,'Input Sheet'!$A$2:$B$232,2,0)</f>
        <v>#N/A</v>
      </c>
      <c r="AD522" s="70"/>
    </row>
    <row r="523" spans="1:30" x14ac:dyDescent="0.2">
      <c r="A523" s="38" t="str">
        <f t="shared" si="304"/>
        <v xml:space="preserve"> </v>
      </c>
      <c r="B523" s="108"/>
      <c r="C523" s="38"/>
      <c r="D523" s="137"/>
      <c r="E523" s="137"/>
      <c r="F523" s="137"/>
      <c r="G523" s="122"/>
      <c r="H523" s="137"/>
      <c r="I523" s="50"/>
      <c r="J523" s="50"/>
      <c r="K523" s="50"/>
      <c r="L523" s="38"/>
      <c r="M523" s="38"/>
      <c r="N523" s="38"/>
      <c r="O523" s="50"/>
      <c r="P523" s="218"/>
      <c r="Q523" s="50"/>
      <c r="R523" s="50"/>
      <c r="S523" s="38"/>
      <c r="T523" s="51"/>
      <c r="U523" s="65"/>
      <c r="V523" s="105"/>
      <c r="W523" s="66"/>
      <c r="X523" s="66"/>
      <c r="Y523" s="38"/>
      <c r="Z523" s="66">
        <f t="shared" si="303"/>
        <v>0</v>
      </c>
      <c r="AC523" s="41" t="e">
        <f>VLOOKUP(A523,'Input Sheet'!$A$2:$B$232,2,0)</f>
        <v>#N/A</v>
      </c>
      <c r="AD523" s="70"/>
    </row>
    <row r="524" spans="1:30" x14ac:dyDescent="0.2">
      <c r="A524" s="38" t="str">
        <f t="shared" si="304"/>
        <v xml:space="preserve"> </v>
      </c>
      <c r="B524" s="108"/>
      <c r="C524" s="38"/>
      <c r="D524" s="137"/>
      <c r="E524" s="137"/>
      <c r="F524" s="137"/>
      <c r="G524" s="122"/>
      <c r="H524" s="137"/>
      <c r="I524" s="50"/>
      <c r="J524" s="50"/>
      <c r="K524" s="50"/>
      <c r="L524" s="38"/>
      <c r="M524" s="38"/>
      <c r="N524" s="38"/>
      <c r="O524" s="50"/>
      <c r="P524" s="218"/>
      <c r="Q524" s="50"/>
      <c r="R524" s="50"/>
      <c r="S524" s="38"/>
      <c r="T524" s="51"/>
      <c r="U524" s="65"/>
      <c r="V524" s="105"/>
      <c r="W524" s="66"/>
      <c r="X524" s="66"/>
      <c r="Y524" s="38"/>
      <c r="Z524" s="66">
        <f t="shared" si="303"/>
        <v>0</v>
      </c>
      <c r="AC524" s="41" t="e">
        <f>VLOOKUP(A524,'Input Sheet'!$A$2:$B$232,2,0)</f>
        <v>#N/A</v>
      </c>
      <c r="AD524" s="70"/>
    </row>
    <row r="525" spans="1:30" x14ac:dyDescent="0.2">
      <c r="A525" s="38" t="str">
        <f t="shared" si="304"/>
        <v xml:space="preserve"> </v>
      </c>
      <c r="B525" s="108"/>
      <c r="C525" s="38"/>
      <c r="D525" s="137"/>
      <c r="E525" s="137"/>
      <c r="F525" s="137"/>
      <c r="G525" s="122"/>
      <c r="H525" s="137"/>
      <c r="I525" s="50"/>
      <c r="J525" s="50"/>
      <c r="K525" s="50"/>
      <c r="L525" s="38"/>
      <c r="M525" s="38"/>
      <c r="N525" s="38"/>
      <c r="O525" s="50"/>
      <c r="P525" s="218"/>
      <c r="Q525" s="50"/>
      <c r="R525" s="50"/>
      <c r="S525" s="38"/>
      <c r="T525" s="51"/>
      <c r="U525" s="65"/>
      <c r="V525" s="105"/>
      <c r="W525" s="66"/>
      <c r="X525" s="66"/>
      <c r="Y525" s="38"/>
      <c r="Z525" s="66">
        <f t="shared" si="303"/>
        <v>0</v>
      </c>
      <c r="AC525" s="41" t="e">
        <f>VLOOKUP(A525,'Input Sheet'!$A$2:$B$232,2,0)</f>
        <v>#N/A</v>
      </c>
      <c r="AD525" s="70"/>
    </row>
    <row r="526" spans="1:30" x14ac:dyDescent="0.2">
      <c r="A526" s="38" t="str">
        <f t="shared" si="304"/>
        <v xml:space="preserve"> </v>
      </c>
      <c r="B526" s="108"/>
      <c r="C526" s="38"/>
      <c r="D526" s="137"/>
      <c r="E526" s="137"/>
      <c r="F526" s="137"/>
      <c r="G526" s="122"/>
      <c r="H526" s="137"/>
      <c r="I526" s="50"/>
      <c r="J526" s="50"/>
      <c r="K526" s="50"/>
      <c r="L526" s="38"/>
      <c r="M526" s="38"/>
      <c r="N526" s="38"/>
      <c r="O526" s="50"/>
      <c r="P526" s="218"/>
      <c r="Q526" s="50"/>
      <c r="R526" s="50"/>
      <c r="S526" s="38"/>
      <c r="T526" s="51"/>
      <c r="U526" s="65"/>
      <c r="V526" s="105"/>
      <c r="W526" s="66"/>
      <c r="X526" s="66"/>
      <c r="Y526" s="38"/>
      <c r="Z526" s="66">
        <f t="shared" si="303"/>
        <v>0</v>
      </c>
      <c r="AC526" s="41" t="e">
        <f>VLOOKUP(A526,'Input Sheet'!$A$2:$B$232,2,0)</f>
        <v>#N/A</v>
      </c>
      <c r="AD526" s="70"/>
    </row>
    <row r="527" spans="1:30" x14ac:dyDescent="0.2">
      <c r="A527" s="38" t="str">
        <f t="shared" si="304"/>
        <v xml:space="preserve"> </v>
      </c>
      <c r="B527" s="108"/>
      <c r="C527" s="38"/>
      <c r="D527" s="137"/>
      <c r="E527" s="137"/>
      <c r="F527" s="137"/>
      <c r="G527" s="122"/>
      <c r="H527" s="137"/>
      <c r="I527" s="50"/>
      <c r="J527" s="50"/>
      <c r="K527" s="50"/>
      <c r="L527" s="38"/>
      <c r="M527" s="38"/>
      <c r="N527" s="38"/>
      <c r="O527" s="50"/>
      <c r="P527" s="218"/>
      <c r="Q527" s="50"/>
      <c r="R527" s="50"/>
      <c r="S527" s="38"/>
      <c r="T527" s="51"/>
      <c r="U527" s="65"/>
      <c r="V527" s="105"/>
      <c r="W527" s="66"/>
      <c r="X527" s="66"/>
      <c r="Y527" s="38"/>
      <c r="Z527" s="66">
        <f t="shared" si="303"/>
        <v>0</v>
      </c>
      <c r="AC527" s="41" t="e">
        <f>VLOOKUP(A527,'Input Sheet'!$A$2:$B$232,2,0)</f>
        <v>#N/A</v>
      </c>
      <c r="AD527" s="70"/>
    </row>
    <row r="528" spans="1:30" x14ac:dyDescent="0.2">
      <c r="A528" s="38" t="str">
        <f t="shared" si="304"/>
        <v xml:space="preserve"> </v>
      </c>
      <c r="B528" s="108"/>
      <c r="C528" s="38"/>
      <c r="D528" s="137"/>
      <c r="E528" s="137"/>
      <c r="F528" s="137"/>
      <c r="G528" s="122"/>
      <c r="H528" s="137"/>
      <c r="I528" s="50"/>
      <c r="J528" s="50"/>
      <c r="K528" s="50"/>
      <c r="L528" s="38"/>
      <c r="M528" s="38"/>
      <c r="N528" s="38"/>
      <c r="O528" s="50"/>
      <c r="P528" s="218"/>
      <c r="Q528" s="50"/>
      <c r="R528" s="50"/>
      <c r="S528" s="38"/>
      <c r="T528" s="51"/>
      <c r="U528" s="65"/>
      <c r="V528" s="105"/>
      <c r="W528" s="66"/>
      <c r="X528" s="66"/>
      <c r="Y528" s="38"/>
      <c r="Z528" s="66">
        <f t="shared" si="303"/>
        <v>0</v>
      </c>
      <c r="AC528" s="41" t="e">
        <f>VLOOKUP(A528,'Input Sheet'!$A$2:$B$232,2,0)</f>
        <v>#N/A</v>
      </c>
      <c r="AD528" s="70"/>
    </row>
    <row r="529" spans="1:30" x14ac:dyDescent="0.2">
      <c r="A529" s="38" t="str">
        <f t="shared" si="304"/>
        <v xml:space="preserve"> </v>
      </c>
      <c r="B529" s="108"/>
      <c r="C529" s="38"/>
      <c r="D529" s="137"/>
      <c r="E529" s="137"/>
      <c r="F529" s="137"/>
      <c r="G529" s="122"/>
      <c r="H529" s="137"/>
      <c r="I529" s="50"/>
      <c r="J529" s="50"/>
      <c r="K529" s="50"/>
      <c r="L529" s="38"/>
      <c r="M529" s="38"/>
      <c r="N529" s="38"/>
      <c r="O529" s="50"/>
      <c r="P529" s="218"/>
      <c r="Q529" s="50"/>
      <c r="R529" s="50"/>
      <c r="S529" s="38"/>
      <c r="T529" s="51"/>
      <c r="U529" s="65"/>
      <c r="V529" s="105"/>
      <c r="W529" s="66"/>
      <c r="X529" s="66"/>
      <c r="Y529" s="38"/>
      <c r="Z529" s="66">
        <f t="shared" si="303"/>
        <v>0</v>
      </c>
      <c r="AC529" s="41" t="e">
        <f>VLOOKUP(A529,'Input Sheet'!$A$2:$B$232,2,0)</f>
        <v>#N/A</v>
      </c>
      <c r="AD529" s="70"/>
    </row>
    <row r="530" spans="1:30" x14ac:dyDescent="0.2">
      <c r="A530" s="38" t="str">
        <f t="shared" si="304"/>
        <v xml:space="preserve"> </v>
      </c>
      <c r="B530" s="108"/>
      <c r="C530" s="38"/>
      <c r="D530" s="137"/>
      <c r="E530" s="137"/>
      <c r="F530" s="137"/>
      <c r="G530" s="122"/>
      <c r="H530" s="137"/>
      <c r="I530" s="50"/>
      <c r="J530" s="50"/>
      <c r="K530" s="50"/>
      <c r="L530" s="38"/>
      <c r="M530" s="38"/>
      <c r="N530" s="38"/>
      <c r="O530" s="50"/>
      <c r="P530" s="218"/>
      <c r="Q530" s="50"/>
      <c r="R530" s="50"/>
      <c r="S530" s="38"/>
      <c r="T530" s="51"/>
      <c r="U530" s="65"/>
      <c r="V530" s="105"/>
      <c r="W530" s="66"/>
      <c r="X530" s="66"/>
      <c r="Y530" s="38"/>
      <c r="Z530" s="66">
        <f t="shared" si="303"/>
        <v>0</v>
      </c>
      <c r="AC530" s="41" t="e">
        <f>VLOOKUP(A530,'Input Sheet'!$A$2:$B$232,2,0)</f>
        <v>#N/A</v>
      </c>
      <c r="AD530" s="70"/>
    </row>
    <row r="531" spans="1:30" x14ac:dyDescent="0.2">
      <c r="A531" s="38" t="str">
        <f t="shared" si="304"/>
        <v xml:space="preserve"> </v>
      </c>
      <c r="B531" s="108"/>
      <c r="C531" s="38"/>
      <c r="D531" s="137"/>
      <c r="E531" s="137"/>
      <c r="F531" s="137"/>
      <c r="G531" s="122"/>
      <c r="H531" s="137"/>
      <c r="I531" s="50"/>
      <c r="J531" s="50"/>
      <c r="K531" s="50"/>
      <c r="L531" s="38"/>
      <c r="M531" s="38"/>
      <c r="N531" s="38"/>
      <c r="O531" s="50"/>
      <c r="P531" s="218"/>
      <c r="Q531" s="50"/>
      <c r="R531" s="50"/>
      <c r="S531" s="38"/>
      <c r="T531" s="51"/>
      <c r="U531" s="65"/>
      <c r="V531" s="105"/>
      <c r="W531" s="66"/>
      <c r="X531" s="66"/>
      <c r="Y531" s="38"/>
      <c r="Z531" s="66">
        <f t="shared" si="303"/>
        <v>0</v>
      </c>
      <c r="AC531" s="41" t="e">
        <f>VLOOKUP(A531,'Input Sheet'!$A$2:$B$232,2,0)</f>
        <v>#N/A</v>
      </c>
      <c r="AD531" s="70"/>
    </row>
    <row r="532" spans="1:30" x14ac:dyDescent="0.2">
      <c r="A532" s="38" t="str">
        <f t="shared" si="304"/>
        <v xml:space="preserve"> </v>
      </c>
      <c r="B532" s="108"/>
      <c r="C532" s="38"/>
      <c r="D532" s="137"/>
      <c r="E532" s="137"/>
      <c r="F532" s="137"/>
      <c r="G532" s="122"/>
      <c r="H532" s="137"/>
      <c r="I532" s="50"/>
      <c r="J532" s="50"/>
      <c r="K532" s="50"/>
      <c r="L532" s="38"/>
      <c r="M532" s="38"/>
      <c r="N532" s="38"/>
      <c r="O532" s="50"/>
      <c r="P532" s="218"/>
      <c r="Q532" s="50"/>
      <c r="R532" s="50"/>
      <c r="S532" s="38"/>
      <c r="T532" s="51"/>
      <c r="U532" s="65"/>
      <c r="V532" s="105"/>
      <c r="W532" s="66"/>
      <c r="X532" s="66"/>
      <c r="Y532" s="38"/>
      <c r="Z532" s="66">
        <f t="shared" si="303"/>
        <v>0</v>
      </c>
      <c r="AC532" s="41" t="e">
        <f>VLOOKUP(A532,'Input Sheet'!$A$2:$B$232,2,0)</f>
        <v>#N/A</v>
      </c>
      <c r="AD532" s="70"/>
    </row>
    <row r="533" spans="1:30" x14ac:dyDescent="0.2">
      <c r="A533" s="38" t="str">
        <f t="shared" si="304"/>
        <v xml:space="preserve"> </v>
      </c>
      <c r="B533" s="108"/>
      <c r="C533" s="38"/>
      <c r="D533" s="137"/>
      <c r="E533" s="137"/>
      <c r="F533" s="137"/>
      <c r="G533" s="122"/>
      <c r="H533" s="137"/>
      <c r="I533" s="50"/>
      <c r="J533" s="50"/>
      <c r="K533" s="50"/>
      <c r="L533" s="38"/>
      <c r="M533" s="38"/>
      <c r="N533" s="38"/>
      <c r="O533" s="50"/>
      <c r="P533" s="218"/>
      <c r="Q533" s="50"/>
      <c r="R533" s="50"/>
      <c r="S533" s="38"/>
      <c r="T533" s="51"/>
      <c r="U533" s="65"/>
      <c r="V533" s="105"/>
      <c r="W533" s="66"/>
      <c r="X533" s="66"/>
      <c r="Y533" s="38"/>
      <c r="Z533" s="66">
        <f t="shared" si="303"/>
        <v>0</v>
      </c>
      <c r="AC533" s="41" t="e">
        <f>VLOOKUP(A533,'Input Sheet'!$A$2:$B$232,2,0)</f>
        <v>#N/A</v>
      </c>
      <c r="AD533" s="70"/>
    </row>
    <row r="534" spans="1:30" x14ac:dyDescent="0.2">
      <c r="A534" s="38" t="str">
        <f t="shared" si="304"/>
        <v xml:space="preserve"> </v>
      </c>
      <c r="B534" s="108"/>
      <c r="C534" s="38"/>
      <c r="D534" s="137"/>
      <c r="E534" s="137"/>
      <c r="F534" s="137"/>
      <c r="G534" s="122"/>
      <c r="H534" s="137"/>
      <c r="I534" s="50"/>
      <c r="J534" s="50"/>
      <c r="K534" s="50"/>
      <c r="L534" s="38"/>
      <c r="M534" s="38"/>
      <c r="N534" s="38"/>
      <c r="O534" s="50"/>
      <c r="P534" s="218"/>
      <c r="Q534" s="50"/>
      <c r="R534" s="50"/>
      <c r="S534" s="38"/>
      <c r="T534" s="51"/>
      <c r="U534" s="65"/>
      <c r="V534" s="105"/>
      <c r="W534" s="66"/>
      <c r="X534" s="66"/>
      <c r="Y534" s="38"/>
      <c r="Z534" s="66">
        <f t="shared" si="303"/>
        <v>0</v>
      </c>
      <c r="AC534" s="41" t="e">
        <f>VLOOKUP(A534,'Input Sheet'!$A$2:$B$232,2,0)</f>
        <v>#N/A</v>
      </c>
      <c r="AD534" s="70"/>
    </row>
    <row r="535" spans="1:30" x14ac:dyDescent="0.2">
      <c r="A535" s="38" t="str">
        <f t="shared" si="304"/>
        <v xml:space="preserve"> </v>
      </c>
      <c r="B535" s="108"/>
      <c r="C535" s="38"/>
      <c r="D535" s="137"/>
      <c r="E535" s="137"/>
      <c r="F535" s="137"/>
      <c r="G535" s="122"/>
      <c r="H535" s="137"/>
      <c r="I535" s="50"/>
      <c r="J535" s="50"/>
      <c r="K535" s="50"/>
      <c r="L535" s="38"/>
      <c r="M535" s="38"/>
      <c r="N535" s="38"/>
      <c r="O535" s="50"/>
      <c r="P535" s="218"/>
      <c r="Q535" s="50"/>
      <c r="R535" s="50"/>
      <c r="S535" s="38"/>
      <c r="T535" s="51"/>
      <c r="U535" s="65"/>
      <c r="V535" s="105"/>
      <c r="W535" s="66"/>
      <c r="X535" s="66"/>
      <c r="Y535" s="38"/>
      <c r="Z535" s="66">
        <f t="shared" si="303"/>
        <v>0</v>
      </c>
      <c r="AC535" s="41" t="e">
        <f>VLOOKUP(A535,'Input Sheet'!$A$2:$B$232,2,0)</f>
        <v>#N/A</v>
      </c>
      <c r="AD535" s="70"/>
    </row>
    <row r="536" spans="1:30" x14ac:dyDescent="0.2">
      <c r="A536" s="38" t="str">
        <f t="shared" si="304"/>
        <v xml:space="preserve"> </v>
      </c>
      <c r="B536" s="108"/>
      <c r="C536" s="38"/>
      <c r="D536" s="137"/>
      <c r="E536" s="137"/>
      <c r="F536" s="137"/>
      <c r="G536" s="122"/>
      <c r="H536" s="137"/>
      <c r="I536" s="50"/>
      <c r="J536" s="50"/>
      <c r="K536" s="50"/>
      <c r="L536" s="38"/>
      <c r="M536" s="38"/>
      <c r="N536" s="38"/>
      <c r="O536" s="50"/>
      <c r="P536" s="218"/>
      <c r="Q536" s="50"/>
      <c r="R536" s="50"/>
      <c r="S536" s="38"/>
      <c r="T536" s="51"/>
      <c r="U536" s="65"/>
      <c r="V536" s="105"/>
      <c r="W536" s="66"/>
      <c r="X536" s="66"/>
      <c r="Y536" s="38"/>
      <c r="Z536" s="66">
        <f t="shared" si="303"/>
        <v>0</v>
      </c>
      <c r="AC536" s="41" t="e">
        <f>VLOOKUP(A536,'Input Sheet'!$A$2:$B$232,2,0)</f>
        <v>#N/A</v>
      </c>
      <c r="AD536" s="70"/>
    </row>
    <row r="537" spans="1:30" x14ac:dyDescent="0.2">
      <c r="A537" s="38" t="str">
        <f t="shared" si="304"/>
        <v xml:space="preserve"> </v>
      </c>
      <c r="B537" s="108"/>
      <c r="C537" s="38"/>
      <c r="D537" s="137"/>
      <c r="E537" s="137"/>
      <c r="F537" s="137"/>
      <c r="G537" s="122"/>
      <c r="H537" s="137"/>
      <c r="I537" s="50"/>
      <c r="J537" s="50"/>
      <c r="K537" s="50"/>
      <c r="L537" s="38"/>
      <c r="M537" s="38"/>
      <c r="N537" s="38"/>
      <c r="O537" s="50"/>
      <c r="P537" s="218"/>
      <c r="Q537" s="50"/>
      <c r="R537" s="50"/>
      <c r="S537" s="38"/>
      <c r="T537" s="51"/>
      <c r="U537" s="65"/>
      <c r="V537" s="105"/>
      <c r="W537" s="66"/>
      <c r="X537" s="66"/>
      <c r="Y537" s="38"/>
      <c r="Z537" s="66">
        <f t="shared" si="303"/>
        <v>0</v>
      </c>
      <c r="AC537" s="41" t="e">
        <f>VLOOKUP(A537,'Input Sheet'!$A$2:$B$232,2,0)</f>
        <v>#N/A</v>
      </c>
      <c r="AD537" s="70"/>
    </row>
    <row r="538" spans="1:30" x14ac:dyDescent="0.2">
      <c r="A538" s="38" t="str">
        <f t="shared" si="304"/>
        <v xml:space="preserve"> </v>
      </c>
      <c r="B538" s="108"/>
      <c r="C538" s="38"/>
      <c r="D538" s="137"/>
      <c r="E538" s="137"/>
      <c r="F538" s="137"/>
      <c r="G538" s="122"/>
      <c r="H538" s="137"/>
      <c r="I538" s="50"/>
      <c r="J538" s="50"/>
      <c r="K538" s="50"/>
      <c r="L538" s="38"/>
      <c r="M538" s="38"/>
      <c r="N538" s="38"/>
      <c r="O538" s="50"/>
      <c r="P538" s="218"/>
      <c r="Q538" s="50"/>
      <c r="R538" s="50"/>
      <c r="S538" s="38"/>
      <c r="T538" s="51"/>
      <c r="U538" s="65"/>
      <c r="V538" s="105"/>
      <c r="W538" s="66"/>
      <c r="X538" s="66"/>
      <c r="Y538" s="38"/>
      <c r="Z538" s="66">
        <f t="shared" si="303"/>
        <v>0</v>
      </c>
      <c r="AC538" s="41" t="e">
        <f>VLOOKUP(A538,'Input Sheet'!$A$2:$B$232,2,0)</f>
        <v>#N/A</v>
      </c>
      <c r="AD538" s="70"/>
    </row>
    <row r="539" spans="1:30" x14ac:dyDescent="0.2">
      <c r="A539" s="38" t="str">
        <f t="shared" si="304"/>
        <v xml:space="preserve"> </v>
      </c>
      <c r="B539" s="108"/>
      <c r="C539" s="38"/>
      <c r="D539" s="137"/>
      <c r="E539" s="137"/>
      <c r="F539" s="137"/>
      <c r="G539" s="122"/>
      <c r="H539" s="137"/>
      <c r="I539" s="50"/>
      <c r="J539" s="50"/>
      <c r="K539" s="50"/>
      <c r="L539" s="38"/>
      <c r="M539" s="38"/>
      <c r="N539" s="38"/>
      <c r="O539" s="50"/>
      <c r="P539" s="218"/>
      <c r="Q539" s="50"/>
      <c r="R539" s="50"/>
      <c r="S539" s="38"/>
      <c r="T539" s="51"/>
      <c r="U539" s="65"/>
      <c r="V539" s="105"/>
      <c r="W539" s="66"/>
      <c r="X539" s="66"/>
      <c r="Y539" s="38"/>
      <c r="Z539" s="66">
        <f t="shared" si="303"/>
        <v>0</v>
      </c>
      <c r="AC539" s="41" t="e">
        <f>VLOOKUP(A539,'Input Sheet'!$A$2:$B$232,2,0)</f>
        <v>#N/A</v>
      </c>
      <c r="AD539" s="70"/>
    </row>
    <row r="540" spans="1:30" x14ac:dyDescent="0.2">
      <c r="A540" s="38" t="str">
        <f t="shared" si="304"/>
        <v xml:space="preserve"> </v>
      </c>
      <c r="B540" s="108"/>
      <c r="C540" s="38"/>
      <c r="D540" s="137"/>
      <c r="E540" s="137"/>
      <c r="F540" s="137"/>
      <c r="G540" s="122"/>
      <c r="H540" s="137"/>
      <c r="I540" s="50"/>
      <c r="J540" s="50"/>
      <c r="K540" s="50"/>
      <c r="L540" s="38"/>
      <c r="M540" s="38"/>
      <c r="N540" s="38"/>
      <c r="O540" s="50"/>
      <c r="P540" s="218"/>
      <c r="Q540" s="50"/>
      <c r="R540" s="50"/>
      <c r="S540" s="38"/>
      <c r="T540" s="51"/>
      <c r="U540" s="65"/>
      <c r="V540" s="105"/>
      <c r="W540" s="66"/>
      <c r="X540" s="66"/>
      <c r="Y540" s="38"/>
      <c r="Z540" s="66">
        <f t="shared" si="303"/>
        <v>0</v>
      </c>
      <c r="AC540" s="41" t="e">
        <f>VLOOKUP(A540,'Input Sheet'!$A$2:$B$232,2,0)</f>
        <v>#N/A</v>
      </c>
      <c r="AD540" s="70"/>
    </row>
    <row r="541" spans="1:30" x14ac:dyDescent="0.2">
      <c r="A541" s="38" t="str">
        <f t="shared" si="304"/>
        <v xml:space="preserve"> </v>
      </c>
      <c r="B541" s="108"/>
      <c r="C541" s="38"/>
      <c r="D541" s="137"/>
      <c r="E541" s="137"/>
      <c r="F541" s="137"/>
      <c r="G541" s="122"/>
      <c r="H541" s="137"/>
      <c r="I541" s="50"/>
      <c r="J541" s="50"/>
      <c r="K541" s="50"/>
      <c r="L541" s="38"/>
      <c r="M541" s="38"/>
      <c r="N541" s="38"/>
      <c r="O541" s="50"/>
      <c r="P541" s="218"/>
      <c r="Q541" s="50"/>
      <c r="R541" s="50"/>
      <c r="S541" s="38"/>
      <c r="T541" s="51"/>
      <c r="U541" s="65"/>
      <c r="V541" s="105"/>
      <c r="W541" s="66"/>
      <c r="X541" s="66"/>
      <c r="Y541" s="38"/>
      <c r="Z541" s="66">
        <f t="shared" si="303"/>
        <v>0</v>
      </c>
      <c r="AC541" s="41" t="e">
        <f>VLOOKUP(A541,'Input Sheet'!$A$2:$B$232,2,0)</f>
        <v>#N/A</v>
      </c>
      <c r="AD541" s="70"/>
    </row>
    <row r="542" spans="1:30" x14ac:dyDescent="0.2">
      <c r="A542" s="38" t="str">
        <f t="shared" si="304"/>
        <v xml:space="preserve"> </v>
      </c>
      <c r="B542" s="108"/>
      <c r="C542" s="38"/>
      <c r="D542" s="137"/>
      <c r="E542" s="137"/>
      <c r="F542" s="137"/>
      <c r="G542" s="122"/>
      <c r="H542" s="137"/>
      <c r="I542" s="50"/>
      <c r="J542" s="50"/>
      <c r="K542" s="50"/>
      <c r="L542" s="38"/>
      <c r="M542" s="38"/>
      <c r="N542" s="38"/>
      <c r="O542" s="50"/>
      <c r="P542" s="218"/>
      <c r="Q542" s="50"/>
      <c r="R542" s="50"/>
      <c r="S542" s="38"/>
      <c r="T542" s="51"/>
      <c r="U542" s="65"/>
      <c r="V542" s="105"/>
      <c r="W542" s="66"/>
      <c r="X542" s="66"/>
      <c r="Y542" s="38"/>
      <c r="Z542" s="66">
        <f t="shared" si="303"/>
        <v>0</v>
      </c>
      <c r="AC542" s="41" t="e">
        <f>VLOOKUP(A542,'Input Sheet'!$A$2:$B$232,2,0)</f>
        <v>#N/A</v>
      </c>
      <c r="AD542" s="70"/>
    </row>
    <row r="543" spans="1:30" x14ac:dyDescent="0.2">
      <c r="A543" s="38" t="str">
        <f t="shared" si="304"/>
        <v xml:space="preserve"> </v>
      </c>
      <c r="B543" s="108"/>
      <c r="C543" s="38"/>
      <c r="D543" s="137"/>
      <c r="E543" s="137"/>
      <c r="F543" s="137"/>
      <c r="G543" s="122"/>
      <c r="H543" s="137"/>
      <c r="I543" s="50"/>
      <c r="J543" s="50"/>
      <c r="K543" s="50"/>
      <c r="L543" s="38"/>
      <c r="M543" s="38"/>
      <c r="N543" s="38"/>
      <c r="O543" s="50"/>
      <c r="P543" s="218"/>
      <c r="Q543" s="50"/>
      <c r="R543" s="50"/>
      <c r="S543" s="38"/>
      <c r="T543" s="51"/>
      <c r="U543" s="65"/>
      <c r="V543" s="105"/>
      <c r="W543" s="66"/>
      <c r="X543" s="66"/>
      <c r="Y543" s="38"/>
      <c r="Z543" s="66">
        <f t="shared" si="303"/>
        <v>0</v>
      </c>
      <c r="AC543" s="41" t="e">
        <f>VLOOKUP(A543,'Input Sheet'!$A$2:$B$232,2,0)</f>
        <v>#N/A</v>
      </c>
      <c r="AD543" s="70"/>
    </row>
    <row r="544" spans="1:30" x14ac:dyDescent="0.2">
      <c r="A544" s="38" t="str">
        <f t="shared" si="304"/>
        <v xml:space="preserve"> </v>
      </c>
      <c r="B544" s="108"/>
      <c r="C544" s="38"/>
      <c r="D544" s="137"/>
      <c r="E544" s="137"/>
      <c r="F544" s="137"/>
      <c r="G544" s="122"/>
      <c r="H544" s="137"/>
      <c r="I544" s="50"/>
      <c r="J544" s="50"/>
      <c r="K544" s="50"/>
      <c r="L544" s="38"/>
      <c r="M544" s="38"/>
      <c r="N544" s="38"/>
      <c r="O544" s="50"/>
      <c r="P544" s="218"/>
      <c r="Q544" s="50"/>
      <c r="R544" s="50"/>
      <c r="S544" s="38"/>
      <c r="T544" s="51"/>
      <c r="U544" s="65"/>
      <c r="V544" s="105"/>
      <c r="W544" s="66"/>
      <c r="X544" s="66"/>
      <c r="Y544" s="38"/>
      <c r="Z544" s="66">
        <f t="shared" si="303"/>
        <v>0</v>
      </c>
      <c r="AC544" s="41" t="e">
        <f>VLOOKUP(A544,'Input Sheet'!$A$2:$B$232,2,0)</f>
        <v>#N/A</v>
      </c>
      <c r="AD544" s="70"/>
    </row>
    <row r="545" spans="1:30" x14ac:dyDescent="0.2">
      <c r="A545" s="38" t="str">
        <f t="shared" si="304"/>
        <v xml:space="preserve"> </v>
      </c>
      <c r="B545" s="108"/>
      <c r="C545" s="38"/>
      <c r="D545" s="137"/>
      <c r="E545" s="137"/>
      <c r="F545" s="137"/>
      <c r="G545" s="122"/>
      <c r="H545" s="137"/>
      <c r="I545" s="50"/>
      <c r="J545" s="50"/>
      <c r="K545" s="50"/>
      <c r="L545" s="38"/>
      <c r="M545" s="38"/>
      <c r="N545" s="38"/>
      <c r="O545" s="50"/>
      <c r="P545" s="218"/>
      <c r="Q545" s="50"/>
      <c r="R545" s="50"/>
      <c r="S545" s="38"/>
      <c r="T545" s="51"/>
      <c r="U545" s="65"/>
      <c r="V545" s="105"/>
      <c r="W545" s="66"/>
      <c r="X545" s="66"/>
      <c r="Y545" s="38"/>
      <c r="Z545" s="66">
        <f t="shared" si="303"/>
        <v>0</v>
      </c>
      <c r="AC545" s="41" t="e">
        <f>VLOOKUP(A545,'Input Sheet'!$A$2:$B$232,2,0)</f>
        <v>#N/A</v>
      </c>
      <c r="AD545" s="70"/>
    </row>
    <row r="546" spans="1:30" x14ac:dyDescent="0.2">
      <c r="A546" s="38" t="str">
        <f t="shared" si="304"/>
        <v xml:space="preserve"> </v>
      </c>
      <c r="B546" s="108"/>
      <c r="C546" s="38"/>
      <c r="D546" s="137"/>
      <c r="E546" s="137"/>
      <c r="F546" s="137"/>
      <c r="G546" s="122"/>
      <c r="H546" s="137"/>
      <c r="I546" s="50"/>
      <c r="J546" s="50"/>
      <c r="K546" s="50"/>
      <c r="L546" s="38"/>
      <c r="M546" s="38"/>
      <c r="N546" s="38"/>
      <c r="O546" s="50"/>
      <c r="P546" s="218"/>
      <c r="Q546" s="50"/>
      <c r="R546" s="50"/>
      <c r="S546" s="38"/>
      <c r="T546" s="51"/>
      <c r="U546" s="65"/>
      <c r="V546" s="105"/>
      <c r="W546" s="66"/>
      <c r="X546" s="66"/>
      <c r="Y546" s="38"/>
      <c r="Z546" s="66">
        <f t="shared" si="303"/>
        <v>0</v>
      </c>
      <c r="AC546" s="41" t="e">
        <f>VLOOKUP(A546,'Input Sheet'!$A$2:$B$232,2,0)</f>
        <v>#N/A</v>
      </c>
      <c r="AD546" s="70"/>
    </row>
    <row r="547" spans="1:30" x14ac:dyDescent="0.2">
      <c r="A547" s="38" t="str">
        <f t="shared" si="304"/>
        <v xml:space="preserve"> </v>
      </c>
      <c r="B547" s="108"/>
      <c r="C547" s="38"/>
      <c r="D547" s="137"/>
      <c r="E547" s="137"/>
      <c r="F547" s="137"/>
      <c r="G547" s="122"/>
      <c r="H547" s="137"/>
      <c r="I547" s="50"/>
      <c r="J547" s="50"/>
      <c r="K547" s="50"/>
      <c r="L547" s="38"/>
      <c r="M547" s="38"/>
      <c r="N547" s="38"/>
      <c r="O547" s="50"/>
      <c r="P547" s="218"/>
      <c r="Q547" s="50"/>
      <c r="R547" s="50"/>
      <c r="S547" s="38"/>
      <c r="T547" s="51"/>
      <c r="U547" s="65"/>
      <c r="V547" s="105"/>
      <c r="W547" s="66"/>
      <c r="X547" s="66"/>
      <c r="Y547" s="38"/>
      <c r="Z547" s="66">
        <f t="shared" si="303"/>
        <v>0</v>
      </c>
      <c r="AC547" s="41" t="e">
        <f>VLOOKUP(A547,'Input Sheet'!$A$2:$B$232,2,0)</f>
        <v>#N/A</v>
      </c>
      <c r="AD547" s="70"/>
    </row>
    <row r="548" spans="1:30" x14ac:dyDescent="0.2">
      <c r="A548" s="38" t="str">
        <f t="shared" si="304"/>
        <v xml:space="preserve"> </v>
      </c>
      <c r="B548" s="108"/>
      <c r="C548" s="38"/>
      <c r="D548" s="137"/>
      <c r="E548" s="137"/>
      <c r="F548" s="137"/>
      <c r="G548" s="122"/>
      <c r="H548" s="137"/>
      <c r="I548" s="50"/>
      <c r="J548" s="50"/>
      <c r="K548" s="50"/>
      <c r="L548" s="38"/>
      <c r="M548" s="38"/>
      <c r="N548" s="38"/>
      <c r="O548" s="50"/>
      <c r="P548" s="218"/>
      <c r="Q548" s="50"/>
      <c r="R548" s="50"/>
      <c r="S548" s="38"/>
      <c r="T548" s="51"/>
      <c r="U548" s="65"/>
      <c r="V548" s="105"/>
      <c r="W548" s="66"/>
      <c r="X548" s="66"/>
      <c r="Y548" s="38"/>
      <c r="Z548" s="66">
        <f t="shared" si="303"/>
        <v>0</v>
      </c>
      <c r="AC548" s="41" t="e">
        <f>VLOOKUP(A548,'Input Sheet'!$A$2:$B$232,2,0)</f>
        <v>#N/A</v>
      </c>
      <c r="AD548" s="70"/>
    </row>
    <row r="549" spans="1:30" x14ac:dyDescent="0.2">
      <c r="A549" s="38" t="str">
        <f t="shared" si="304"/>
        <v xml:space="preserve"> </v>
      </c>
      <c r="B549" s="108"/>
      <c r="C549" s="38"/>
      <c r="D549" s="137"/>
      <c r="E549" s="137"/>
      <c r="F549" s="137"/>
      <c r="G549" s="122"/>
      <c r="H549" s="137"/>
      <c r="I549" s="50"/>
      <c r="J549" s="50"/>
      <c r="K549" s="50"/>
      <c r="L549" s="38"/>
      <c r="M549" s="38"/>
      <c r="N549" s="38"/>
      <c r="O549" s="50"/>
      <c r="P549" s="218"/>
      <c r="Q549" s="50"/>
      <c r="R549" s="50"/>
      <c r="S549" s="38"/>
      <c r="T549" s="51"/>
      <c r="U549" s="65"/>
      <c r="V549" s="105"/>
      <c r="W549" s="66"/>
      <c r="X549" s="66"/>
      <c r="Y549" s="38"/>
      <c r="Z549" s="66">
        <f t="shared" si="303"/>
        <v>0</v>
      </c>
      <c r="AC549" s="41" t="e">
        <f>VLOOKUP(A549,'Input Sheet'!$A$2:$B$232,2,0)</f>
        <v>#N/A</v>
      </c>
      <c r="AD549" s="70"/>
    </row>
    <row r="550" spans="1:30" x14ac:dyDescent="0.2">
      <c r="A550" s="38" t="str">
        <f t="shared" si="304"/>
        <v xml:space="preserve"> </v>
      </c>
      <c r="B550" s="108"/>
      <c r="C550" s="38"/>
      <c r="D550" s="137"/>
      <c r="E550" s="137"/>
      <c r="F550" s="137"/>
      <c r="G550" s="122"/>
      <c r="H550" s="137"/>
      <c r="I550" s="50"/>
      <c r="J550" s="50"/>
      <c r="K550" s="50"/>
      <c r="L550" s="38"/>
      <c r="M550" s="38"/>
      <c r="N550" s="38"/>
      <c r="O550" s="50"/>
      <c r="P550" s="218"/>
      <c r="Q550" s="50"/>
      <c r="R550" s="50"/>
      <c r="S550" s="38"/>
      <c r="T550" s="51"/>
      <c r="U550" s="65"/>
      <c r="V550" s="105"/>
      <c r="W550" s="66"/>
      <c r="X550" s="66"/>
      <c r="Y550" s="38"/>
      <c r="Z550" s="66">
        <f t="shared" si="303"/>
        <v>0</v>
      </c>
      <c r="AC550" s="41" t="e">
        <f>VLOOKUP(A550,'Input Sheet'!$A$2:$B$232,2,0)</f>
        <v>#N/A</v>
      </c>
      <c r="AD550" s="70"/>
    </row>
    <row r="551" spans="1:30" x14ac:dyDescent="0.2">
      <c r="A551" s="38" t="str">
        <f t="shared" si="304"/>
        <v xml:space="preserve"> </v>
      </c>
      <c r="B551" s="108"/>
      <c r="C551" s="38"/>
      <c r="D551" s="137"/>
      <c r="E551" s="137"/>
      <c r="F551" s="137"/>
      <c r="G551" s="122"/>
      <c r="H551" s="137"/>
      <c r="I551" s="50"/>
      <c r="J551" s="50"/>
      <c r="K551" s="50"/>
      <c r="L551" s="38"/>
      <c r="M551" s="38"/>
      <c r="N551" s="38"/>
      <c r="O551" s="50"/>
      <c r="P551" s="218"/>
      <c r="Q551" s="50"/>
      <c r="R551" s="50"/>
      <c r="S551" s="38"/>
      <c r="T551" s="51"/>
      <c r="U551" s="65"/>
      <c r="V551" s="105"/>
      <c r="W551" s="66"/>
      <c r="X551" s="66"/>
      <c r="Y551" s="38"/>
      <c r="Z551" s="66">
        <f t="shared" si="303"/>
        <v>0</v>
      </c>
      <c r="AC551" s="41" t="e">
        <f>VLOOKUP(A551,'Input Sheet'!$A$2:$B$232,2,0)</f>
        <v>#N/A</v>
      </c>
      <c r="AD551" s="70"/>
    </row>
    <row r="552" spans="1:30" x14ac:dyDescent="0.2">
      <c r="A552" s="38" t="str">
        <f t="shared" si="304"/>
        <v xml:space="preserve"> </v>
      </c>
      <c r="B552" s="108"/>
      <c r="C552" s="38"/>
      <c r="D552" s="137"/>
      <c r="E552" s="137"/>
      <c r="F552" s="137"/>
      <c r="G552" s="122"/>
      <c r="H552" s="137"/>
      <c r="I552" s="50"/>
      <c r="J552" s="50"/>
      <c r="K552" s="50"/>
      <c r="L552" s="38"/>
      <c r="M552" s="38"/>
      <c r="N552" s="38"/>
      <c r="O552" s="50"/>
      <c r="P552" s="218"/>
      <c r="Q552" s="50"/>
      <c r="R552" s="50"/>
      <c r="S552" s="38"/>
      <c r="T552" s="51"/>
      <c r="U552" s="65"/>
      <c r="V552" s="105"/>
      <c r="W552" s="66"/>
      <c r="X552" s="66"/>
      <c r="Y552" s="38"/>
      <c r="Z552" s="66">
        <f t="shared" si="303"/>
        <v>0</v>
      </c>
      <c r="AC552" s="41" t="e">
        <f>VLOOKUP(A552,'Input Sheet'!$A$2:$B$232,2,0)</f>
        <v>#N/A</v>
      </c>
      <c r="AD552" s="70"/>
    </row>
    <row r="553" spans="1:30" x14ac:dyDescent="0.2">
      <c r="A553" s="38" t="str">
        <f t="shared" si="304"/>
        <v xml:space="preserve"> </v>
      </c>
      <c r="B553" s="108"/>
      <c r="C553" s="38"/>
      <c r="D553" s="137"/>
      <c r="E553" s="137"/>
      <c r="F553" s="137"/>
      <c r="G553" s="122"/>
      <c r="H553" s="137"/>
      <c r="I553" s="50"/>
      <c r="J553" s="50"/>
      <c r="K553" s="50"/>
      <c r="L553" s="38"/>
      <c r="M553" s="38"/>
      <c r="N553" s="38"/>
      <c r="O553" s="50"/>
      <c r="P553" s="218"/>
      <c r="Q553" s="50"/>
      <c r="R553" s="50"/>
      <c r="S553" s="38"/>
      <c r="T553" s="51"/>
      <c r="U553" s="65"/>
      <c r="V553" s="105"/>
      <c r="W553" s="66"/>
      <c r="X553" s="66"/>
      <c r="Y553" s="38"/>
      <c r="Z553" s="66">
        <f t="shared" si="303"/>
        <v>0</v>
      </c>
      <c r="AC553" s="41" t="e">
        <f>VLOOKUP(A553,'Input Sheet'!$A$2:$B$232,2,0)</f>
        <v>#N/A</v>
      </c>
      <c r="AD553" s="70"/>
    </row>
    <row r="554" spans="1:30" x14ac:dyDescent="0.2">
      <c r="A554" s="38" t="str">
        <f t="shared" si="304"/>
        <v xml:space="preserve"> </v>
      </c>
      <c r="B554" s="108"/>
      <c r="C554" s="38"/>
      <c r="D554" s="137"/>
      <c r="E554" s="137"/>
      <c r="F554" s="137"/>
      <c r="G554" s="122"/>
      <c r="H554" s="137"/>
      <c r="I554" s="50"/>
      <c r="J554" s="50"/>
      <c r="K554" s="50"/>
      <c r="L554" s="38"/>
      <c r="M554" s="38"/>
      <c r="N554" s="38"/>
      <c r="O554" s="50"/>
      <c r="P554" s="218"/>
      <c r="Q554" s="50"/>
      <c r="R554" s="50"/>
      <c r="S554" s="38"/>
      <c r="T554" s="51"/>
      <c r="U554" s="65"/>
      <c r="V554" s="105"/>
      <c r="W554" s="66"/>
      <c r="X554" s="66"/>
      <c r="Y554" s="38"/>
      <c r="Z554" s="66">
        <f t="shared" si="303"/>
        <v>0</v>
      </c>
      <c r="AC554" s="41" t="e">
        <f>VLOOKUP(A554,'Input Sheet'!$A$2:$B$232,2,0)</f>
        <v>#N/A</v>
      </c>
      <c r="AD554" s="70"/>
    </row>
    <row r="555" spans="1:30" x14ac:dyDescent="0.2">
      <c r="A555" s="38" t="str">
        <f t="shared" si="304"/>
        <v xml:space="preserve"> </v>
      </c>
      <c r="B555" s="108"/>
      <c r="C555" s="38"/>
      <c r="D555" s="137"/>
      <c r="E555" s="137"/>
      <c r="F555" s="137"/>
      <c r="G555" s="122"/>
      <c r="H555" s="137"/>
      <c r="I555" s="50"/>
      <c r="J555" s="50"/>
      <c r="K555" s="50"/>
      <c r="L555" s="38"/>
      <c r="M555" s="38"/>
      <c r="N555" s="38"/>
      <c r="O555" s="50"/>
      <c r="P555" s="218"/>
      <c r="Q555" s="50"/>
      <c r="R555" s="50"/>
      <c r="S555" s="38"/>
      <c r="T555" s="51"/>
      <c r="U555" s="65"/>
      <c r="V555" s="105"/>
      <c r="W555" s="66"/>
      <c r="X555" s="66"/>
      <c r="Y555" s="38"/>
      <c r="Z555" s="66">
        <f t="shared" si="303"/>
        <v>0</v>
      </c>
      <c r="AC555" s="41" t="e">
        <f>VLOOKUP(A555,'Input Sheet'!$A$2:$B$232,2,0)</f>
        <v>#N/A</v>
      </c>
      <c r="AD555" s="70"/>
    </row>
    <row r="556" spans="1:30" x14ac:dyDescent="0.2">
      <c r="A556" s="38" t="str">
        <f t="shared" si="304"/>
        <v xml:space="preserve"> </v>
      </c>
      <c r="B556" s="108"/>
      <c r="C556" s="38"/>
      <c r="D556" s="137"/>
      <c r="E556" s="137"/>
      <c r="F556" s="137"/>
      <c r="G556" s="122"/>
      <c r="H556" s="137"/>
      <c r="I556" s="50"/>
      <c r="J556" s="50"/>
      <c r="K556" s="50"/>
      <c r="L556" s="38"/>
      <c r="M556" s="38"/>
      <c r="N556" s="38"/>
      <c r="O556" s="50"/>
      <c r="P556" s="218"/>
      <c r="Q556" s="50"/>
      <c r="R556" s="50"/>
      <c r="S556" s="38"/>
      <c r="T556" s="51"/>
      <c r="U556" s="65"/>
      <c r="V556" s="105"/>
      <c r="W556" s="66"/>
      <c r="X556" s="66"/>
      <c r="Y556" s="38"/>
      <c r="Z556" s="66">
        <f t="shared" si="303"/>
        <v>0</v>
      </c>
      <c r="AC556" s="41" t="e">
        <f>VLOOKUP(A556,'Input Sheet'!$A$2:$B$232,2,0)</f>
        <v>#N/A</v>
      </c>
      <c r="AD556" s="70"/>
    </row>
    <row r="557" spans="1:30" x14ac:dyDescent="0.2">
      <c r="A557" s="38" t="str">
        <f t="shared" si="304"/>
        <v xml:space="preserve"> </v>
      </c>
      <c r="B557" s="108"/>
      <c r="C557" s="38"/>
      <c r="D557" s="137"/>
      <c r="E557" s="137"/>
      <c r="F557" s="137"/>
      <c r="G557" s="122"/>
      <c r="H557" s="137"/>
      <c r="I557" s="50"/>
      <c r="J557" s="50"/>
      <c r="K557" s="50"/>
      <c r="L557" s="38"/>
      <c r="M557" s="38"/>
      <c r="N557" s="38"/>
      <c r="O557" s="50"/>
      <c r="P557" s="218"/>
      <c r="Q557" s="50"/>
      <c r="R557" s="50"/>
      <c r="S557" s="38"/>
      <c r="T557" s="51"/>
      <c r="U557" s="65"/>
      <c r="V557" s="105"/>
      <c r="W557" s="66"/>
      <c r="X557" s="66"/>
      <c r="Y557" s="38"/>
      <c r="Z557" s="66">
        <f t="shared" si="303"/>
        <v>0</v>
      </c>
      <c r="AC557" s="41" t="e">
        <f>VLOOKUP(A557,'Input Sheet'!$A$2:$B$232,2,0)</f>
        <v>#N/A</v>
      </c>
      <c r="AD557" s="70"/>
    </row>
    <row r="558" spans="1:30" x14ac:dyDescent="0.2">
      <c r="A558" s="38" t="str">
        <f t="shared" si="304"/>
        <v xml:space="preserve"> </v>
      </c>
      <c r="B558" s="108"/>
      <c r="C558" s="38"/>
      <c r="D558" s="137"/>
      <c r="E558" s="137"/>
      <c r="F558" s="137"/>
      <c r="G558" s="122"/>
      <c r="H558" s="137"/>
      <c r="I558" s="50"/>
      <c r="J558" s="50"/>
      <c r="K558" s="50"/>
      <c r="L558" s="38"/>
      <c r="M558" s="38"/>
      <c r="N558" s="38"/>
      <c r="O558" s="50"/>
      <c r="P558" s="218"/>
      <c r="Q558" s="50"/>
      <c r="R558" s="50"/>
      <c r="S558" s="38"/>
      <c r="T558" s="51"/>
      <c r="U558" s="65"/>
      <c r="V558" s="105"/>
      <c r="W558" s="66"/>
      <c r="X558" s="66"/>
      <c r="Y558" s="38"/>
      <c r="Z558" s="66">
        <f t="shared" si="303"/>
        <v>0</v>
      </c>
      <c r="AC558" s="41" t="e">
        <f>VLOOKUP(A558,'Input Sheet'!$A$2:$B$232,2,0)</f>
        <v>#N/A</v>
      </c>
      <c r="AD558" s="70"/>
    </row>
    <row r="559" spans="1:30" x14ac:dyDescent="0.2">
      <c r="A559" s="38" t="str">
        <f t="shared" si="304"/>
        <v xml:space="preserve"> </v>
      </c>
      <c r="B559" s="108"/>
      <c r="C559" s="38"/>
      <c r="D559" s="137"/>
      <c r="E559" s="137"/>
      <c r="F559" s="137"/>
      <c r="G559" s="122"/>
      <c r="H559" s="137"/>
      <c r="I559" s="50"/>
      <c r="J559" s="50"/>
      <c r="K559" s="50"/>
      <c r="L559" s="38"/>
      <c r="M559" s="38"/>
      <c r="N559" s="38"/>
      <c r="O559" s="50"/>
      <c r="P559" s="218"/>
      <c r="Q559" s="50"/>
      <c r="R559" s="50"/>
      <c r="S559" s="38"/>
      <c r="T559" s="51"/>
      <c r="U559" s="65"/>
      <c r="V559" s="105"/>
      <c r="W559" s="66"/>
      <c r="X559" s="66"/>
      <c r="Y559" s="38"/>
      <c r="Z559" s="66">
        <f t="shared" si="303"/>
        <v>0</v>
      </c>
      <c r="AC559" s="41" t="e">
        <f>VLOOKUP(A559,'Input Sheet'!$A$2:$B$232,2,0)</f>
        <v>#N/A</v>
      </c>
      <c r="AD559" s="70"/>
    </row>
    <row r="560" spans="1:30" x14ac:dyDescent="0.2">
      <c r="A560" s="38" t="str">
        <f t="shared" si="304"/>
        <v xml:space="preserve"> </v>
      </c>
      <c r="B560" s="108"/>
      <c r="C560" s="38"/>
      <c r="D560" s="137"/>
      <c r="E560" s="137"/>
      <c r="F560" s="137"/>
      <c r="G560" s="122"/>
      <c r="H560" s="137"/>
      <c r="I560" s="50"/>
      <c r="J560" s="50"/>
      <c r="K560" s="50"/>
      <c r="L560" s="38"/>
      <c r="M560" s="38"/>
      <c r="N560" s="38"/>
      <c r="O560" s="50"/>
      <c r="P560" s="218"/>
      <c r="Q560" s="50"/>
      <c r="R560" s="50"/>
      <c r="S560" s="38"/>
      <c r="T560" s="51"/>
      <c r="U560" s="65"/>
      <c r="V560" s="105"/>
      <c r="W560" s="66"/>
      <c r="X560" s="66"/>
      <c r="Y560" s="38"/>
      <c r="Z560" s="66">
        <f t="shared" si="303"/>
        <v>0</v>
      </c>
      <c r="AC560" s="41" t="e">
        <f>VLOOKUP(A560,'Input Sheet'!$A$2:$B$232,2,0)</f>
        <v>#N/A</v>
      </c>
      <c r="AD560" s="70"/>
    </row>
    <row r="561" spans="1:30" x14ac:dyDescent="0.2">
      <c r="A561" s="38" t="str">
        <f t="shared" si="304"/>
        <v xml:space="preserve"> </v>
      </c>
      <c r="B561" s="108"/>
      <c r="C561" s="38"/>
      <c r="D561" s="137"/>
      <c r="E561" s="137"/>
      <c r="F561" s="137"/>
      <c r="G561" s="122"/>
      <c r="H561" s="137"/>
      <c r="I561" s="50"/>
      <c r="J561" s="50"/>
      <c r="K561" s="50"/>
      <c r="L561" s="38"/>
      <c r="M561" s="38"/>
      <c r="N561" s="38"/>
      <c r="O561" s="50"/>
      <c r="P561" s="218"/>
      <c r="Q561" s="50"/>
      <c r="R561" s="50"/>
      <c r="S561" s="38"/>
      <c r="T561" s="51"/>
      <c r="U561" s="65"/>
      <c r="V561" s="105"/>
      <c r="W561" s="66"/>
      <c r="X561" s="66"/>
      <c r="Y561" s="38"/>
      <c r="Z561" s="66">
        <f t="shared" si="303"/>
        <v>0</v>
      </c>
      <c r="AC561" s="41" t="e">
        <f>VLOOKUP(A561,'Input Sheet'!$A$2:$B$232,2,0)</f>
        <v>#N/A</v>
      </c>
      <c r="AD561" s="70"/>
    </row>
    <row r="562" spans="1:30" x14ac:dyDescent="0.2">
      <c r="A562" s="38" t="str">
        <f t="shared" si="304"/>
        <v xml:space="preserve"> </v>
      </c>
      <c r="B562" s="108"/>
      <c r="C562" s="38"/>
      <c r="D562" s="137"/>
      <c r="E562" s="137"/>
      <c r="F562" s="137"/>
      <c r="G562" s="122"/>
      <c r="H562" s="137"/>
      <c r="I562" s="50"/>
      <c r="J562" s="50"/>
      <c r="K562" s="50"/>
      <c r="L562" s="38"/>
      <c r="M562" s="38"/>
      <c r="N562" s="38"/>
      <c r="O562" s="50"/>
      <c r="P562" s="218"/>
      <c r="Q562" s="50"/>
      <c r="R562" s="50"/>
      <c r="S562" s="38"/>
      <c r="T562" s="51"/>
      <c r="U562" s="65"/>
      <c r="V562" s="105"/>
      <c r="W562" s="66"/>
      <c r="X562" s="66"/>
      <c r="Y562" s="38"/>
      <c r="Z562" s="66">
        <f t="shared" si="303"/>
        <v>0</v>
      </c>
      <c r="AC562" s="41" t="e">
        <f>VLOOKUP(A562,'Input Sheet'!$A$2:$B$232,2,0)</f>
        <v>#N/A</v>
      </c>
      <c r="AD562" s="70"/>
    </row>
    <row r="563" spans="1:30" x14ac:dyDescent="0.2">
      <c r="A563" s="38" t="str">
        <f t="shared" si="304"/>
        <v xml:space="preserve"> </v>
      </c>
      <c r="B563" s="108"/>
      <c r="C563" s="38"/>
      <c r="D563" s="137"/>
      <c r="E563" s="137"/>
      <c r="F563" s="137"/>
      <c r="G563" s="122"/>
      <c r="H563" s="137"/>
      <c r="I563" s="50"/>
      <c r="J563" s="50"/>
      <c r="K563" s="50"/>
      <c r="L563" s="38"/>
      <c r="M563" s="38"/>
      <c r="N563" s="38"/>
      <c r="O563" s="50"/>
      <c r="P563" s="218"/>
      <c r="Q563" s="50"/>
      <c r="R563" s="50"/>
      <c r="S563" s="38"/>
      <c r="T563" s="51"/>
      <c r="U563" s="65"/>
      <c r="V563" s="105"/>
      <c r="W563" s="66"/>
      <c r="X563" s="66"/>
      <c r="Y563" s="38"/>
      <c r="Z563" s="66">
        <f t="shared" si="303"/>
        <v>0</v>
      </c>
      <c r="AC563" s="41" t="e">
        <f>VLOOKUP(A563,'Input Sheet'!$A$2:$B$232,2,0)</f>
        <v>#N/A</v>
      </c>
      <c r="AD563" s="70"/>
    </row>
    <row r="564" spans="1:30" x14ac:dyDescent="0.2">
      <c r="A564" s="38" t="str">
        <f t="shared" si="304"/>
        <v xml:space="preserve"> </v>
      </c>
      <c r="B564" s="108"/>
      <c r="C564" s="38"/>
      <c r="D564" s="137"/>
      <c r="E564" s="137"/>
      <c r="F564" s="137"/>
      <c r="G564" s="122"/>
      <c r="H564" s="137"/>
      <c r="I564" s="50"/>
      <c r="J564" s="50"/>
      <c r="K564" s="50"/>
      <c r="L564" s="38"/>
      <c r="M564" s="38"/>
      <c r="N564" s="38"/>
      <c r="O564" s="50"/>
      <c r="P564" s="218"/>
      <c r="Q564" s="50"/>
      <c r="R564" s="50"/>
      <c r="S564" s="38"/>
      <c r="T564" s="51"/>
      <c r="U564" s="65"/>
      <c r="V564" s="105"/>
      <c r="W564" s="66"/>
      <c r="X564" s="66"/>
      <c r="Y564" s="38"/>
      <c r="Z564" s="66">
        <f t="shared" si="303"/>
        <v>0</v>
      </c>
      <c r="AC564" s="41" t="e">
        <f>VLOOKUP(A564,'Input Sheet'!$A$2:$B$232,2,0)</f>
        <v>#N/A</v>
      </c>
      <c r="AD564" s="70"/>
    </row>
    <row r="565" spans="1:30" x14ac:dyDescent="0.2">
      <c r="A565" s="38" t="str">
        <f t="shared" si="304"/>
        <v xml:space="preserve"> </v>
      </c>
      <c r="B565" s="108"/>
      <c r="C565" s="38"/>
      <c r="D565" s="137"/>
      <c r="E565" s="137"/>
      <c r="F565" s="137"/>
      <c r="G565" s="122"/>
      <c r="H565" s="137"/>
      <c r="I565" s="50"/>
      <c r="J565" s="50"/>
      <c r="K565" s="50"/>
      <c r="L565" s="38"/>
      <c r="M565" s="38"/>
      <c r="N565" s="38"/>
      <c r="O565" s="50"/>
      <c r="P565" s="218"/>
      <c r="Q565" s="50"/>
      <c r="R565" s="50"/>
      <c r="S565" s="38"/>
      <c r="T565" s="51"/>
      <c r="U565" s="65"/>
      <c r="V565" s="105"/>
      <c r="W565" s="66"/>
      <c r="X565" s="66"/>
      <c r="Y565" s="38"/>
      <c r="Z565" s="66">
        <f t="shared" si="303"/>
        <v>0</v>
      </c>
      <c r="AC565" s="41" t="e">
        <f>VLOOKUP(A565,'Input Sheet'!$A$2:$B$232,2,0)</f>
        <v>#N/A</v>
      </c>
      <c r="AD565" s="70"/>
    </row>
    <row r="566" spans="1:30" x14ac:dyDescent="0.2">
      <c r="A566" s="38" t="str">
        <f t="shared" si="304"/>
        <v xml:space="preserve"> </v>
      </c>
      <c r="B566" s="108"/>
      <c r="C566" s="38"/>
      <c r="D566" s="137"/>
      <c r="E566" s="137"/>
      <c r="F566" s="137"/>
      <c r="G566" s="122"/>
      <c r="H566" s="137"/>
      <c r="I566" s="50"/>
      <c r="J566" s="50"/>
      <c r="K566" s="50"/>
      <c r="L566" s="38"/>
      <c r="M566" s="38"/>
      <c r="N566" s="38"/>
      <c r="O566" s="50"/>
      <c r="P566" s="218"/>
      <c r="Q566" s="50"/>
      <c r="R566" s="50"/>
      <c r="S566" s="38"/>
      <c r="T566" s="51"/>
      <c r="U566" s="65"/>
      <c r="V566" s="105"/>
      <c r="W566" s="66"/>
      <c r="X566" s="66"/>
      <c r="Y566" s="38"/>
      <c r="Z566" s="66">
        <f t="shared" si="303"/>
        <v>0</v>
      </c>
      <c r="AC566" s="41" t="e">
        <f>VLOOKUP(A566,'Input Sheet'!$A$2:$B$232,2,0)</f>
        <v>#N/A</v>
      </c>
      <c r="AD566" s="70"/>
    </row>
    <row r="567" spans="1:30" x14ac:dyDescent="0.2">
      <c r="A567" s="38" t="str">
        <f t="shared" si="304"/>
        <v xml:space="preserve"> </v>
      </c>
      <c r="B567" s="108"/>
      <c r="C567" s="38"/>
      <c r="D567" s="137"/>
      <c r="E567" s="137"/>
      <c r="F567" s="137"/>
      <c r="G567" s="122"/>
      <c r="H567" s="137"/>
      <c r="I567" s="50"/>
      <c r="J567" s="50"/>
      <c r="K567" s="50"/>
      <c r="L567" s="38"/>
      <c r="M567" s="38"/>
      <c r="N567" s="38"/>
      <c r="O567" s="50"/>
      <c r="P567" s="218"/>
      <c r="Q567" s="50"/>
      <c r="R567" s="50"/>
      <c r="S567" s="38"/>
      <c r="T567" s="51"/>
      <c r="U567" s="65"/>
      <c r="V567" s="105"/>
      <c r="W567" s="66"/>
      <c r="X567" s="66"/>
      <c r="Y567" s="38"/>
      <c r="Z567" s="66">
        <f t="shared" si="303"/>
        <v>0</v>
      </c>
      <c r="AC567" s="41" t="e">
        <f>VLOOKUP(A567,'Input Sheet'!$A$2:$B$232,2,0)</f>
        <v>#N/A</v>
      </c>
      <c r="AD567" s="70"/>
    </row>
    <row r="568" spans="1:30" x14ac:dyDescent="0.2">
      <c r="A568" s="38" t="str">
        <f t="shared" si="304"/>
        <v xml:space="preserve"> </v>
      </c>
      <c r="B568" s="108"/>
      <c r="C568" s="38"/>
      <c r="D568" s="137"/>
      <c r="E568" s="137"/>
      <c r="F568" s="137"/>
      <c r="G568" s="122"/>
      <c r="H568" s="137"/>
      <c r="I568" s="50"/>
      <c r="J568" s="50"/>
      <c r="K568" s="50"/>
      <c r="L568" s="38"/>
      <c r="M568" s="38"/>
      <c r="N568" s="38"/>
      <c r="O568" s="50"/>
      <c r="P568" s="218"/>
      <c r="Q568" s="50"/>
      <c r="R568" s="50"/>
      <c r="S568" s="38"/>
      <c r="T568" s="51"/>
      <c r="U568" s="65"/>
      <c r="V568" s="105"/>
      <c r="W568" s="66"/>
      <c r="X568" s="66"/>
      <c r="Y568" s="38"/>
      <c r="Z568" s="66">
        <f t="shared" si="303"/>
        <v>0</v>
      </c>
      <c r="AC568" s="41" t="e">
        <f>VLOOKUP(A568,'Input Sheet'!$A$2:$B$232,2,0)</f>
        <v>#N/A</v>
      </c>
      <c r="AD568" s="70"/>
    </row>
    <row r="569" spans="1:30" x14ac:dyDescent="0.2">
      <c r="A569" s="38" t="str">
        <f t="shared" si="304"/>
        <v xml:space="preserve"> </v>
      </c>
      <c r="B569" s="108"/>
      <c r="C569" s="38"/>
      <c r="D569" s="137"/>
      <c r="E569" s="137"/>
      <c r="F569" s="137"/>
      <c r="G569" s="122"/>
      <c r="H569" s="137"/>
      <c r="I569" s="50"/>
      <c r="J569" s="50"/>
      <c r="K569" s="50"/>
      <c r="L569" s="38"/>
      <c r="M569" s="38"/>
      <c r="N569" s="38"/>
      <c r="O569" s="50"/>
      <c r="P569" s="218"/>
      <c r="Q569" s="50"/>
      <c r="R569" s="50"/>
      <c r="S569" s="38"/>
      <c r="T569" s="51"/>
      <c r="U569" s="65"/>
      <c r="V569" s="105"/>
      <c r="W569" s="66"/>
      <c r="X569" s="66"/>
      <c r="Y569" s="38"/>
      <c r="Z569" s="66">
        <f t="shared" si="303"/>
        <v>0</v>
      </c>
      <c r="AC569" s="41" t="e">
        <f>VLOOKUP(A569,'Input Sheet'!$A$2:$B$232,2,0)</f>
        <v>#N/A</v>
      </c>
      <c r="AD569" s="70"/>
    </row>
    <row r="570" spans="1:30" x14ac:dyDescent="0.2">
      <c r="A570" s="38" t="str">
        <f t="shared" si="304"/>
        <v xml:space="preserve"> </v>
      </c>
      <c r="B570" s="108"/>
      <c r="C570" s="38"/>
      <c r="D570" s="137"/>
      <c r="E570" s="137"/>
      <c r="F570" s="137"/>
      <c r="G570" s="122"/>
      <c r="H570" s="137"/>
      <c r="I570" s="50"/>
      <c r="J570" s="50"/>
      <c r="K570" s="50"/>
      <c r="L570" s="38"/>
      <c r="M570" s="38"/>
      <c r="N570" s="38"/>
      <c r="O570" s="50"/>
      <c r="P570" s="218"/>
      <c r="Q570" s="50"/>
      <c r="R570" s="50"/>
      <c r="S570" s="38"/>
      <c r="T570" s="51"/>
      <c r="U570" s="65"/>
      <c r="V570" s="105"/>
      <c r="W570" s="66"/>
      <c r="X570" s="66"/>
      <c r="Y570" s="38"/>
      <c r="Z570" s="66">
        <f t="shared" si="303"/>
        <v>0</v>
      </c>
      <c r="AC570" s="41" t="e">
        <f>VLOOKUP(A570,'Input Sheet'!$A$2:$B$232,2,0)</f>
        <v>#N/A</v>
      </c>
      <c r="AD570" s="70"/>
    </row>
    <row r="571" spans="1:30" x14ac:dyDescent="0.2">
      <c r="A571" s="38" t="str">
        <f t="shared" si="304"/>
        <v xml:space="preserve"> </v>
      </c>
      <c r="B571" s="108"/>
      <c r="C571" s="38"/>
      <c r="D571" s="137"/>
      <c r="E571" s="137"/>
      <c r="F571" s="137"/>
      <c r="G571" s="122"/>
      <c r="H571" s="137"/>
      <c r="I571" s="50"/>
      <c r="J571" s="50"/>
      <c r="K571" s="50"/>
      <c r="L571" s="38"/>
      <c r="M571" s="38"/>
      <c r="N571" s="38"/>
      <c r="O571" s="50"/>
      <c r="P571" s="218"/>
      <c r="Q571" s="50"/>
      <c r="R571" s="50"/>
      <c r="S571" s="38"/>
      <c r="T571" s="51"/>
      <c r="U571" s="65"/>
      <c r="V571" s="105"/>
      <c r="W571" s="66"/>
      <c r="X571" s="66"/>
      <c r="Y571" s="38"/>
      <c r="Z571" s="66">
        <f t="shared" si="303"/>
        <v>0</v>
      </c>
      <c r="AC571" s="41" t="e">
        <f>VLOOKUP(A571,'Input Sheet'!$A$2:$B$232,2,0)</f>
        <v>#N/A</v>
      </c>
      <c r="AD571" s="70"/>
    </row>
    <row r="572" spans="1:30" x14ac:dyDescent="0.2">
      <c r="A572" s="38" t="str">
        <f t="shared" si="304"/>
        <v xml:space="preserve"> </v>
      </c>
      <c r="B572" s="108"/>
      <c r="C572" s="38"/>
      <c r="D572" s="137"/>
      <c r="E572" s="137"/>
      <c r="F572" s="137"/>
      <c r="G572" s="122"/>
      <c r="H572" s="137"/>
      <c r="I572" s="50"/>
      <c r="J572" s="50"/>
      <c r="K572" s="50"/>
      <c r="L572" s="38"/>
      <c r="M572" s="38"/>
      <c r="N572" s="38"/>
      <c r="O572" s="50"/>
      <c r="P572" s="218"/>
      <c r="Q572" s="50"/>
      <c r="R572" s="50"/>
      <c r="S572" s="38"/>
      <c r="T572" s="51"/>
      <c r="U572" s="65"/>
      <c r="V572" s="105"/>
      <c r="W572" s="66"/>
      <c r="X572" s="66"/>
      <c r="Y572" s="38"/>
      <c r="Z572" s="66">
        <f t="shared" si="303"/>
        <v>0</v>
      </c>
      <c r="AC572" s="41" t="e">
        <f>VLOOKUP(A572,'Input Sheet'!$A$2:$B$232,2,0)</f>
        <v>#N/A</v>
      </c>
      <c r="AD572" s="70"/>
    </row>
    <row r="573" spans="1:30" x14ac:dyDescent="0.2">
      <c r="A573" s="38" t="str">
        <f t="shared" si="304"/>
        <v xml:space="preserve"> </v>
      </c>
      <c r="B573" s="108"/>
      <c r="C573" s="38"/>
      <c r="D573" s="137"/>
      <c r="E573" s="137"/>
      <c r="F573" s="137"/>
      <c r="G573" s="122"/>
      <c r="H573" s="137"/>
      <c r="I573" s="50"/>
      <c r="J573" s="50"/>
      <c r="K573" s="50"/>
      <c r="L573" s="38"/>
      <c r="M573" s="38"/>
      <c r="N573" s="38"/>
      <c r="O573" s="50"/>
      <c r="P573" s="218"/>
      <c r="Q573" s="50"/>
      <c r="R573" s="50"/>
      <c r="S573" s="38"/>
      <c r="T573" s="51"/>
      <c r="U573" s="65"/>
      <c r="V573" s="105"/>
      <c r="W573" s="66"/>
      <c r="X573" s="66"/>
      <c r="Y573" s="38"/>
      <c r="Z573" s="66">
        <f t="shared" si="303"/>
        <v>0</v>
      </c>
      <c r="AC573" s="41" t="e">
        <f>VLOOKUP(A573,'Input Sheet'!$A$2:$B$232,2,0)</f>
        <v>#N/A</v>
      </c>
      <c r="AD573" s="70"/>
    </row>
    <row r="574" spans="1:30" x14ac:dyDescent="0.2">
      <c r="A574" s="38" t="str">
        <f t="shared" si="304"/>
        <v xml:space="preserve"> </v>
      </c>
      <c r="B574" s="108"/>
      <c r="C574" s="38"/>
      <c r="D574" s="137"/>
      <c r="E574" s="137"/>
      <c r="F574" s="137"/>
      <c r="G574" s="122"/>
      <c r="H574" s="137"/>
      <c r="I574" s="50"/>
      <c r="J574" s="50"/>
      <c r="K574" s="50"/>
      <c r="L574" s="38"/>
      <c r="M574" s="38"/>
      <c r="N574" s="38"/>
      <c r="O574" s="50"/>
      <c r="P574" s="218"/>
      <c r="Q574" s="50"/>
      <c r="R574" s="50"/>
      <c r="S574" s="38"/>
      <c r="T574" s="51"/>
      <c r="U574" s="65"/>
      <c r="V574" s="105"/>
      <c r="W574" s="66"/>
      <c r="X574" s="66"/>
      <c r="Y574" s="38"/>
      <c r="Z574" s="66">
        <f t="shared" si="303"/>
        <v>0</v>
      </c>
      <c r="AC574" s="41" t="e">
        <f>VLOOKUP(A574,'Input Sheet'!$A$2:$B$232,2,0)</f>
        <v>#N/A</v>
      </c>
      <c r="AD574" s="70"/>
    </row>
    <row r="575" spans="1:30" x14ac:dyDescent="0.2">
      <c r="A575" s="38" t="str">
        <f t="shared" si="304"/>
        <v xml:space="preserve"> </v>
      </c>
      <c r="B575" s="108"/>
      <c r="C575" s="38"/>
      <c r="D575" s="137"/>
      <c r="E575" s="137"/>
      <c r="F575" s="137"/>
      <c r="G575" s="122"/>
      <c r="H575" s="137"/>
      <c r="I575" s="50"/>
      <c r="J575" s="50"/>
      <c r="K575" s="50"/>
      <c r="L575" s="38"/>
      <c r="M575" s="38"/>
      <c r="N575" s="38"/>
      <c r="O575" s="50"/>
      <c r="P575" s="218"/>
      <c r="Q575" s="50"/>
      <c r="R575" s="50"/>
      <c r="S575" s="38"/>
      <c r="T575" s="51"/>
      <c r="U575" s="65"/>
      <c r="V575" s="105"/>
      <c r="W575" s="66"/>
      <c r="X575" s="66"/>
      <c r="Y575" s="38"/>
      <c r="Z575" s="66">
        <f t="shared" si="303"/>
        <v>0</v>
      </c>
      <c r="AC575" s="41" t="e">
        <f>VLOOKUP(A575,'Input Sheet'!$A$2:$B$232,2,0)</f>
        <v>#N/A</v>
      </c>
      <c r="AD575" s="70"/>
    </row>
    <row r="576" spans="1:30" x14ac:dyDescent="0.2">
      <c r="A576" s="38" t="str">
        <f t="shared" si="304"/>
        <v xml:space="preserve"> </v>
      </c>
      <c r="B576" s="108"/>
      <c r="C576" s="38"/>
      <c r="D576" s="137"/>
      <c r="E576" s="137"/>
      <c r="F576" s="137"/>
      <c r="G576" s="122"/>
      <c r="H576" s="137"/>
      <c r="I576" s="50"/>
      <c r="J576" s="50"/>
      <c r="K576" s="50"/>
      <c r="L576" s="38"/>
      <c r="M576" s="38"/>
      <c r="N576" s="38"/>
      <c r="O576" s="50"/>
      <c r="P576" s="218"/>
      <c r="Q576" s="50"/>
      <c r="R576" s="50"/>
      <c r="S576" s="38"/>
      <c r="T576" s="51"/>
      <c r="U576" s="65"/>
      <c r="V576" s="105"/>
      <c r="W576" s="66"/>
      <c r="X576" s="66"/>
      <c r="Y576" s="38"/>
      <c r="Z576" s="66">
        <f t="shared" si="303"/>
        <v>0</v>
      </c>
      <c r="AC576" s="41" t="e">
        <f>VLOOKUP(A576,'Input Sheet'!$A$2:$B$232,2,0)</f>
        <v>#N/A</v>
      </c>
      <c r="AD576" s="70"/>
    </row>
    <row r="577" spans="1:30" x14ac:dyDescent="0.2">
      <c r="A577" s="38" t="str">
        <f t="shared" si="304"/>
        <v xml:space="preserve"> </v>
      </c>
      <c r="B577" s="108"/>
      <c r="C577" s="38"/>
      <c r="D577" s="137"/>
      <c r="E577" s="137"/>
      <c r="F577" s="137"/>
      <c r="G577" s="122"/>
      <c r="H577" s="137"/>
      <c r="I577" s="50"/>
      <c r="J577" s="50"/>
      <c r="K577" s="50"/>
      <c r="L577" s="38"/>
      <c r="M577" s="38"/>
      <c r="N577" s="38"/>
      <c r="O577" s="50"/>
      <c r="P577" s="218"/>
      <c r="Q577" s="50"/>
      <c r="R577" s="50"/>
      <c r="S577" s="38"/>
      <c r="T577" s="51"/>
      <c r="U577" s="65"/>
      <c r="V577" s="105"/>
      <c r="W577" s="66"/>
      <c r="X577" s="66"/>
      <c r="Y577" s="38"/>
      <c r="Z577" s="66">
        <f t="shared" si="303"/>
        <v>0</v>
      </c>
      <c r="AC577" s="41" t="e">
        <f>VLOOKUP(A577,'Input Sheet'!$A$2:$B$232,2,0)</f>
        <v>#N/A</v>
      </c>
      <c r="AD577" s="70"/>
    </row>
    <row r="578" spans="1:30" x14ac:dyDescent="0.2">
      <c r="A578" s="38" t="str">
        <f t="shared" si="304"/>
        <v xml:space="preserve"> </v>
      </c>
      <c r="B578" s="108"/>
      <c r="C578" s="38"/>
      <c r="D578" s="137"/>
      <c r="E578" s="137"/>
      <c r="F578" s="137"/>
      <c r="G578" s="122"/>
      <c r="H578" s="137"/>
      <c r="I578" s="50"/>
      <c r="J578" s="50"/>
      <c r="K578" s="50"/>
      <c r="L578" s="38"/>
      <c r="M578" s="38"/>
      <c r="N578" s="38"/>
      <c r="O578" s="50"/>
      <c r="P578" s="218"/>
      <c r="Q578" s="50"/>
      <c r="R578" s="50"/>
      <c r="S578" s="38"/>
      <c r="T578" s="51"/>
      <c r="U578" s="65"/>
      <c r="V578" s="105"/>
      <c r="W578" s="66"/>
      <c r="X578" s="66"/>
      <c r="Y578" s="38"/>
      <c r="Z578" s="66">
        <f t="shared" si="303"/>
        <v>0</v>
      </c>
      <c r="AC578" s="41" t="e">
        <f>VLOOKUP(A578,'Input Sheet'!$A$2:$B$232,2,0)</f>
        <v>#N/A</v>
      </c>
      <c r="AD578" s="70"/>
    </row>
    <row r="579" spans="1:30" x14ac:dyDescent="0.2">
      <c r="A579" s="38" t="str">
        <f t="shared" si="304"/>
        <v xml:space="preserve"> </v>
      </c>
      <c r="B579" s="108"/>
      <c r="C579" s="38"/>
      <c r="D579" s="137"/>
      <c r="E579" s="137"/>
      <c r="F579" s="137"/>
      <c r="G579" s="122"/>
      <c r="H579" s="137"/>
      <c r="I579" s="50"/>
      <c r="J579" s="50"/>
      <c r="K579" s="50"/>
      <c r="L579" s="38"/>
      <c r="M579" s="38"/>
      <c r="N579" s="38"/>
      <c r="O579" s="50"/>
      <c r="P579" s="218"/>
      <c r="Q579" s="50"/>
      <c r="R579" s="50"/>
      <c r="S579" s="38"/>
      <c r="T579" s="51"/>
      <c r="U579" s="65"/>
      <c r="V579" s="105"/>
      <c r="W579" s="66"/>
      <c r="X579" s="66"/>
      <c r="Y579" s="38"/>
      <c r="Z579" s="66">
        <f t="shared" si="303"/>
        <v>0</v>
      </c>
      <c r="AC579" s="41" t="e">
        <f>VLOOKUP(A579,'Input Sheet'!$A$2:$B$232,2,0)</f>
        <v>#N/A</v>
      </c>
      <c r="AD579" s="70"/>
    </row>
    <row r="580" spans="1:30" x14ac:dyDescent="0.2">
      <c r="A580" s="38" t="str">
        <f t="shared" si="304"/>
        <v xml:space="preserve"> </v>
      </c>
      <c r="B580" s="108"/>
      <c r="C580" s="38"/>
      <c r="D580" s="137"/>
      <c r="E580" s="137"/>
      <c r="F580" s="137"/>
      <c r="G580" s="122"/>
      <c r="H580" s="137"/>
      <c r="I580" s="50"/>
      <c r="J580" s="50"/>
      <c r="K580" s="50"/>
      <c r="L580" s="38"/>
      <c r="M580" s="38"/>
      <c r="N580" s="38"/>
      <c r="O580" s="50"/>
      <c r="P580" s="218"/>
      <c r="Q580" s="50"/>
      <c r="R580" s="50"/>
      <c r="S580" s="38"/>
      <c r="T580" s="51"/>
      <c r="U580" s="65"/>
      <c r="V580" s="105"/>
      <c r="W580" s="66"/>
      <c r="X580" s="66"/>
      <c r="Y580" s="38"/>
      <c r="Z580" s="66">
        <f t="shared" si="303"/>
        <v>0</v>
      </c>
      <c r="AC580" s="41" t="e">
        <f>VLOOKUP(A580,'Input Sheet'!$A$2:$B$232,2,0)</f>
        <v>#N/A</v>
      </c>
      <c r="AD580" s="70"/>
    </row>
    <row r="581" spans="1:30" x14ac:dyDescent="0.2">
      <c r="A581" s="38" t="str">
        <f t="shared" si="304"/>
        <v xml:space="preserve"> </v>
      </c>
      <c r="B581" s="108"/>
      <c r="C581" s="38"/>
      <c r="D581" s="137"/>
      <c r="E581" s="137"/>
      <c r="F581" s="137"/>
      <c r="G581" s="122"/>
      <c r="H581" s="137"/>
      <c r="I581" s="50"/>
      <c r="J581" s="50"/>
      <c r="K581" s="50"/>
      <c r="L581" s="38"/>
      <c r="M581" s="38"/>
      <c r="N581" s="38"/>
      <c r="O581" s="50"/>
      <c r="P581" s="218"/>
      <c r="Q581" s="50"/>
      <c r="R581" s="50"/>
      <c r="S581" s="38"/>
      <c r="T581" s="51"/>
      <c r="U581" s="65"/>
      <c r="V581" s="105"/>
      <c r="W581" s="66"/>
      <c r="X581" s="66"/>
      <c r="Y581" s="38"/>
      <c r="Z581" s="66">
        <f t="shared" ref="Z581:Z644" si="305">IF(Y581="Stage 1",X581,IF(Y581="Stage 2",W581,O581))</f>
        <v>0</v>
      </c>
      <c r="AC581" s="41" t="e">
        <f>VLOOKUP(A581,'Input Sheet'!$A$2:$B$232,2,0)</f>
        <v>#N/A</v>
      </c>
      <c r="AD581" s="70"/>
    </row>
    <row r="582" spans="1:30" x14ac:dyDescent="0.2">
      <c r="A582" s="38" t="str">
        <f t="shared" si="304"/>
        <v xml:space="preserve"> </v>
      </c>
      <c r="B582" s="108"/>
      <c r="C582" s="38"/>
      <c r="D582" s="137"/>
      <c r="E582" s="137"/>
      <c r="F582" s="137"/>
      <c r="G582" s="122"/>
      <c r="H582" s="137"/>
      <c r="I582" s="50"/>
      <c r="J582" s="50"/>
      <c r="K582" s="50"/>
      <c r="L582" s="38"/>
      <c r="M582" s="38"/>
      <c r="N582" s="38"/>
      <c r="O582" s="50"/>
      <c r="P582" s="218"/>
      <c r="Q582" s="50"/>
      <c r="R582" s="50"/>
      <c r="S582" s="38"/>
      <c r="T582" s="51"/>
      <c r="U582" s="65"/>
      <c r="V582" s="105"/>
      <c r="W582" s="66"/>
      <c r="X582" s="66"/>
      <c r="Y582" s="38"/>
      <c r="Z582" s="66">
        <f t="shared" si="305"/>
        <v>0</v>
      </c>
      <c r="AC582" s="41" t="e">
        <f>VLOOKUP(A582,'Input Sheet'!$A$2:$B$232,2,0)</f>
        <v>#N/A</v>
      </c>
      <c r="AD582" s="70"/>
    </row>
    <row r="583" spans="1:30" x14ac:dyDescent="0.2">
      <c r="A583" s="38" t="str">
        <f t="shared" si="304"/>
        <v xml:space="preserve"> </v>
      </c>
      <c r="B583" s="108"/>
      <c r="C583" s="38"/>
      <c r="D583" s="137"/>
      <c r="E583" s="137"/>
      <c r="F583" s="137"/>
      <c r="G583" s="122"/>
      <c r="H583" s="137"/>
      <c r="I583" s="50"/>
      <c r="J583" s="50"/>
      <c r="K583" s="50"/>
      <c r="L583" s="38"/>
      <c r="M583" s="38"/>
      <c r="N583" s="38"/>
      <c r="O583" s="50"/>
      <c r="P583" s="218"/>
      <c r="Q583" s="50"/>
      <c r="R583" s="50"/>
      <c r="S583" s="38"/>
      <c r="T583" s="51"/>
      <c r="U583" s="65"/>
      <c r="V583" s="105"/>
      <c r="W583" s="66"/>
      <c r="X583" s="66"/>
      <c r="Y583" s="38"/>
      <c r="Z583" s="66">
        <f t="shared" si="305"/>
        <v>0</v>
      </c>
      <c r="AC583" s="41" t="e">
        <f>VLOOKUP(A583,'Input Sheet'!$A$2:$B$232,2,0)</f>
        <v>#N/A</v>
      </c>
      <c r="AD583" s="70"/>
    </row>
    <row r="584" spans="1:30" x14ac:dyDescent="0.2">
      <c r="A584" s="38" t="str">
        <f t="shared" si="304"/>
        <v xml:space="preserve"> </v>
      </c>
      <c r="B584" s="108"/>
      <c r="C584" s="38"/>
      <c r="D584" s="137"/>
      <c r="E584" s="137"/>
      <c r="F584" s="137"/>
      <c r="G584" s="122"/>
      <c r="H584" s="137"/>
      <c r="I584" s="50"/>
      <c r="J584" s="50"/>
      <c r="K584" s="50"/>
      <c r="L584" s="38"/>
      <c r="M584" s="38"/>
      <c r="N584" s="38"/>
      <c r="O584" s="50"/>
      <c r="P584" s="218"/>
      <c r="Q584" s="50"/>
      <c r="R584" s="50"/>
      <c r="S584" s="38"/>
      <c r="T584" s="51"/>
      <c r="U584" s="65"/>
      <c r="V584" s="105"/>
      <c r="W584" s="66"/>
      <c r="X584" s="66"/>
      <c r="Y584" s="38"/>
      <c r="Z584" s="66">
        <f t="shared" si="305"/>
        <v>0</v>
      </c>
      <c r="AC584" s="41" t="e">
        <f>VLOOKUP(A584,'Input Sheet'!$A$2:$B$232,2,0)</f>
        <v>#N/A</v>
      </c>
      <c r="AD584" s="70"/>
    </row>
    <row r="585" spans="1:30" x14ac:dyDescent="0.2">
      <c r="A585" s="38" t="str">
        <f t="shared" si="304"/>
        <v xml:space="preserve"> </v>
      </c>
      <c r="B585" s="108"/>
      <c r="C585" s="38"/>
      <c r="D585" s="137"/>
      <c r="E585" s="137"/>
      <c r="F585" s="137"/>
      <c r="G585" s="122"/>
      <c r="H585" s="137"/>
      <c r="I585" s="50"/>
      <c r="J585" s="50"/>
      <c r="K585" s="50"/>
      <c r="L585" s="38"/>
      <c r="M585" s="38"/>
      <c r="N585" s="38"/>
      <c r="O585" s="50"/>
      <c r="P585" s="218"/>
      <c r="Q585" s="50"/>
      <c r="R585" s="50"/>
      <c r="S585" s="38"/>
      <c r="T585" s="51"/>
      <c r="U585" s="65"/>
      <c r="V585" s="105"/>
      <c r="W585" s="66"/>
      <c r="X585" s="66"/>
      <c r="Y585" s="38"/>
      <c r="Z585" s="66">
        <f t="shared" si="305"/>
        <v>0</v>
      </c>
      <c r="AC585" s="41" t="e">
        <f>VLOOKUP(A585,'Input Sheet'!$A$2:$B$232,2,0)</f>
        <v>#N/A</v>
      </c>
      <c r="AD585" s="70"/>
    </row>
    <row r="586" spans="1:30" x14ac:dyDescent="0.2">
      <c r="A586" s="38" t="str">
        <f t="shared" ref="A586:A649" si="306">IF(B586=0," ",A585+1)</f>
        <v xml:space="preserve"> </v>
      </c>
      <c r="B586" s="108"/>
      <c r="C586" s="38"/>
      <c r="D586" s="137"/>
      <c r="E586" s="137"/>
      <c r="F586" s="137"/>
      <c r="G586" s="122"/>
      <c r="H586" s="137"/>
      <c r="I586" s="50"/>
      <c r="J586" s="50"/>
      <c r="K586" s="50"/>
      <c r="L586" s="38"/>
      <c r="M586" s="38"/>
      <c r="N586" s="38"/>
      <c r="O586" s="50"/>
      <c r="P586" s="218"/>
      <c r="Q586" s="50"/>
      <c r="R586" s="50"/>
      <c r="S586" s="38"/>
      <c r="T586" s="51"/>
      <c r="U586" s="65"/>
      <c r="V586" s="105"/>
      <c r="W586" s="66"/>
      <c r="X586" s="66"/>
      <c r="Y586" s="38"/>
      <c r="Z586" s="66">
        <f t="shared" si="305"/>
        <v>0</v>
      </c>
      <c r="AC586" s="41" t="e">
        <f>VLOOKUP(A586,'Input Sheet'!$A$2:$B$232,2,0)</f>
        <v>#N/A</v>
      </c>
      <c r="AD586" s="70"/>
    </row>
    <row r="587" spans="1:30" x14ac:dyDescent="0.2">
      <c r="A587" s="38" t="str">
        <f t="shared" si="306"/>
        <v xml:space="preserve"> </v>
      </c>
      <c r="B587" s="108"/>
      <c r="C587" s="38"/>
      <c r="D587" s="137"/>
      <c r="E587" s="137"/>
      <c r="F587" s="137"/>
      <c r="G587" s="122"/>
      <c r="H587" s="137"/>
      <c r="I587" s="50"/>
      <c r="J587" s="50"/>
      <c r="K587" s="50"/>
      <c r="L587" s="38"/>
      <c r="M587" s="38"/>
      <c r="N587" s="38"/>
      <c r="O587" s="50"/>
      <c r="P587" s="218"/>
      <c r="Q587" s="50"/>
      <c r="R587" s="50"/>
      <c r="S587" s="38"/>
      <c r="T587" s="51"/>
      <c r="U587" s="65"/>
      <c r="V587" s="105"/>
      <c r="W587" s="66"/>
      <c r="X587" s="66"/>
      <c r="Y587" s="38"/>
      <c r="Z587" s="66">
        <f t="shared" si="305"/>
        <v>0</v>
      </c>
      <c r="AC587" s="41" t="e">
        <f>VLOOKUP(A587,'Input Sheet'!$A$2:$B$232,2,0)</f>
        <v>#N/A</v>
      </c>
      <c r="AD587" s="70"/>
    </row>
    <row r="588" spans="1:30" x14ac:dyDescent="0.2">
      <c r="A588" s="38" t="str">
        <f t="shared" si="306"/>
        <v xml:space="preserve"> </v>
      </c>
      <c r="B588" s="108"/>
      <c r="C588" s="38"/>
      <c r="D588" s="137"/>
      <c r="E588" s="137"/>
      <c r="F588" s="137"/>
      <c r="G588" s="122"/>
      <c r="H588" s="137"/>
      <c r="I588" s="50"/>
      <c r="J588" s="50"/>
      <c r="K588" s="50"/>
      <c r="L588" s="38"/>
      <c r="M588" s="38"/>
      <c r="N588" s="38"/>
      <c r="O588" s="50"/>
      <c r="P588" s="218"/>
      <c r="Q588" s="50"/>
      <c r="R588" s="50"/>
      <c r="S588" s="38"/>
      <c r="T588" s="51"/>
      <c r="U588" s="65"/>
      <c r="V588" s="105"/>
      <c r="W588" s="66"/>
      <c r="X588" s="66"/>
      <c r="Y588" s="38"/>
      <c r="Z588" s="66">
        <f t="shared" si="305"/>
        <v>0</v>
      </c>
      <c r="AC588" s="41" t="e">
        <f>VLOOKUP(A588,'Input Sheet'!$A$2:$B$232,2,0)</f>
        <v>#N/A</v>
      </c>
      <c r="AD588" s="70"/>
    </row>
    <row r="589" spans="1:30" x14ac:dyDescent="0.2">
      <c r="A589" s="38" t="str">
        <f t="shared" si="306"/>
        <v xml:space="preserve"> </v>
      </c>
      <c r="B589" s="108"/>
      <c r="C589" s="38"/>
      <c r="D589" s="137"/>
      <c r="E589" s="137"/>
      <c r="F589" s="137"/>
      <c r="G589" s="122"/>
      <c r="H589" s="137"/>
      <c r="I589" s="50"/>
      <c r="J589" s="50"/>
      <c r="K589" s="50"/>
      <c r="L589" s="38"/>
      <c r="M589" s="38"/>
      <c r="N589" s="38"/>
      <c r="O589" s="50"/>
      <c r="P589" s="218"/>
      <c r="Q589" s="50"/>
      <c r="R589" s="50"/>
      <c r="S589" s="38"/>
      <c r="T589" s="51"/>
      <c r="U589" s="65"/>
      <c r="V589" s="105"/>
      <c r="W589" s="66"/>
      <c r="X589" s="66"/>
      <c r="Y589" s="38"/>
      <c r="Z589" s="66">
        <f t="shared" si="305"/>
        <v>0</v>
      </c>
      <c r="AC589" s="41" t="e">
        <f>VLOOKUP(A589,'Input Sheet'!$A$2:$B$232,2,0)</f>
        <v>#N/A</v>
      </c>
      <c r="AD589" s="70"/>
    </row>
    <row r="590" spans="1:30" x14ac:dyDescent="0.2">
      <c r="A590" s="38" t="str">
        <f t="shared" si="306"/>
        <v xml:space="preserve"> </v>
      </c>
      <c r="B590" s="108"/>
      <c r="C590" s="38"/>
      <c r="D590" s="137"/>
      <c r="E590" s="137"/>
      <c r="F590" s="137"/>
      <c r="G590" s="122"/>
      <c r="H590" s="137"/>
      <c r="I590" s="50"/>
      <c r="J590" s="50"/>
      <c r="K590" s="50"/>
      <c r="L590" s="38"/>
      <c r="M590" s="38"/>
      <c r="N590" s="38"/>
      <c r="O590" s="50"/>
      <c r="P590" s="218"/>
      <c r="Q590" s="50"/>
      <c r="R590" s="50"/>
      <c r="S590" s="38"/>
      <c r="T590" s="51"/>
      <c r="U590" s="65"/>
      <c r="V590" s="105"/>
      <c r="W590" s="66"/>
      <c r="X590" s="66"/>
      <c r="Y590" s="38"/>
      <c r="Z590" s="66">
        <f t="shared" si="305"/>
        <v>0</v>
      </c>
      <c r="AC590" s="41" t="e">
        <f>VLOOKUP(A590,'Input Sheet'!$A$2:$B$232,2,0)</f>
        <v>#N/A</v>
      </c>
      <c r="AD590" s="70"/>
    </row>
    <row r="591" spans="1:30" x14ac:dyDescent="0.2">
      <c r="A591" s="38" t="str">
        <f t="shared" si="306"/>
        <v xml:space="preserve"> </v>
      </c>
      <c r="B591" s="108"/>
      <c r="C591" s="38"/>
      <c r="D591" s="137"/>
      <c r="E591" s="137"/>
      <c r="F591" s="137"/>
      <c r="G591" s="122"/>
      <c r="H591" s="137"/>
      <c r="I591" s="50"/>
      <c r="J591" s="50"/>
      <c r="K591" s="50"/>
      <c r="L591" s="38"/>
      <c r="M591" s="38"/>
      <c r="N591" s="38"/>
      <c r="O591" s="50"/>
      <c r="P591" s="218"/>
      <c r="Q591" s="50"/>
      <c r="R591" s="50"/>
      <c r="S591" s="38"/>
      <c r="T591" s="51"/>
      <c r="U591" s="65"/>
      <c r="V591" s="105"/>
      <c r="W591" s="66"/>
      <c r="X591" s="66"/>
      <c r="Y591" s="38"/>
      <c r="Z591" s="66">
        <f t="shared" si="305"/>
        <v>0</v>
      </c>
      <c r="AC591" s="41" t="e">
        <f>VLOOKUP(A591,'Input Sheet'!$A$2:$B$232,2,0)</f>
        <v>#N/A</v>
      </c>
      <c r="AD591" s="70"/>
    </row>
    <row r="592" spans="1:30" x14ac:dyDescent="0.2">
      <c r="A592" s="38" t="str">
        <f t="shared" si="306"/>
        <v xml:space="preserve"> </v>
      </c>
      <c r="B592" s="108"/>
      <c r="C592" s="38"/>
      <c r="D592" s="137"/>
      <c r="E592" s="137"/>
      <c r="F592" s="137"/>
      <c r="G592" s="122"/>
      <c r="H592" s="137"/>
      <c r="I592" s="50"/>
      <c r="J592" s="50"/>
      <c r="K592" s="50"/>
      <c r="L592" s="38"/>
      <c r="M592" s="38"/>
      <c r="N592" s="38"/>
      <c r="O592" s="50"/>
      <c r="P592" s="218"/>
      <c r="Q592" s="50"/>
      <c r="R592" s="50"/>
      <c r="S592" s="38"/>
      <c r="T592" s="51"/>
      <c r="U592" s="65"/>
      <c r="V592" s="105"/>
      <c r="W592" s="66"/>
      <c r="X592" s="66"/>
      <c r="Y592" s="38"/>
      <c r="Z592" s="66">
        <f t="shared" si="305"/>
        <v>0</v>
      </c>
      <c r="AC592" s="41" t="e">
        <f>VLOOKUP(A592,'Input Sheet'!$A$2:$B$232,2,0)</f>
        <v>#N/A</v>
      </c>
      <c r="AD592" s="70"/>
    </row>
    <row r="593" spans="1:30" x14ac:dyDescent="0.2">
      <c r="A593" s="38" t="str">
        <f t="shared" si="306"/>
        <v xml:space="preserve"> </v>
      </c>
      <c r="B593" s="108"/>
      <c r="C593" s="38"/>
      <c r="D593" s="137"/>
      <c r="E593" s="137"/>
      <c r="F593" s="137"/>
      <c r="G593" s="122"/>
      <c r="H593" s="137"/>
      <c r="I593" s="50"/>
      <c r="J593" s="50"/>
      <c r="K593" s="50"/>
      <c r="L593" s="38"/>
      <c r="M593" s="38"/>
      <c r="N593" s="38"/>
      <c r="O593" s="50"/>
      <c r="P593" s="218"/>
      <c r="Q593" s="50"/>
      <c r="R593" s="50"/>
      <c r="S593" s="38"/>
      <c r="T593" s="51"/>
      <c r="U593" s="65"/>
      <c r="V593" s="105"/>
      <c r="W593" s="66"/>
      <c r="X593" s="66"/>
      <c r="Y593" s="38"/>
      <c r="Z593" s="66">
        <f t="shared" si="305"/>
        <v>0</v>
      </c>
      <c r="AC593" s="41" t="e">
        <f>VLOOKUP(A593,'Input Sheet'!$A$2:$B$232,2,0)</f>
        <v>#N/A</v>
      </c>
      <c r="AD593" s="70"/>
    </row>
    <row r="594" spans="1:30" x14ac:dyDescent="0.2">
      <c r="A594" s="38" t="str">
        <f t="shared" si="306"/>
        <v xml:space="preserve"> </v>
      </c>
      <c r="B594" s="108"/>
      <c r="C594" s="38"/>
      <c r="D594" s="137"/>
      <c r="E594" s="137"/>
      <c r="F594" s="137"/>
      <c r="G594" s="122"/>
      <c r="H594" s="137"/>
      <c r="I594" s="50"/>
      <c r="J594" s="50"/>
      <c r="K594" s="50"/>
      <c r="L594" s="38"/>
      <c r="M594" s="38"/>
      <c r="N594" s="38"/>
      <c r="O594" s="50"/>
      <c r="P594" s="218"/>
      <c r="Q594" s="50"/>
      <c r="R594" s="50"/>
      <c r="S594" s="38"/>
      <c r="T594" s="51"/>
      <c r="U594" s="65"/>
      <c r="V594" s="105"/>
      <c r="W594" s="66"/>
      <c r="X594" s="66"/>
      <c r="Y594" s="38"/>
      <c r="Z594" s="66">
        <f t="shared" si="305"/>
        <v>0</v>
      </c>
      <c r="AC594" s="41" t="e">
        <f>VLOOKUP(A594,'Input Sheet'!$A$2:$B$232,2,0)</f>
        <v>#N/A</v>
      </c>
      <c r="AD594" s="70"/>
    </row>
    <row r="595" spans="1:30" x14ac:dyDescent="0.2">
      <c r="A595" s="38" t="str">
        <f t="shared" si="306"/>
        <v xml:space="preserve"> </v>
      </c>
      <c r="B595" s="108"/>
      <c r="C595" s="38"/>
      <c r="D595" s="137"/>
      <c r="E595" s="137"/>
      <c r="F595" s="137"/>
      <c r="G595" s="122"/>
      <c r="H595" s="137"/>
      <c r="I595" s="50"/>
      <c r="J595" s="50"/>
      <c r="K595" s="50"/>
      <c r="L595" s="38"/>
      <c r="M595" s="38"/>
      <c r="N595" s="38"/>
      <c r="O595" s="50"/>
      <c r="P595" s="218"/>
      <c r="Q595" s="50"/>
      <c r="R595" s="50"/>
      <c r="S595" s="38"/>
      <c r="T595" s="51"/>
      <c r="U595" s="65"/>
      <c r="V595" s="105"/>
      <c r="W595" s="66"/>
      <c r="X595" s="66"/>
      <c r="Y595" s="38"/>
      <c r="Z595" s="66">
        <f t="shared" si="305"/>
        <v>0</v>
      </c>
      <c r="AC595" s="41" t="e">
        <f>VLOOKUP(A595,'Input Sheet'!$A$2:$B$232,2,0)</f>
        <v>#N/A</v>
      </c>
      <c r="AD595" s="70"/>
    </row>
    <row r="596" spans="1:30" x14ac:dyDescent="0.2">
      <c r="A596" s="38" t="str">
        <f t="shared" si="306"/>
        <v xml:space="preserve"> </v>
      </c>
      <c r="B596" s="108"/>
      <c r="C596" s="38"/>
      <c r="D596" s="137"/>
      <c r="E596" s="137"/>
      <c r="F596" s="137"/>
      <c r="G596" s="122"/>
      <c r="H596" s="137"/>
      <c r="I596" s="50"/>
      <c r="J596" s="50"/>
      <c r="K596" s="50"/>
      <c r="L596" s="38"/>
      <c r="M596" s="38"/>
      <c r="N596" s="38"/>
      <c r="O596" s="50"/>
      <c r="P596" s="218"/>
      <c r="Q596" s="50"/>
      <c r="R596" s="50"/>
      <c r="S596" s="38"/>
      <c r="T596" s="51"/>
      <c r="U596" s="65"/>
      <c r="V596" s="105"/>
      <c r="W596" s="66"/>
      <c r="X596" s="66"/>
      <c r="Y596" s="38"/>
      <c r="Z596" s="66">
        <f t="shared" si="305"/>
        <v>0</v>
      </c>
      <c r="AC596" s="41" t="e">
        <f>VLOOKUP(A596,'Input Sheet'!$A$2:$B$232,2,0)</f>
        <v>#N/A</v>
      </c>
      <c r="AD596" s="70"/>
    </row>
    <row r="597" spans="1:30" x14ac:dyDescent="0.2">
      <c r="A597" s="38" t="str">
        <f t="shared" si="306"/>
        <v xml:space="preserve"> </v>
      </c>
      <c r="B597" s="108"/>
      <c r="C597" s="38"/>
      <c r="D597" s="137"/>
      <c r="E597" s="137"/>
      <c r="F597" s="137"/>
      <c r="G597" s="122"/>
      <c r="H597" s="137"/>
      <c r="I597" s="50"/>
      <c r="J597" s="50"/>
      <c r="K597" s="50"/>
      <c r="L597" s="38"/>
      <c r="M597" s="38"/>
      <c r="N597" s="38"/>
      <c r="O597" s="50"/>
      <c r="P597" s="218"/>
      <c r="Q597" s="50"/>
      <c r="R597" s="50"/>
      <c r="S597" s="38"/>
      <c r="T597" s="51"/>
      <c r="U597" s="65"/>
      <c r="V597" s="105"/>
      <c r="W597" s="66"/>
      <c r="X597" s="66"/>
      <c r="Y597" s="38"/>
      <c r="Z597" s="66">
        <f t="shared" si="305"/>
        <v>0</v>
      </c>
      <c r="AC597" s="41" t="e">
        <f>VLOOKUP(A597,'Input Sheet'!$A$2:$B$232,2,0)</f>
        <v>#N/A</v>
      </c>
      <c r="AD597" s="70"/>
    </row>
    <row r="598" spans="1:30" x14ac:dyDescent="0.2">
      <c r="A598" s="38" t="str">
        <f t="shared" si="306"/>
        <v xml:space="preserve"> </v>
      </c>
      <c r="B598" s="108"/>
      <c r="C598" s="38"/>
      <c r="D598" s="137"/>
      <c r="E598" s="137"/>
      <c r="F598" s="137"/>
      <c r="G598" s="122"/>
      <c r="H598" s="137"/>
      <c r="I598" s="50"/>
      <c r="J598" s="50"/>
      <c r="K598" s="50"/>
      <c r="L598" s="38"/>
      <c r="M598" s="38"/>
      <c r="N598" s="38"/>
      <c r="O598" s="50"/>
      <c r="P598" s="218"/>
      <c r="Q598" s="50"/>
      <c r="R598" s="50"/>
      <c r="S598" s="38"/>
      <c r="T598" s="51"/>
      <c r="U598" s="65"/>
      <c r="V598" s="105"/>
      <c r="W598" s="66"/>
      <c r="X598" s="66"/>
      <c r="Y598" s="38"/>
      <c r="Z598" s="66">
        <f t="shared" si="305"/>
        <v>0</v>
      </c>
      <c r="AC598" s="41" t="e">
        <f>VLOOKUP(A598,'Input Sheet'!$A$2:$B$232,2,0)</f>
        <v>#N/A</v>
      </c>
      <c r="AD598" s="70"/>
    </row>
    <row r="599" spans="1:30" x14ac:dyDescent="0.2">
      <c r="A599" s="38" t="str">
        <f t="shared" si="306"/>
        <v xml:space="preserve"> </v>
      </c>
      <c r="B599" s="108"/>
      <c r="C599" s="38"/>
      <c r="D599" s="137"/>
      <c r="E599" s="137"/>
      <c r="F599" s="137"/>
      <c r="G599" s="122"/>
      <c r="H599" s="137"/>
      <c r="I599" s="50"/>
      <c r="J599" s="50"/>
      <c r="K599" s="50"/>
      <c r="L599" s="38"/>
      <c r="M599" s="38"/>
      <c r="N599" s="38"/>
      <c r="O599" s="50"/>
      <c r="P599" s="218"/>
      <c r="Q599" s="50"/>
      <c r="R599" s="50"/>
      <c r="S599" s="38"/>
      <c r="T599" s="51"/>
      <c r="U599" s="65"/>
      <c r="V599" s="105"/>
      <c r="W599" s="66"/>
      <c r="X599" s="66"/>
      <c r="Y599" s="38"/>
      <c r="Z599" s="66">
        <f t="shared" si="305"/>
        <v>0</v>
      </c>
      <c r="AC599" s="41" t="e">
        <f>VLOOKUP(A599,'Input Sheet'!$A$2:$B$232,2,0)</f>
        <v>#N/A</v>
      </c>
      <c r="AD599" s="70"/>
    </row>
    <row r="600" spans="1:30" x14ac:dyDescent="0.2">
      <c r="A600" s="38" t="str">
        <f t="shared" si="306"/>
        <v xml:space="preserve"> </v>
      </c>
      <c r="B600" s="108"/>
      <c r="C600" s="38"/>
      <c r="D600" s="137"/>
      <c r="E600" s="137"/>
      <c r="F600" s="137"/>
      <c r="G600" s="122"/>
      <c r="H600" s="137"/>
      <c r="I600" s="50"/>
      <c r="J600" s="50"/>
      <c r="K600" s="50"/>
      <c r="L600" s="38"/>
      <c r="M600" s="38"/>
      <c r="N600" s="38"/>
      <c r="O600" s="50"/>
      <c r="P600" s="218"/>
      <c r="Q600" s="50"/>
      <c r="R600" s="50"/>
      <c r="S600" s="38"/>
      <c r="T600" s="51"/>
      <c r="U600" s="65"/>
      <c r="V600" s="105"/>
      <c r="W600" s="66"/>
      <c r="X600" s="66"/>
      <c r="Y600" s="38"/>
      <c r="Z600" s="66">
        <f t="shared" si="305"/>
        <v>0</v>
      </c>
      <c r="AC600" s="41" t="e">
        <f>VLOOKUP(A600,'Input Sheet'!$A$2:$B$232,2,0)</f>
        <v>#N/A</v>
      </c>
      <c r="AD600" s="70"/>
    </row>
    <row r="601" spans="1:30" x14ac:dyDescent="0.2">
      <c r="A601" s="38" t="str">
        <f t="shared" si="306"/>
        <v xml:space="preserve"> </v>
      </c>
      <c r="B601" s="108"/>
      <c r="C601" s="38"/>
      <c r="D601" s="137"/>
      <c r="E601" s="137"/>
      <c r="F601" s="137"/>
      <c r="G601" s="122"/>
      <c r="H601" s="137"/>
      <c r="I601" s="50"/>
      <c r="J601" s="50"/>
      <c r="K601" s="50"/>
      <c r="L601" s="38"/>
      <c r="M601" s="38"/>
      <c r="N601" s="38"/>
      <c r="O601" s="50"/>
      <c r="P601" s="218"/>
      <c r="Q601" s="50"/>
      <c r="R601" s="50"/>
      <c r="S601" s="38"/>
      <c r="T601" s="51"/>
      <c r="U601" s="65"/>
      <c r="V601" s="105"/>
      <c r="W601" s="66"/>
      <c r="X601" s="66"/>
      <c r="Y601" s="38"/>
      <c r="Z601" s="66">
        <f t="shared" si="305"/>
        <v>0</v>
      </c>
      <c r="AC601" s="41" t="e">
        <f>VLOOKUP(A601,'Input Sheet'!$A$2:$B$232,2,0)</f>
        <v>#N/A</v>
      </c>
      <c r="AD601" s="70"/>
    </row>
    <row r="602" spans="1:30" x14ac:dyDescent="0.2">
      <c r="A602" s="38" t="str">
        <f t="shared" si="306"/>
        <v xml:space="preserve"> </v>
      </c>
      <c r="B602" s="108"/>
      <c r="C602" s="38"/>
      <c r="D602" s="137"/>
      <c r="E602" s="137"/>
      <c r="F602" s="137"/>
      <c r="G602" s="122"/>
      <c r="H602" s="137"/>
      <c r="I602" s="50"/>
      <c r="J602" s="50"/>
      <c r="K602" s="50"/>
      <c r="L602" s="38"/>
      <c r="M602" s="38"/>
      <c r="N602" s="38"/>
      <c r="O602" s="50"/>
      <c r="P602" s="218"/>
      <c r="Q602" s="50"/>
      <c r="R602" s="50"/>
      <c r="S602" s="38"/>
      <c r="T602" s="51"/>
      <c r="U602" s="65"/>
      <c r="V602" s="105"/>
      <c r="W602" s="66"/>
      <c r="X602" s="66"/>
      <c r="Y602" s="38"/>
      <c r="Z602" s="66">
        <f t="shared" si="305"/>
        <v>0</v>
      </c>
      <c r="AC602" s="41" t="e">
        <f>VLOOKUP(A602,'Input Sheet'!$A$2:$B$232,2,0)</f>
        <v>#N/A</v>
      </c>
      <c r="AD602" s="70"/>
    </row>
    <row r="603" spans="1:30" x14ac:dyDescent="0.2">
      <c r="A603" s="38" t="str">
        <f t="shared" si="306"/>
        <v xml:space="preserve"> </v>
      </c>
      <c r="B603" s="108"/>
      <c r="C603" s="38"/>
      <c r="D603" s="137"/>
      <c r="E603" s="137"/>
      <c r="F603" s="137"/>
      <c r="G603" s="122"/>
      <c r="H603" s="137"/>
      <c r="I603" s="50"/>
      <c r="J603" s="50"/>
      <c r="K603" s="50"/>
      <c r="L603" s="38"/>
      <c r="M603" s="38"/>
      <c r="N603" s="38"/>
      <c r="O603" s="50"/>
      <c r="P603" s="218"/>
      <c r="Q603" s="50"/>
      <c r="R603" s="50"/>
      <c r="S603" s="38"/>
      <c r="T603" s="51"/>
      <c r="U603" s="65"/>
      <c r="V603" s="105"/>
      <c r="W603" s="66"/>
      <c r="X603" s="66"/>
      <c r="Y603" s="38"/>
      <c r="Z603" s="66">
        <f t="shared" si="305"/>
        <v>0</v>
      </c>
      <c r="AC603" s="41" t="e">
        <f>VLOOKUP(A603,'Input Sheet'!$A$2:$B$232,2,0)</f>
        <v>#N/A</v>
      </c>
      <c r="AD603" s="70"/>
    </row>
    <row r="604" spans="1:30" x14ac:dyDescent="0.2">
      <c r="A604" s="38" t="str">
        <f t="shared" si="306"/>
        <v xml:space="preserve"> </v>
      </c>
      <c r="B604" s="108"/>
      <c r="C604" s="38"/>
      <c r="D604" s="137"/>
      <c r="E604" s="137"/>
      <c r="F604" s="137"/>
      <c r="G604" s="122"/>
      <c r="H604" s="137"/>
      <c r="I604" s="50"/>
      <c r="J604" s="50"/>
      <c r="K604" s="50"/>
      <c r="L604" s="38"/>
      <c r="M604" s="38"/>
      <c r="N604" s="38"/>
      <c r="O604" s="50"/>
      <c r="P604" s="218"/>
      <c r="Q604" s="50"/>
      <c r="R604" s="50"/>
      <c r="S604" s="38"/>
      <c r="T604" s="51"/>
      <c r="U604" s="65"/>
      <c r="V604" s="105"/>
      <c r="W604" s="66"/>
      <c r="X604" s="66"/>
      <c r="Y604" s="38"/>
      <c r="Z604" s="66">
        <f t="shared" si="305"/>
        <v>0</v>
      </c>
      <c r="AC604" s="41" t="e">
        <f>VLOOKUP(A604,'Input Sheet'!$A$2:$B$232,2,0)</f>
        <v>#N/A</v>
      </c>
      <c r="AD604" s="70"/>
    </row>
    <row r="605" spans="1:30" x14ac:dyDescent="0.2">
      <c r="A605" s="38" t="str">
        <f t="shared" si="306"/>
        <v xml:space="preserve"> </v>
      </c>
      <c r="B605" s="108"/>
      <c r="C605" s="38"/>
      <c r="D605" s="137"/>
      <c r="E605" s="137"/>
      <c r="F605" s="137"/>
      <c r="G605" s="122"/>
      <c r="H605" s="137"/>
      <c r="I605" s="50"/>
      <c r="J605" s="50"/>
      <c r="K605" s="50"/>
      <c r="L605" s="38"/>
      <c r="M605" s="38"/>
      <c r="N605" s="38"/>
      <c r="O605" s="50"/>
      <c r="P605" s="218"/>
      <c r="Q605" s="50"/>
      <c r="R605" s="50"/>
      <c r="S605" s="38"/>
      <c r="T605" s="51"/>
      <c r="U605" s="65"/>
      <c r="V605" s="105"/>
      <c r="W605" s="66"/>
      <c r="X605" s="66"/>
      <c r="Y605" s="38"/>
      <c r="Z605" s="66">
        <f t="shared" si="305"/>
        <v>0</v>
      </c>
      <c r="AC605" s="41" t="e">
        <f>VLOOKUP(A605,'Input Sheet'!$A$2:$B$232,2,0)</f>
        <v>#N/A</v>
      </c>
      <c r="AD605" s="70"/>
    </row>
    <row r="606" spans="1:30" x14ac:dyDescent="0.2">
      <c r="A606" s="38" t="str">
        <f t="shared" si="306"/>
        <v xml:space="preserve"> </v>
      </c>
      <c r="B606" s="108"/>
      <c r="C606" s="38"/>
      <c r="D606" s="137"/>
      <c r="E606" s="137"/>
      <c r="F606" s="137"/>
      <c r="G606" s="122"/>
      <c r="H606" s="137"/>
      <c r="I606" s="50"/>
      <c r="J606" s="50"/>
      <c r="K606" s="50"/>
      <c r="L606" s="38"/>
      <c r="M606" s="38"/>
      <c r="N606" s="38"/>
      <c r="O606" s="50"/>
      <c r="P606" s="218"/>
      <c r="Q606" s="50"/>
      <c r="R606" s="50"/>
      <c r="S606" s="38"/>
      <c r="T606" s="51"/>
      <c r="U606" s="65"/>
      <c r="V606" s="105"/>
      <c r="W606" s="66"/>
      <c r="X606" s="66"/>
      <c r="Y606" s="38"/>
      <c r="Z606" s="66">
        <f t="shared" si="305"/>
        <v>0</v>
      </c>
      <c r="AC606" s="41" t="e">
        <f>VLOOKUP(A606,'Input Sheet'!$A$2:$B$232,2,0)</f>
        <v>#N/A</v>
      </c>
      <c r="AD606" s="70"/>
    </row>
    <row r="607" spans="1:30" x14ac:dyDescent="0.2">
      <c r="A607" s="38" t="str">
        <f t="shared" si="306"/>
        <v xml:space="preserve"> </v>
      </c>
      <c r="B607" s="108"/>
      <c r="C607" s="38"/>
      <c r="D607" s="137"/>
      <c r="E607" s="137"/>
      <c r="F607" s="137"/>
      <c r="G607" s="122"/>
      <c r="H607" s="137"/>
      <c r="I607" s="50"/>
      <c r="J607" s="50"/>
      <c r="K607" s="50"/>
      <c r="L607" s="38"/>
      <c r="M607" s="38"/>
      <c r="N607" s="38"/>
      <c r="O607" s="50"/>
      <c r="P607" s="218"/>
      <c r="Q607" s="50"/>
      <c r="R607" s="50"/>
      <c r="S607" s="38"/>
      <c r="T607" s="51"/>
      <c r="U607" s="65"/>
      <c r="V607" s="105"/>
      <c r="W607" s="66"/>
      <c r="X607" s="66"/>
      <c r="Y607" s="38"/>
      <c r="Z607" s="66">
        <f t="shared" si="305"/>
        <v>0</v>
      </c>
      <c r="AC607" s="41" t="e">
        <f>VLOOKUP(A607,'Input Sheet'!$A$2:$B$232,2,0)</f>
        <v>#N/A</v>
      </c>
      <c r="AD607" s="70"/>
    </row>
    <row r="608" spans="1:30" x14ac:dyDescent="0.2">
      <c r="A608" s="38" t="str">
        <f t="shared" si="306"/>
        <v xml:space="preserve"> </v>
      </c>
      <c r="B608" s="108"/>
      <c r="C608" s="38"/>
      <c r="D608" s="137"/>
      <c r="E608" s="137"/>
      <c r="F608" s="137"/>
      <c r="G608" s="122"/>
      <c r="H608" s="137"/>
      <c r="I608" s="50"/>
      <c r="J608" s="50"/>
      <c r="K608" s="50"/>
      <c r="L608" s="38"/>
      <c r="M608" s="38"/>
      <c r="N608" s="38"/>
      <c r="O608" s="50"/>
      <c r="P608" s="218"/>
      <c r="Q608" s="50"/>
      <c r="R608" s="50"/>
      <c r="S608" s="38"/>
      <c r="T608" s="51"/>
      <c r="U608" s="65"/>
      <c r="V608" s="105"/>
      <c r="W608" s="66"/>
      <c r="X608" s="66"/>
      <c r="Y608" s="38"/>
      <c r="Z608" s="66">
        <f t="shared" si="305"/>
        <v>0</v>
      </c>
      <c r="AC608" s="41" t="e">
        <f>VLOOKUP(A608,'Input Sheet'!$A$2:$B$232,2,0)</f>
        <v>#N/A</v>
      </c>
      <c r="AD608" s="70"/>
    </row>
    <row r="609" spans="1:30" x14ac:dyDescent="0.2">
      <c r="A609" s="38" t="str">
        <f t="shared" si="306"/>
        <v xml:space="preserve"> </v>
      </c>
      <c r="B609" s="108"/>
      <c r="C609" s="38"/>
      <c r="D609" s="137"/>
      <c r="E609" s="137"/>
      <c r="F609" s="137"/>
      <c r="G609" s="122"/>
      <c r="H609" s="137"/>
      <c r="I609" s="50"/>
      <c r="J609" s="50"/>
      <c r="K609" s="50"/>
      <c r="L609" s="38"/>
      <c r="M609" s="38"/>
      <c r="N609" s="38"/>
      <c r="O609" s="50"/>
      <c r="P609" s="218"/>
      <c r="Q609" s="50"/>
      <c r="R609" s="50"/>
      <c r="S609" s="38"/>
      <c r="T609" s="51"/>
      <c r="U609" s="65"/>
      <c r="V609" s="105"/>
      <c r="W609" s="66"/>
      <c r="X609" s="66"/>
      <c r="Y609" s="38"/>
      <c r="Z609" s="66">
        <f t="shared" si="305"/>
        <v>0</v>
      </c>
      <c r="AC609" s="41" t="e">
        <f>VLOOKUP(A609,'Input Sheet'!$A$2:$B$232,2,0)</f>
        <v>#N/A</v>
      </c>
      <c r="AD609" s="70"/>
    </row>
    <row r="610" spans="1:30" x14ac:dyDescent="0.2">
      <c r="A610" s="38" t="str">
        <f t="shared" si="306"/>
        <v xml:space="preserve"> </v>
      </c>
      <c r="B610" s="108"/>
      <c r="C610" s="38"/>
      <c r="D610" s="137"/>
      <c r="E610" s="137"/>
      <c r="F610" s="137"/>
      <c r="G610" s="122"/>
      <c r="H610" s="137"/>
      <c r="I610" s="50"/>
      <c r="J610" s="50"/>
      <c r="K610" s="50"/>
      <c r="L610" s="38"/>
      <c r="M610" s="38"/>
      <c r="N610" s="38"/>
      <c r="O610" s="50"/>
      <c r="P610" s="218"/>
      <c r="Q610" s="50"/>
      <c r="R610" s="50"/>
      <c r="S610" s="38"/>
      <c r="T610" s="51"/>
      <c r="U610" s="65"/>
      <c r="V610" s="105"/>
      <c r="W610" s="66"/>
      <c r="X610" s="66"/>
      <c r="Y610" s="38"/>
      <c r="Z610" s="66">
        <f t="shared" si="305"/>
        <v>0</v>
      </c>
      <c r="AC610" s="41" t="e">
        <f>VLOOKUP(A610,'Input Sheet'!$A$2:$B$232,2,0)</f>
        <v>#N/A</v>
      </c>
      <c r="AD610" s="70"/>
    </row>
    <row r="611" spans="1:30" x14ac:dyDescent="0.2">
      <c r="A611" s="38" t="str">
        <f t="shared" si="306"/>
        <v xml:space="preserve"> </v>
      </c>
      <c r="B611" s="108"/>
      <c r="C611" s="38"/>
      <c r="D611" s="137"/>
      <c r="E611" s="137"/>
      <c r="F611" s="137"/>
      <c r="G611" s="122"/>
      <c r="H611" s="137"/>
      <c r="I611" s="50"/>
      <c r="J611" s="50"/>
      <c r="K611" s="50"/>
      <c r="L611" s="38"/>
      <c r="M611" s="38"/>
      <c r="N611" s="38"/>
      <c r="O611" s="50"/>
      <c r="P611" s="218"/>
      <c r="Q611" s="50"/>
      <c r="R611" s="50"/>
      <c r="S611" s="38"/>
      <c r="T611" s="51"/>
      <c r="U611" s="65"/>
      <c r="V611" s="105"/>
      <c r="W611" s="66"/>
      <c r="X611" s="66"/>
      <c r="Y611" s="38"/>
      <c r="Z611" s="66">
        <f t="shared" si="305"/>
        <v>0</v>
      </c>
      <c r="AC611" s="41" t="e">
        <f>VLOOKUP(A611,'Input Sheet'!$A$2:$B$232,2,0)</f>
        <v>#N/A</v>
      </c>
      <c r="AD611" s="70"/>
    </row>
    <row r="612" spans="1:30" x14ac:dyDescent="0.2">
      <c r="A612" s="38" t="str">
        <f t="shared" si="306"/>
        <v xml:space="preserve"> </v>
      </c>
      <c r="B612" s="108"/>
      <c r="C612" s="38"/>
      <c r="D612" s="137"/>
      <c r="E612" s="137"/>
      <c r="F612" s="137"/>
      <c r="G612" s="122"/>
      <c r="H612" s="137"/>
      <c r="I612" s="50"/>
      <c r="J612" s="50"/>
      <c r="K612" s="50"/>
      <c r="L612" s="38"/>
      <c r="M612" s="38"/>
      <c r="N612" s="38"/>
      <c r="O612" s="50"/>
      <c r="P612" s="218"/>
      <c r="Q612" s="50"/>
      <c r="R612" s="50"/>
      <c r="S612" s="38"/>
      <c r="T612" s="51"/>
      <c r="U612" s="65"/>
      <c r="V612" s="105"/>
      <c r="W612" s="66"/>
      <c r="X612" s="66"/>
      <c r="Y612" s="38"/>
      <c r="Z612" s="66">
        <f t="shared" si="305"/>
        <v>0</v>
      </c>
      <c r="AC612" s="41" t="e">
        <f>VLOOKUP(A612,'Input Sheet'!$A$2:$B$232,2,0)</f>
        <v>#N/A</v>
      </c>
      <c r="AD612" s="70"/>
    </row>
    <row r="613" spans="1:30" x14ac:dyDescent="0.2">
      <c r="A613" s="38" t="str">
        <f t="shared" si="306"/>
        <v xml:space="preserve"> </v>
      </c>
      <c r="B613" s="108"/>
      <c r="C613" s="38"/>
      <c r="D613" s="137"/>
      <c r="E613" s="137"/>
      <c r="F613" s="137"/>
      <c r="G613" s="122"/>
      <c r="H613" s="137"/>
      <c r="I613" s="50"/>
      <c r="J613" s="50"/>
      <c r="K613" s="50"/>
      <c r="L613" s="38"/>
      <c r="M613" s="38"/>
      <c r="N613" s="38"/>
      <c r="O613" s="50"/>
      <c r="P613" s="218"/>
      <c r="Q613" s="50"/>
      <c r="R613" s="50"/>
      <c r="S613" s="38"/>
      <c r="T613" s="51"/>
      <c r="U613" s="65"/>
      <c r="V613" s="105"/>
      <c r="W613" s="66"/>
      <c r="X613" s="66"/>
      <c r="Y613" s="38"/>
      <c r="Z613" s="66">
        <f t="shared" si="305"/>
        <v>0</v>
      </c>
      <c r="AC613" s="41" t="e">
        <f>VLOOKUP(A613,'Input Sheet'!$A$2:$B$232,2,0)</f>
        <v>#N/A</v>
      </c>
      <c r="AD613" s="70"/>
    </row>
    <row r="614" spans="1:30" x14ac:dyDescent="0.2">
      <c r="A614" s="38" t="str">
        <f t="shared" si="306"/>
        <v xml:space="preserve"> </v>
      </c>
      <c r="B614" s="108"/>
      <c r="C614" s="38"/>
      <c r="D614" s="137"/>
      <c r="E614" s="137"/>
      <c r="F614" s="137"/>
      <c r="G614" s="122"/>
      <c r="H614" s="137"/>
      <c r="I614" s="50"/>
      <c r="J614" s="50"/>
      <c r="K614" s="50"/>
      <c r="L614" s="38"/>
      <c r="M614" s="38"/>
      <c r="N614" s="38"/>
      <c r="O614" s="50"/>
      <c r="P614" s="218"/>
      <c r="Q614" s="50"/>
      <c r="R614" s="50"/>
      <c r="S614" s="38"/>
      <c r="T614" s="51"/>
      <c r="U614" s="65"/>
      <c r="V614" s="105"/>
      <c r="W614" s="66"/>
      <c r="X614" s="66"/>
      <c r="Y614" s="38"/>
      <c r="Z614" s="66">
        <f t="shared" si="305"/>
        <v>0</v>
      </c>
      <c r="AC614" s="41" t="e">
        <f>VLOOKUP(A614,'Input Sheet'!$A$2:$B$232,2,0)</f>
        <v>#N/A</v>
      </c>
      <c r="AD614" s="70"/>
    </row>
    <row r="615" spans="1:30" x14ac:dyDescent="0.2">
      <c r="A615" s="38" t="str">
        <f t="shared" si="306"/>
        <v xml:space="preserve"> </v>
      </c>
      <c r="B615" s="108"/>
      <c r="C615" s="38"/>
      <c r="D615" s="137"/>
      <c r="E615" s="137"/>
      <c r="F615" s="137"/>
      <c r="G615" s="122"/>
      <c r="H615" s="137"/>
      <c r="I615" s="50"/>
      <c r="J615" s="50"/>
      <c r="K615" s="50"/>
      <c r="L615" s="38"/>
      <c r="M615" s="38"/>
      <c r="N615" s="38"/>
      <c r="O615" s="50"/>
      <c r="P615" s="218"/>
      <c r="Q615" s="50"/>
      <c r="R615" s="50"/>
      <c r="S615" s="38"/>
      <c r="T615" s="51"/>
      <c r="U615" s="65"/>
      <c r="V615" s="105"/>
      <c r="W615" s="66"/>
      <c r="X615" s="66"/>
      <c r="Y615" s="38"/>
      <c r="Z615" s="66">
        <f t="shared" si="305"/>
        <v>0</v>
      </c>
      <c r="AC615" s="41" t="e">
        <f>VLOOKUP(A615,'Input Sheet'!$A$2:$B$232,2,0)</f>
        <v>#N/A</v>
      </c>
      <c r="AD615" s="70"/>
    </row>
    <row r="616" spans="1:30" x14ac:dyDescent="0.2">
      <c r="A616" s="38" t="str">
        <f t="shared" si="306"/>
        <v xml:space="preserve"> </v>
      </c>
      <c r="B616" s="108"/>
      <c r="C616" s="38"/>
      <c r="D616" s="137"/>
      <c r="E616" s="137"/>
      <c r="F616" s="137"/>
      <c r="G616" s="122"/>
      <c r="H616" s="137"/>
      <c r="I616" s="50"/>
      <c r="J616" s="50"/>
      <c r="K616" s="50"/>
      <c r="L616" s="38"/>
      <c r="M616" s="38"/>
      <c r="N616" s="38"/>
      <c r="O616" s="50"/>
      <c r="P616" s="218"/>
      <c r="Q616" s="50"/>
      <c r="R616" s="50"/>
      <c r="S616" s="38"/>
      <c r="T616" s="51"/>
      <c r="U616" s="65"/>
      <c r="V616" s="105"/>
      <c r="W616" s="66"/>
      <c r="X616" s="66"/>
      <c r="Y616" s="38"/>
      <c r="Z616" s="66">
        <f t="shared" si="305"/>
        <v>0</v>
      </c>
      <c r="AC616" s="41" t="e">
        <f>VLOOKUP(A616,'Input Sheet'!$A$2:$B$232,2,0)</f>
        <v>#N/A</v>
      </c>
      <c r="AD616" s="70"/>
    </row>
    <row r="617" spans="1:30" x14ac:dyDescent="0.2">
      <c r="A617" s="38" t="str">
        <f t="shared" si="306"/>
        <v xml:space="preserve"> </v>
      </c>
      <c r="B617" s="108"/>
      <c r="C617" s="38"/>
      <c r="D617" s="137"/>
      <c r="E617" s="137"/>
      <c r="F617" s="137"/>
      <c r="G617" s="122"/>
      <c r="H617" s="137"/>
      <c r="I617" s="50"/>
      <c r="J617" s="50"/>
      <c r="K617" s="50"/>
      <c r="L617" s="38"/>
      <c r="M617" s="38"/>
      <c r="N617" s="38"/>
      <c r="O617" s="50"/>
      <c r="P617" s="218"/>
      <c r="Q617" s="50"/>
      <c r="R617" s="50"/>
      <c r="S617" s="38"/>
      <c r="T617" s="51"/>
      <c r="U617" s="65"/>
      <c r="V617" s="105"/>
      <c r="W617" s="66"/>
      <c r="X617" s="66"/>
      <c r="Y617" s="38"/>
      <c r="Z617" s="66">
        <f t="shared" si="305"/>
        <v>0</v>
      </c>
      <c r="AC617" s="41" t="e">
        <f>VLOOKUP(A617,'Input Sheet'!$A$2:$B$232,2,0)</f>
        <v>#N/A</v>
      </c>
      <c r="AD617" s="70"/>
    </row>
    <row r="618" spans="1:30" x14ac:dyDescent="0.2">
      <c r="A618" s="38" t="str">
        <f t="shared" si="306"/>
        <v xml:space="preserve"> </v>
      </c>
      <c r="B618" s="108"/>
      <c r="C618" s="38"/>
      <c r="D618" s="137"/>
      <c r="E618" s="137"/>
      <c r="F618" s="137"/>
      <c r="G618" s="122"/>
      <c r="H618" s="137"/>
      <c r="I618" s="50"/>
      <c r="J618" s="50"/>
      <c r="K618" s="50"/>
      <c r="L618" s="38"/>
      <c r="M618" s="38"/>
      <c r="N618" s="38"/>
      <c r="O618" s="50"/>
      <c r="P618" s="218"/>
      <c r="Q618" s="50"/>
      <c r="R618" s="50"/>
      <c r="S618" s="38"/>
      <c r="T618" s="51"/>
      <c r="U618" s="65"/>
      <c r="V618" s="105"/>
      <c r="W618" s="66"/>
      <c r="X618" s="66"/>
      <c r="Y618" s="38"/>
      <c r="Z618" s="66">
        <f t="shared" si="305"/>
        <v>0</v>
      </c>
      <c r="AC618" s="41" t="e">
        <f>VLOOKUP(A618,'Input Sheet'!$A$2:$B$232,2,0)</f>
        <v>#N/A</v>
      </c>
      <c r="AD618" s="70"/>
    </row>
    <row r="619" spans="1:30" x14ac:dyDescent="0.2">
      <c r="A619" s="38" t="str">
        <f t="shared" si="306"/>
        <v xml:space="preserve"> </v>
      </c>
      <c r="B619" s="108"/>
      <c r="C619" s="38"/>
      <c r="D619" s="137"/>
      <c r="E619" s="137"/>
      <c r="F619" s="137"/>
      <c r="G619" s="122"/>
      <c r="H619" s="137"/>
      <c r="I619" s="50"/>
      <c r="J619" s="50"/>
      <c r="K619" s="50"/>
      <c r="L619" s="38"/>
      <c r="M619" s="38"/>
      <c r="N619" s="38"/>
      <c r="O619" s="50"/>
      <c r="P619" s="218"/>
      <c r="Q619" s="50"/>
      <c r="R619" s="50"/>
      <c r="S619" s="38"/>
      <c r="T619" s="51"/>
      <c r="U619" s="65"/>
      <c r="V619" s="105"/>
      <c r="W619" s="66"/>
      <c r="X619" s="66"/>
      <c r="Y619" s="38"/>
      <c r="Z619" s="66">
        <f t="shared" si="305"/>
        <v>0</v>
      </c>
      <c r="AC619" s="41" t="e">
        <f>VLOOKUP(A619,'Input Sheet'!$A$2:$B$232,2,0)</f>
        <v>#N/A</v>
      </c>
      <c r="AD619" s="70"/>
    </row>
    <row r="620" spans="1:30" x14ac:dyDescent="0.2">
      <c r="A620" s="38" t="str">
        <f t="shared" si="306"/>
        <v xml:space="preserve"> </v>
      </c>
      <c r="B620" s="108"/>
      <c r="C620" s="38"/>
      <c r="D620" s="137"/>
      <c r="E620" s="137"/>
      <c r="F620" s="137"/>
      <c r="G620" s="122"/>
      <c r="H620" s="137"/>
      <c r="I620" s="50"/>
      <c r="J620" s="50"/>
      <c r="K620" s="50"/>
      <c r="L620" s="38"/>
      <c r="M620" s="38"/>
      <c r="N620" s="38"/>
      <c r="O620" s="50"/>
      <c r="P620" s="218"/>
      <c r="Q620" s="50"/>
      <c r="R620" s="50"/>
      <c r="S620" s="38"/>
      <c r="T620" s="51"/>
      <c r="U620" s="65"/>
      <c r="V620" s="105"/>
      <c r="W620" s="66"/>
      <c r="X620" s="66"/>
      <c r="Y620" s="38"/>
      <c r="Z620" s="66">
        <f t="shared" si="305"/>
        <v>0</v>
      </c>
      <c r="AC620" s="41" t="e">
        <f>VLOOKUP(A620,'Input Sheet'!$A$2:$B$232,2,0)</f>
        <v>#N/A</v>
      </c>
      <c r="AD620" s="70"/>
    </row>
    <row r="621" spans="1:30" x14ac:dyDescent="0.2">
      <c r="A621" s="38" t="str">
        <f t="shared" si="306"/>
        <v xml:space="preserve"> </v>
      </c>
      <c r="B621" s="108"/>
      <c r="C621" s="38"/>
      <c r="D621" s="137"/>
      <c r="E621" s="137"/>
      <c r="F621" s="137"/>
      <c r="G621" s="122"/>
      <c r="H621" s="137"/>
      <c r="I621" s="50"/>
      <c r="J621" s="50"/>
      <c r="K621" s="50"/>
      <c r="L621" s="38"/>
      <c r="M621" s="38"/>
      <c r="N621" s="38"/>
      <c r="O621" s="50"/>
      <c r="P621" s="218"/>
      <c r="Q621" s="50"/>
      <c r="R621" s="50"/>
      <c r="S621" s="38"/>
      <c r="T621" s="51"/>
      <c r="U621" s="65"/>
      <c r="V621" s="105"/>
      <c r="W621" s="66"/>
      <c r="X621" s="66"/>
      <c r="Y621" s="38"/>
      <c r="Z621" s="66">
        <f t="shared" si="305"/>
        <v>0</v>
      </c>
      <c r="AC621" s="41" t="e">
        <f>VLOOKUP(A621,'Input Sheet'!$A$2:$B$232,2,0)</f>
        <v>#N/A</v>
      </c>
      <c r="AD621" s="70"/>
    </row>
    <row r="622" spans="1:30" x14ac:dyDescent="0.2">
      <c r="A622" s="38" t="str">
        <f t="shared" si="306"/>
        <v xml:space="preserve"> </v>
      </c>
      <c r="B622" s="108"/>
      <c r="C622" s="38"/>
      <c r="D622" s="137"/>
      <c r="E622" s="137"/>
      <c r="F622" s="137"/>
      <c r="G622" s="122"/>
      <c r="H622" s="137"/>
      <c r="I622" s="50"/>
      <c r="J622" s="50"/>
      <c r="K622" s="50"/>
      <c r="L622" s="38"/>
      <c r="M622" s="38"/>
      <c r="N622" s="38"/>
      <c r="O622" s="50"/>
      <c r="P622" s="218"/>
      <c r="Q622" s="50"/>
      <c r="R622" s="50"/>
      <c r="S622" s="38"/>
      <c r="T622" s="51"/>
      <c r="U622" s="65"/>
      <c r="V622" s="105"/>
      <c r="W622" s="66"/>
      <c r="X622" s="66"/>
      <c r="Y622" s="38"/>
      <c r="Z622" s="66">
        <f t="shared" si="305"/>
        <v>0</v>
      </c>
      <c r="AC622" s="41" t="e">
        <f>VLOOKUP(A622,'Input Sheet'!$A$2:$B$232,2,0)</f>
        <v>#N/A</v>
      </c>
      <c r="AD622" s="70"/>
    </row>
    <row r="623" spans="1:30" x14ac:dyDescent="0.2">
      <c r="A623" s="38" t="str">
        <f t="shared" si="306"/>
        <v xml:space="preserve"> </v>
      </c>
      <c r="B623" s="108"/>
      <c r="C623" s="38"/>
      <c r="D623" s="137"/>
      <c r="E623" s="137"/>
      <c r="F623" s="137"/>
      <c r="G623" s="122"/>
      <c r="H623" s="137"/>
      <c r="I623" s="50"/>
      <c r="J623" s="50"/>
      <c r="K623" s="50"/>
      <c r="L623" s="38"/>
      <c r="M623" s="38"/>
      <c r="N623" s="38"/>
      <c r="O623" s="50"/>
      <c r="P623" s="218"/>
      <c r="Q623" s="50"/>
      <c r="R623" s="50"/>
      <c r="S623" s="38"/>
      <c r="T623" s="51"/>
      <c r="U623" s="65"/>
      <c r="V623" s="105"/>
      <c r="W623" s="66"/>
      <c r="X623" s="66"/>
      <c r="Y623" s="38"/>
      <c r="Z623" s="66">
        <f t="shared" si="305"/>
        <v>0</v>
      </c>
      <c r="AC623" s="41" t="e">
        <f>VLOOKUP(A623,'Input Sheet'!$A$2:$B$232,2,0)</f>
        <v>#N/A</v>
      </c>
      <c r="AD623" s="70"/>
    </row>
    <row r="624" spans="1:30" x14ac:dyDescent="0.2">
      <c r="A624" s="38" t="str">
        <f t="shared" si="306"/>
        <v xml:space="preserve"> </v>
      </c>
      <c r="B624" s="108"/>
      <c r="C624" s="38"/>
      <c r="D624" s="137"/>
      <c r="E624" s="137"/>
      <c r="F624" s="137"/>
      <c r="G624" s="122"/>
      <c r="H624" s="137"/>
      <c r="I624" s="50"/>
      <c r="J624" s="50"/>
      <c r="K624" s="50"/>
      <c r="L624" s="38"/>
      <c r="M624" s="38"/>
      <c r="N624" s="38"/>
      <c r="O624" s="50"/>
      <c r="P624" s="218"/>
      <c r="Q624" s="50"/>
      <c r="R624" s="50"/>
      <c r="S624" s="38"/>
      <c r="T624" s="51"/>
      <c r="U624" s="65"/>
      <c r="V624" s="105"/>
      <c r="W624" s="66"/>
      <c r="X624" s="66"/>
      <c r="Y624" s="38"/>
      <c r="Z624" s="66">
        <f t="shared" si="305"/>
        <v>0</v>
      </c>
      <c r="AC624" s="41" t="e">
        <f>VLOOKUP(A624,'Input Sheet'!$A$2:$B$232,2,0)</f>
        <v>#N/A</v>
      </c>
      <c r="AD624" s="70"/>
    </row>
    <row r="625" spans="1:30" x14ac:dyDescent="0.2">
      <c r="A625" s="38" t="str">
        <f t="shared" si="306"/>
        <v xml:space="preserve"> </v>
      </c>
      <c r="B625" s="108"/>
      <c r="C625" s="38"/>
      <c r="D625" s="137"/>
      <c r="E625" s="137"/>
      <c r="F625" s="137"/>
      <c r="G625" s="122"/>
      <c r="H625" s="137"/>
      <c r="I625" s="50"/>
      <c r="J625" s="50"/>
      <c r="K625" s="50"/>
      <c r="L625" s="38"/>
      <c r="M625" s="38"/>
      <c r="N625" s="38"/>
      <c r="O625" s="50"/>
      <c r="P625" s="218"/>
      <c r="Q625" s="50"/>
      <c r="R625" s="50"/>
      <c r="S625" s="38"/>
      <c r="T625" s="51"/>
      <c r="U625" s="65"/>
      <c r="V625" s="105"/>
      <c r="W625" s="66"/>
      <c r="X625" s="66"/>
      <c r="Y625" s="38"/>
      <c r="Z625" s="66">
        <f t="shared" si="305"/>
        <v>0</v>
      </c>
      <c r="AC625" s="41" t="e">
        <f>VLOOKUP(A625,'Input Sheet'!$A$2:$B$232,2,0)</f>
        <v>#N/A</v>
      </c>
      <c r="AD625" s="70"/>
    </row>
    <row r="626" spans="1:30" x14ac:dyDescent="0.2">
      <c r="A626" s="38" t="str">
        <f t="shared" si="306"/>
        <v xml:space="preserve"> </v>
      </c>
      <c r="B626" s="108"/>
      <c r="C626" s="38"/>
      <c r="D626" s="137"/>
      <c r="E626" s="137"/>
      <c r="F626" s="137"/>
      <c r="G626" s="122"/>
      <c r="H626" s="137"/>
      <c r="I626" s="50"/>
      <c r="J626" s="50"/>
      <c r="K626" s="50"/>
      <c r="L626" s="38"/>
      <c r="M626" s="38"/>
      <c r="N626" s="38"/>
      <c r="O626" s="50"/>
      <c r="P626" s="218"/>
      <c r="Q626" s="50"/>
      <c r="R626" s="50"/>
      <c r="S626" s="38"/>
      <c r="T626" s="51"/>
      <c r="U626" s="65"/>
      <c r="V626" s="105"/>
      <c r="W626" s="66"/>
      <c r="X626" s="66"/>
      <c r="Y626" s="38"/>
      <c r="Z626" s="66">
        <f t="shared" si="305"/>
        <v>0</v>
      </c>
      <c r="AC626" s="41" t="e">
        <f>VLOOKUP(A626,'Input Sheet'!$A$2:$B$232,2,0)</f>
        <v>#N/A</v>
      </c>
      <c r="AD626" s="70"/>
    </row>
    <row r="627" spans="1:30" x14ac:dyDescent="0.2">
      <c r="A627" s="38" t="str">
        <f t="shared" si="306"/>
        <v xml:space="preserve"> </v>
      </c>
      <c r="B627" s="108"/>
      <c r="C627" s="38"/>
      <c r="D627" s="137"/>
      <c r="E627" s="137"/>
      <c r="F627" s="137"/>
      <c r="G627" s="122"/>
      <c r="H627" s="137"/>
      <c r="I627" s="50"/>
      <c r="J627" s="50"/>
      <c r="K627" s="50"/>
      <c r="L627" s="38"/>
      <c r="M627" s="38"/>
      <c r="N627" s="38"/>
      <c r="O627" s="50"/>
      <c r="P627" s="218"/>
      <c r="Q627" s="50"/>
      <c r="R627" s="50"/>
      <c r="S627" s="38"/>
      <c r="T627" s="51"/>
      <c r="U627" s="65"/>
      <c r="V627" s="105"/>
      <c r="W627" s="66"/>
      <c r="X627" s="66"/>
      <c r="Y627" s="38"/>
      <c r="Z627" s="66">
        <f t="shared" si="305"/>
        <v>0</v>
      </c>
      <c r="AC627" s="41" t="e">
        <f>VLOOKUP(A627,'Input Sheet'!$A$2:$B$232,2,0)</f>
        <v>#N/A</v>
      </c>
      <c r="AD627" s="70"/>
    </row>
    <row r="628" spans="1:30" x14ac:dyDescent="0.2">
      <c r="A628" s="38" t="str">
        <f t="shared" si="306"/>
        <v xml:space="preserve"> </v>
      </c>
      <c r="B628" s="108"/>
      <c r="C628" s="38"/>
      <c r="D628" s="137"/>
      <c r="E628" s="137"/>
      <c r="F628" s="137"/>
      <c r="G628" s="122"/>
      <c r="H628" s="137"/>
      <c r="I628" s="50"/>
      <c r="J628" s="50"/>
      <c r="K628" s="50"/>
      <c r="L628" s="38"/>
      <c r="M628" s="38"/>
      <c r="N628" s="38"/>
      <c r="O628" s="50"/>
      <c r="P628" s="218"/>
      <c r="Q628" s="50"/>
      <c r="R628" s="50"/>
      <c r="S628" s="38"/>
      <c r="T628" s="51"/>
      <c r="U628" s="65"/>
      <c r="V628" s="105"/>
      <c r="W628" s="66"/>
      <c r="X628" s="66"/>
      <c r="Y628" s="38"/>
      <c r="Z628" s="66">
        <f t="shared" si="305"/>
        <v>0</v>
      </c>
      <c r="AC628" s="41" t="e">
        <f>VLOOKUP(A628,'Input Sheet'!$A$2:$B$232,2,0)</f>
        <v>#N/A</v>
      </c>
      <c r="AD628" s="70"/>
    </row>
    <row r="629" spans="1:30" x14ac:dyDescent="0.2">
      <c r="A629" s="38" t="str">
        <f t="shared" si="306"/>
        <v xml:space="preserve"> </v>
      </c>
      <c r="B629" s="108"/>
      <c r="C629" s="38"/>
      <c r="D629" s="137"/>
      <c r="E629" s="137"/>
      <c r="F629" s="137"/>
      <c r="G629" s="122"/>
      <c r="H629" s="137"/>
      <c r="I629" s="50"/>
      <c r="J629" s="50"/>
      <c r="K629" s="50"/>
      <c r="L629" s="38"/>
      <c r="M629" s="38"/>
      <c r="N629" s="38"/>
      <c r="O629" s="50"/>
      <c r="P629" s="218"/>
      <c r="Q629" s="50"/>
      <c r="R629" s="50"/>
      <c r="S629" s="38"/>
      <c r="T629" s="51"/>
      <c r="U629" s="65"/>
      <c r="V629" s="105"/>
      <c r="W629" s="66"/>
      <c r="X629" s="66"/>
      <c r="Y629" s="38"/>
      <c r="Z629" s="66">
        <f t="shared" si="305"/>
        <v>0</v>
      </c>
      <c r="AC629" s="41" t="e">
        <f>VLOOKUP(A629,'Input Sheet'!$A$2:$B$232,2,0)</f>
        <v>#N/A</v>
      </c>
      <c r="AD629" s="70"/>
    </row>
    <row r="630" spans="1:30" x14ac:dyDescent="0.2">
      <c r="A630" s="38" t="str">
        <f t="shared" si="306"/>
        <v xml:space="preserve"> </v>
      </c>
      <c r="B630" s="108"/>
      <c r="C630" s="38"/>
      <c r="D630" s="137"/>
      <c r="E630" s="137"/>
      <c r="F630" s="137"/>
      <c r="G630" s="122"/>
      <c r="H630" s="137"/>
      <c r="I630" s="50"/>
      <c r="J630" s="50"/>
      <c r="K630" s="50"/>
      <c r="L630" s="38"/>
      <c r="M630" s="38"/>
      <c r="N630" s="38"/>
      <c r="O630" s="50"/>
      <c r="P630" s="218"/>
      <c r="Q630" s="50"/>
      <c r="R630" s="50"/>
      <c r="S630" s="38"/>
      <c r="T630" s="51"/>
      <c r="U630" s="65"/>
      <c r="V630" s="105"/>
      <c r="W630" s="66"/>
      <c r="X630" s="66"/>
      <c r="Y630" s="38"/>
      <c r="Z630" s="66">
        <f t="shared" si="305"/>
        <v>0</v>
      </c>
      <c r="AC630" s="41" t="e">
        <f>VLOOKUP(A630,'Input Sheet'!$A$2:$B$232,2,0)</f>
        <v>#N/A</v>
      </c>
      <c r="AD630" s="70"/>
    </row>
    <row r="631" spans="1:30" x14ac:dyDescent="0.2">
      <c r="A631" s="38" t="str">
        <f t="shared" si="306"/>
        <v xml:space="preserve"> </v>
      </c>
      <c r="B631" s="108"/>
      <c r="C631" s="38"/>
      <c r="D631" s="137"/>
      <c r="E631" s="137"/>
      <c r="F631" s="137"/>
      <c r="G631" s="122"/>
      <c r="H631" s="137"/>
      <c r="I631" s="50"/>
      <c r="J631" s="50"/>
      <c r="K631" s="50"/>
      <c r="L631" s="38"/>
      <c r="M631" s="38"/>
      <c r="N631" s="38"/>
      <c r="O631" s="50"/>
      <c r="P631" s="218"/>
      <c r="Q631" s="50"/>
      <c r="R631" s="50"/>
      <c r="S631" s="38"/>
      <c r="T631" s="51"/>
      <c r="U631" s="65"/>
      <c r="V631" s="105"/>
      <c r="W631" s="66"/>
      <c r="X631" s="66"/>
      <c r="Y631" s="38"/>
      <c r="Z631" s="66">
        <f t="shared" si="305"/>
        <v>0</v>
      </c>
      <c r="AC631" s="41" t="e">
        <f>VLOOKUP(A631,'Input Sheet'!$A$2:$B$232,2,0)</f>
        <v>#N/A</v>
      </c>
      <c r="AD631" s="70"/>
    </row>
    <row r="632" spans="1:30" x14ac:dyDescent="0.2">
      <c r="A632" s="38" t="str">
        <f t="shared" si="306"/>
        <v xml:space="preserve"> </v>
      </c>
      <c r="B632" s="108"/>
      <c r="C632" s="38"/>
      <c r="D632" s="137"/>
      <c r="E632" s="137"/>
      <c r="F632" s="137"/>
      <c r="G632" s="122"/>
      <c r="H632" s="137"/>
      <c r="I632" s="50"/>
      <c r="J632" s="50"/>
      <c r="K632" s="50"/>
      <c r="L632" s="38"/>
      <c r="M632" s="38"/>
      <c r="N632" s="38"/>
      <c r="O632" s="50"/>
      <c r="P632" s="218"/>
      <c r="Q632" s="50"/>
      <c r="R632" s="50"/>
      <c r="S632" s="38"/>
      <c r="T632" s="51"/>
      <c r="U632" s="65"/>
      <c r="V632" s="105"/>
      <c r="W632" s="66"/>
      <c r="X632" s="66"/>
      <c r="Y632" s="38"/>
      <c r="Z632" s="66">
        <f t="shared" si="305"/>
        <v>0</v>
      </c>
      <c r="AC632" s="41" t="e">
        <f>VLOOKUP(A632,'Input Sheet'!$A$2:$B$232,2,0)</f>
        <v>#N/A</v>
      </c>
      <c r="AD632" s="70"/>
    </row>
    <row r="633" spans="1:30" x14ac:dyDescent="0.2">
      <c r="A633" s="38" t="str">
        <f t="shared" si="306"/>
        <v xml:space="preserve"> </v>
      </c>
      <c r="B633" s="108"/>
      <c r="C633" s="38"/>
      <c r="D633" s="137"/>
      <c r="E633" s="137"/>
      <c r="F633" s="137"/>
      <c r="G633" s="122"/>
      <c r="H633" s="137"/>
      <c r="I633" s="50"/>
      <c r="J633" s="50"/>
      <c r="K633" s="50"/>
      <c r="L633" s="38"/>
      <c r="M633" s="38"/>
      <c r="N633" s="38"/>
      <c r="O633" s="50"/>
      <c r="P633" s="218"/>
      <c r="Q633" s="50"/>
      <c r="R633" s="50"/>
      <c r="S633" s="38"/>
      <c r="T633" s="51"/>
      <c r="U633" s="65"/>
      <c r="V633" s="105"/>
      <c r="W633" s="66"/>
      <c r="X633" s="66"/>
      <c r="Y633" s="38"/>
      <c r="Z633" s="66">
        <f t="shared" si="305"/>
        <v>0</v>
      </c>
      <c r="AC633" s="41" t="e">
        <f>VLOOKUP(A633,'Input Sheet'!$A$2:$B$232,2,0)</f>
        <v>#N/A</v>
      </c>
      <c r="AD633" s="70"/>
    </row>
    <row r="634" spans="1:30" x14ac:dyDescent="0.2">
      <c r="A634" s="38" t="str">
        <f t="shared" si="306"/>
        <v xml:space="preserve"> </v>
      </c>
      <c r="B634" s="108"/>
      <c r="C634" s="38"/>
      <c r="D634" s="137"/>
      <c r="E634" s="137"/>
      <c r="F634" s="137"/>
      <c r="G634" s="122"/>
      <c r="H634" s="137"/>
      <c r="I634" s="50"/>
      <c r="J634" s="50"/>
      <c r="K634" s="50"/>
      <c r="L634" s="38"/>
      <c r="M634" s="38"/>
      <c r="N634" s="38"/>
      <c r="O634" s="50"/>
      <c r="P634" s="218"/>
      <c r="Q634" s="50"/>
      <c r="R634" s="50"/>
      <c r="S634" s="38"/>
      <c r="T634" s="51"/>
      <c r="U634" s="65"/>
      <c r="V634" s="105"/>
      <c r="W634" s="66"/>
      <c r="X634" s="66"/>
      <c r="Y634" s="38"/>
      <c r="Z634" s="66">
        <f t="shared" si="305"/>
        <v>0</v>
      </c>
      <c r="AC634" s="41" t="e">
        <f>VLOOKUP(A634,'Input Sheet'!$A$2:$B$232,2,0)</f>
        <v>#N/A</v>
      </c>
      <c r="AD634" s="70"/>
    </row>
    <row r="635" spans="1:30" x14ac:dyDescent="0.2">
      <c r="A635" s="38" t="str">
        <f t="shared" si="306"/>
        <v xml:space="preserve"> </v>
      </c>
      <c r="B635" s="108"/>
      <c r="C635" s="38"/>
      <c r="D635" s="137"/>
      <c r="E635" s="137"/>
      <c r="F635" s="137"/>
      <c r="G635" s="122"/>
      <c r="H635" s="137"/>
      <c r="I635" s="50"/>
      <c r="J635" s="50"/>
      <c r="K635" s="50"/>
      <c r="L635" s="38"/>
      <c r="M635" s="38"/>
      <c r="N635" s="38"/>
      <c r="O635" s="50"/>
      <c r="P635" s="218"/>
      <c r="Q635" s="50"/>
      <c r="R635" s="50"/>
      <c r="S635" s="38"/>
      <c r="T635" s="51"/>
      <c r="U635" s="65"/>
      <c r="V635" s="105"/>
      <c r="W635" s="66"/>
      <c r="X635" s="66"/>
      <c r="Y635" s="38"/>
      <c r="Z635" s="66">
        <f t="shared" si="305"/>
        <v>0</v>
      </c>
      <c r="AC635" s="41" t="e">
        <f>VLOOKUP(A635,'Input Sheet'!$A$2:$B$232,2,0)</f>
        <v>#N/A</v>
      </c>
      <c r="AD635" s="70"/>
    </row>
    <row r="636" spans="1:30" x14ac:dyDescent="0.2">
      <c r="A636" s="38" t="str">
        <f t="shared" si="306"/>
        <v xml:space="preserve"> </v>
      </c>
      <c r="B636" s="108"/>
      <c r="C636" s="38"/>
      <c r="D636" s="137"/>
      <c r="E636" s="137"/>
      <c r="F636" s="137"/>
      <c r="G636" s="122"/>
      <c r="H636" s="137"/>
      <c r="I636" s="50"/>
      <c r="J636" s="50"/>
      <c r="K636" s="50"/>
      <c r="L636" s="38"/>
      <c r="M636" s="38"/>
      <c r="N636" s="38"/>
      <c r="O636" s="50"/>
      <c r="P636" s="218"/>
      <c r="Q636" s="50"/>
      <c r="R636" s="50"/>
      <c r="S636" s="38"/>
      <c r="T636" s="51"/>
      <c r="U636" s="65"/>
      <c r="V636" s="105"/>
      <c r="W636" s="66"/>
      <c r="X636" s="66"/>
      <c r="Y636" s="38"/>
      <c r="Z636" s="66">
        <f t="shared" si="305"/>
        <v>0</v>
      </c>
      <c r="AC636" s="41" t="e">
        <f>VLOOKUP(A636,'Input Sheet'!$A$2:$B$232,2,0)</f>
        <v>#N/A</v>
      </c>
      <c r="AD636" s="70"/>
    </row>
    <row r="637" spans="1:30" x14ac:dyDescent="0.2">
      <c r="A637" s="38" t="str">
        <f t="shared" si="306"/>
        <v xml:space="preserve"> </v>
      </c>
      <c r="B637" s="108"/>
      <c r="C637" s="38"/>
      <c r="D637" s="137"/>
      <c r="E637" s="137"/>
      <c r="F637" s="137"/>
      <c r="G637" s="122"/>
      <c r="H637" s="137"/>
      <c r="I637" s="50"/>
      <c r="J637" s="50"/>
      <c r="K637" s="50"/>
      <c r="L637" s="38"/>
      <c r="M637" s="38"/>
      <c r="N637" s="38"/>
      <c r="O637" s="50"/>
      <c r="P637" s="218"/>
      <c r="Q637" s="50"/>
      <c r="R637" s="50"/>
      <c r="S637" s="38"/>
      <c r="T637" s="51"/>
      <c r="U637" s="65"/>
      <c r="V637" s="105"/>
      <c r="W637" s="66"/>
      <c r="X637" s="66"/>
      <c r="Y637" s="38"/>
      <c r="Z637" s="66">
        <f t="shared" si="305"/>
        <v>0</v>
      </c>
      <c r="AC637" s="41" t="e">
        <f>VLOOKUP(A637,'Input Sheet'!$A$2:$B$232,2,0)</f>
        <v>#N/A</v>
      </c>
      <c r="AD637" s="70"/>
    </row>
    <row r="638" spans="1:30" x14ac:dyDescent="0.2">
      <c r="A638" s="38" t="str">
        <f t="shared" si="306"/>
        <v xml:space="preserve"> </v>
      </c>
      <c r="B638" s="108"/>
      <c r="C638" s="38"/>
      <c r="D638" s="137"/>
      <c r="E638" s="137"/>
      <c r="F638" s="137"/>
      <c r="G638" s="122"/>
      <c r="H638" s="137"/>
      <c r="I638" s="50"/>
      <c r="J638" s="50"/>
      <c r="K638" s="50"/>
      <c r="L638" s="38"/>
      <c r="M638" s="38"/>
      <c r="N638" s="38"/>
      <c r="O638" s="50"/>
      <c r="P638" s="218"/>
      <c r="Q638" s="50"/>
      <c r="R638" s="50"/>
      <c r="S638" s="38"/>
      <c r="T638" s="51"/>
      <c r="U638" s="65"/>
      <c r="V638" s="105"/>
      <c r="W638" s="66"/>
      <c r="X638" s="66"/>
      <c r="Y638" s="38"/>
      <c r="Z638" s="66">
        <f t="shared" si="305"/>
        <v>0</v>
      </c>
      <c r="AC638" s="41" t="e">
        <f>VLOOKUP(A638,'Input Sheet'!$A$2:$B$232,2,0)</f>
        <v>#N/A</v>
      </c>
      <c r="AD638" s="70"/>
    </row>
    <row r="639" spans="1:30" x14ac:dyDescent="0.2">
      <c r="A639" s="38" t="str">
        <f t="shared" si="306"/>
        <v xml:space="preserve"> </v>
      </c>
      <c r="B639" s="108"/>
      <c r="C639" s="38"/>
      <c r="D639" s="137"/>
      <c r="E639" s="137"/>
      <c r="F639" s="137"/>
      <c r="G639" s="122"/>
      <c r="H639" s="137"/>
      <c r="I639" s="50"/>
      <c r="J639" s="50"/>
      <c r="K639" s="50"/>
      <c r="L639" s="38"/>
      <c r="M639" s="38"/>
      <c r="N639" s="38"/>
      <c r="O639" s="50"/>
      <c r="P639" s="218"/>
      <c r="Q639" s="50"/>
      <c r="R639" s="50"/>
      <c r="S639" s="38"/>
      <c r="T639" s="51"/>
      <c r="U639" s="65"/>
      <c r="V639" s="105"/>
      <c r="W639" s="66"/>
      <c r="X639" s="66"/>
      <c r="Y639" s="38"/>
      <c r="Z639" s="66">
        <f t="shared" si="305"/>
        <v>0</v>
      </c>
      <c r="AC639" s="41" t="e">
        <f>VLOOKUP(A639,'Input Sheet'!$A$2:$B$232,2,0)</f>
        <v>#N/A</v>
      </c>
      <c r="AD639" s="70"/>
    </row>
    <row r="640" spans="1:30" x14ac:dyDescent="0.2">
      <c r="A640" s="38" t="str">
        <f t="shared" si="306"/>
        <v xml:space="preserve"> </v>
      </c>
      <c r="B640" s="108"/>
      <c r="C640" s="38"/>
      <c r="D640" s="137"/>
      <c r="E640" s="137"/>
      <c r="F640" s="137"/>
      <c r="G640" s="122"/>
      <c r="H640" s="137"/>
      <c r="I640" s="50"/>
      <c r="J640" s="50"/>
      <c r="K640" s="50"/>
      <c r="L640" s="38"/>
      <c r="M640" s="38"/>
      <c r="N640" s="38"/>
      <c r="O640" s="50"/>
      <c r="P640" s="218"/>
      <c r="Q640" s="50"/>
      <c r="R640" s="50"/>
      <c r="S640" s="38"/>
      <c r="T640" s="51"/>
      <c r="U640" s="65"/>
      <c r="V640" s="105"/>
      <c r="W640" s="66"/>
      <c r="X640" s="66"/>
      <c r="Y640" s="38"/>
      <c r="Z640" s="66">
        <f t="shared" si="305"/>
        <v>0</v>
      </c>
      <c r="AC640" s="41" t="e">
        <f>VLOOKUP(A640,'Input Sheet'!$A$2:$B$232,2,0)</f>
        <v>#N/A</v>
      </c>
      <c r="AD640" s="70"/>
    </row>
    <row r="641" spans="1:30" x14ac:dyDescent="0.2">
      <c r="A641" s="38" t="str">
        <f t="shared" si="306"/>
        <v xml:space="preserve"> </v>
      </c>
      <c r="B641" s="108"/>
      <c r="C641" s="38"/>
      <c r="D641" s="137"/>
      <c r="E641" s="137"/>
      <c r="F641" s="137"/>
      <c r="G641" s="122"/>
      <c r="H641" s="137"/>
      <c r="I641" s="50"/>
      <c r="J641" s="50"/>
      <c r="K641" s="50"/>
      <c r="L641" s="38"/>
      <c r="M641" s="38"/>
      <c r="N641" s="38"/>
      <c r="O641" s="50"/>
      <c r="P641" s="218"/>
      <c r="Q641" s="50"/>
      <c r="R641" s="50"/>
      <c r="S641" s="38"/>
      <c r="T641" s="51"/>
      <c r="U641" s="65"/>
      <c r="V641" s="105"/>
      <c r="W641" s="66"/>
      <c r="X641" s="66"/>
      <c r="Y641" s="38"/>
      <c r="Z641" s="66">
        <f t="shared" si="305"/>
        <v>0</v>
      </c>
      <c r="AC641" s="41" t="e">
        <f>VLOOKUP(A641,'Input Sheet'!$A$2:$B$232,2,0)</f>
        <v>#N/A</v>
      </c>
      <c r="AD641" s="70"/>
    </row>
    <row r="642" spans="1:30" x14ac:dyDescent="0.2">
      <c r="A642" s="38" t="str">
        <f t="shared" si="306"/>
        <v xml:space="preserve"> </v>
      </c>
      <c r="B642" s="108"/>
      <c r="C642" s="38"/>
      <c r="D642" s="137"/>
      <c r="E642" s="137"/>
      <c r="F642" s="137"/>
      <c r="G642" s="122"/>
      <c r="H642" s="137"/>
      <c r="I642" s="50"/>
      <c r="J642" s="50"/>
      <c r="K642" s="50"/>
      <c r="L642" s="38"/>
      <c r="M642" s="38"/>
      <c r="N642" s="38"/>
      <c r="O642" s="50"/>
      <c r="P642" s="218"/>
      <c r="Q642" s="50"/>
      <c r="R642" s="50"/>
      <c r="S642" s="38"/>
      <c r="T642" s="51"/>
      <c r="U642" s="65"/>
      <c r="V642" s="105"/>
      <c r="W642" s="66"/>
      <c r="X642" s="66"/>
      <c r="Y642" s="38"/>
      <c r="Z642" s="66">
        <f t="shared" si="305"/>
        <v>0</v>
      </c>
      <c r="AC642" s="41" t="e">
        <f>VLOOKUP(A642,'Input Sheet'!$A$2:$B$232,2,0)</f>
        <v>#N/A</v>
      </c>
      <c r="AD642" s="70"/>
    </row>
    <row r="643" spans="1:30" x14ac:dyDescent="0.2">
      <c r="A643" s="38" t="str">
        <f t="shared" si="306"/>
        <v xml:space="preserve"> </v>
      </c>
      <c r="B643" s="108"/>
      <c r="C643" s="38"/>
      <c r="D643" s="137"/>
      <c r="E643" s="137"/>
      <c r="F643" s="137"/>
      <c r="G643" s="122"/>
      <c r="H643" s="137"/>
      <c r="I643" s="50"/>
      <c r="J643" s="50"/>
      <c r="K643" s="50"/>
      <c r="L643" s="38"/>
      <c r="M643" s="38"/>
      <c r="N643" s="38"/>
      <c r="O643" s="50"/>
      <c r="P643" s="218"/>
      <c r="Q643" s="50"/>
      <c r="R643" s="50"/>
      <c r="S643" s="38"/>
      <c r="T643" s="51"/>
      <c r="U643" s="65"/>
      <c r="V643" s="105"/>
      <c r="W643" s="66"/>
      <c r="X643" s="66"/>
      <c r="Y643" s="38"/>
      <c r="Z643" s="66">
        <f t="shared" si="305"/>
        <v>0</v>
      </c>
      <c r="AC643" s="41" t="e">
        <f>VLOOKUP(A643,'Input Sheet'!$A$2:$B$232,2,0)</f>
        <v>#N/A</v>
      </c>
      <c r="AD643" s="70"/>
    </row>
    <row r="644" spans="1:30" x14ac:dyDescent="0.2">
      <c r="A644" s="38" t="str">
        <f t="shared" si="306"/>
        <v xml:space="preserve"> </v>
      </c>
      <c r="B644" s="108"/>
      <c r="C644" s="38"/>
      <c r="D644" s="137"/>
      <c r="E644" s="137"/>
      <c r="F644" s="137"/>
      <c r="G644" s="122"/>
      <c r="H644" s="137"/>
      <c r="I644" s="50"/>
      <c r="J644" s="50"/>
      <c r="K644" s="50"/>
      <c r="L644" s="38"/>
      <c r="M644" s="38"/>
      <c r="N644" s="38"/>
      <c r="O644" s="50"/>
      <c r="P644" s="218"/>
      <c r="Q644" s="50"/>
      <c r="R644" s="50"/>
      <c r="S644" s="38"/>
      <c r="T644" s="51"/>
      <c r="U644" s="65"/>
      <c r="V644" s="105"/>
      <c r="W644" s="66"/>
      <c r="X644" s="66"/>
      <c r="Y644" s="38"/>
      <c r="Z644" s="66">
        <f t="shared" si="305"/>
        <v>0</v>
      </c>
      <c r="AC644" s="41" t="e">
        <f>VLOOKUP(A644,'Input Sheet'!$A$2:$B$232,2,0)</f>
        <v>#N/A</v>
      </c>
      <c r="AD644" s="70"/>
    </row>
    <row r="645" spans="1:30" x14ac:dyDescent="0.2">
      <c r="A645" s="38" t="str">
        <f t="shared" si="306"/>
        <v xml:space="preserve"> </v>
      </c>
      <c r="B645" s="108"/>
      <c r="C645" s="38"/>
      <c r="D645" s="137"/>
      <c r="E645" s="137"/>
      <c r="F645" s="137"/>
      <c r="G645" s="122"/>
      <c r="H645" s="137"/>
      <c r="I645" s="50"/>
      <c r="J645" s="50"/>
      <c r="K645" s="50"/>
      <c r="L645" s="38"/>
      <c r="M645" s="38"/>
      <c r="N645" s="38"/>
      <c r="O645" s="50"/>
      <c r="P645" s="218"/>
      <c r="Q645" s="50"/>
      <c r="R645" s="50"/>
      <c r="S645" s="38"/>
      <c r="T645" s="51"/>
      <c r="U645" s="65"/>
      <c r="V645" s="105"/>
      <c r="W645" s="66"/>
      <c r="X645" s="66"/>
      <c r="Y645" s="38"/>
      <c r="Z645" s="66">
        <f t="shared" ref="Z645:Z708" si="307">IF(Y645="Stage 1",X645,IF(Y645="Stage 2",W645,O645))</f>
        <v>0</v>
      </c>
      <c r="AC645" s="41" t="e">
        <f>VLOOKUP(A645,'Input Sheet'!$A$2:$B$232,2,0)</f>
        <v>#N/A</v>
      </c>
      <c r="AD645" s="70"/>
    </row>
    <row r="646" spans="1:30" x14ac:dyDescent="0.2">
      <c r="A646" s="38" t="str">
        <f t="shared" si="306"/>
        <v xml:space="preserve"> </v>
      </c>
      <c r="B646" s="108"/>
      <c r="C646" s="38"/>
      <c r="D646" s="137"/>
      <c r="E646" s="137"/>
      <c r="F646" s="137"/>
      <c r="G646" s="122"/>
      <c r="H646" s="137"/>
      <c r="I646" s="50"/>
      <c r="J646" s="50"/>
      <c r="K646" s="50"/>
      <c r="L646" s="38"/>
      <c r="M646" s="38"/>
      <c r="N646" s="38"/>
      <c r="O646" s="50"/>
      <c r="P646" s="218"/>
      <c r="Q646" s="50"/>
      <c r="R646" s="50"/>
      <c r="S646" s="38"/>
      <c r="T646" s="51"/>
      <c r="U646" s="65"/>
      <c r="V646" s="105"/>
      <c r="W646" s="66"/>
      <c r="X646" s="66"/>
      <c r="Y646" s="38"/>
      <c r="Z646" s="66">
        <f t="shared" si="307"/>
        <v>0</v>
      </c>
      <c r="AC646" s="41" t="e">
        <f>VLOOKUP(A646,'Input Sheet'!$A$2:$B$232,2,0)</f>
        <v>#N/A</v>
      </c>
      <c r="AD646" s="70"/>
    </row>
    <row r="647" spans="1:30" x14ac:dyDescent="0.2">
      <c r="A647" s="38" t="str">
        <f t="shared" si="306"/>
        <v xml:space="preserve"> </v>
      </c>
      <c r="B647" s="108"/>
      <c r="C647" s="38"/>
      <c r="D647" s="137"/>
      <c r="E647" s="137"/>
      <c r="F647" s="137"/>
      <c r="G647" s="122"/>
      <c r="H647" s="137"/>
      <c r="I647" s="50"/>
      <c r="J647" s="50"/>
      <c r="K647" s="50"/>
      <c r="L647" s="38"/>
      <c r="M647" s="38"/>
      <c r="N647" s="38"/>
      <c r="O647" s="50"/>
      <c r="P647" s="218"/>
      <c r="Q647" s="50"/>
      <c r="R647" s="50"/>
      <c r="S647" s="38"/>
      <c r="T647" s="51"/>
      <c r="U647" s="65"/>
      <c r="V647" s="105"/>
      <c r="W647" s="66"/>
      <c r="X647" s="66"/>
      <c r="Y647" s="38"/>
      <c r="Z647" s="66">
        <f t="shared" si="307"/>
        <v>0</v>
      </c>
      <c r="AC647" s="41" t="e">
        <f>VLOOKUP(A647,'Input Sheet'!$A$2:$B$232,2,0)</f>
        <v>#N/A</v>
      </c>
      <c r="AD647" s="70"/>
    </row>
    <row r="648" spans="1:30" x14ac:dyDescent="0.2">
      <c r="A648" s="38" t="str">
        <f t="shared" si="306"/>
        <v xml:space="preserve"> </v>
      </c>
      <c r="B648" s="108"/>
      <c r="C648" s="38"/>
      <c r="D648" s="137"/>
      <c r="E648" s="137"/>
      <c r="F648" s="137"/>
      <c r="G648" s="122"/>
      <c r="H648" s="137"/>
      <c r="I648" s="50"/>
      <c r="J648" s="50"/>
      <c r="K648" s="50"/>
      <c r="L648" s="38"/>
      <c r="M648" s="38"/>
      <c r="N648" s="38"/>
      <c r="O648" s="50"/>
      <c r="P648" s="218"/>
      <c r="Q648" s="50"/>
      <c r="R648" s="50"/>
      <c r="S648" s="38"/>
      <c r="T648" s="51"/>
      <c r="U648" s="65"/>
      <c r="V648" s="105"/>
      <c r="W648" s="66"/>
      <c r="X648" s="66"/>
      <c r="Y648" s="38"/>
      <c r="Z648" s="66">
        <f t="shared" si="307"/>
        <v>0</v>
      </c>
      <c r="AC648" s="41" t="e">
        <f>VLOOKUP(A648,'Input Sheet'!$A$2:$B$232,2,0)</f>
        <v>#N/A</v>
      </c>
      <c r="AD648" s="70"/>
    </row>
    <row r="649" spans="1:30" x14ac:dyDescent="0.2">
      <c r="A649" s="38" t="str">
        <f t="shared" si="306"/>
        <v xml:space="preserve"> </v>
      </c>
      <c r="B649" s="108"/>
      <c r="C649" s="38"/>
      <c r="D649" s="137"/>
      <c r="E649" s="137"/>
      <c r="F649" s="137"/>
      <c r="G649" s="122"/>
      <c r="H649" s="137"/>
      <c r="I649" s="50"/>
      <c r="J649" s="50"/>
      <c r="K649" s="50"/>
      <c r="L649" s="38"/>
      <c r="M649" s="38"/>
      <c r="N649" s="38"/>
      <c r="O649" s="50"/>
      <c r="P649" s="218"/>
      <c r="Q649" s="50"/>
      <c r="R649" s="50"/>
      <c r="S649" s="38"/>
      <c r="T649" s="51"/>
      <c r="U649" s="65"/>
      <c r="V649" s="105"/>
      <c r="W649" s="66"/>
      <c r="X649" s="66"/>
      <c r="Y649" s="38"/>
      <c r="Z649" s="66">
        <f t="shared" si="307"/>
        <v>0</v>
      </c>
      <c r="AC649" s="41" t="e">
        <f>VLOOKUP(A649,'Input Sheet'!$A$2:$B$232,2,0)</f>
        <v>#N/A</v>
      </c>
      <c r="AD649" s="70"/>
    </row>
    <row r="650" spans="1:30" x14ac:dyDescent="0.2">
      <c r="A650" s="38" t="str">
        <f t="shared" ref="A650:A713" si="308">IF(B650=0," ",A649+1)</f>
        <v xml:space="preserve"> </v>
      </c>
      <c r="B650" s="108"/>
      <c r="C650" s="38"/>
      <c r="D650" s="137"/>
      <c r="E650" s="137"/>
      <c r="F650" s="137"/>
      <c r="G650" s="122"/>
      <c r="H650" s="137"/>
      <c r="I650" s="50"/>
      <c r="J650" s="50"/>
      <c r="K650" s="50"/>
      <c r="L650" s="38"/>
      <c r="M650" s="38"/>
      <c r="N650" s="38"/>
      <c r="O650" s="50"/>
      <c r="P650" s="218"/>
      <c r="Q650" s="50"/>
      <c r="R650" s="50"/>
      <c r="S650" s="38"/>
      <c r="T650" s="51"/>
      <c r="U650" s="65"/>
      <c r="V650" s="105"/>
      <c r="W650" s="66"/>
      <c r="X650" s="66"/>
      <c r="Y650" s="38"/>
      <c r="Z650" s="66">
        <f t="shared" si="307"/>
        <v>0</v>
      </c>
      <c r="AC650" s="41" t="e">
        <f>VLOOKUP(A650,'Input Sheet'!$A$2:$B$232,2,0)</f>
        <v>#N/A</v>
      </c>
      <c r="AD650" s="70"/>
    </row>
    <row r="651" spans="1:30" x14ac:dyDescent="0.2">
      <c r="A651" s="38" t="str">
        <f t="shared" si="308"/>
        <v xml:space="preserve"> </v>
      </c>
      <c r="B651" s="108"/>
      <c r="C651" s="38"/>
      <c r="D651" s="137"/>
      <c r="E651" s="137"/>
      <c r="F651" s="137"/>
      <c r="G651" s="122"/>
      <c r="H651" s="137"/>
      <c r="I651" s="50"/>
      <c r="J651" s="50"/>
      <c r="K651" s="50"/>
      <c r="L651" s="38"/>
      <c r="M651" s="38"/>
      <c r="N651" s="38"/>
      <c r="O651" s="50"/>
      <c r="P651" s="218"/>
      <c r="Q651" s="50"/>
      <c r="R651" s="50"/>
      <c r="S651" s="38"/>
      <c r="T651" s="51"/>
      <c r="U651" s="65"/>
      <c r="V651" s="105"/>
      <c r="W651" s="66"/>
      <c r="X651" s="66"/>
      <c r="Y651" s="38"/>
      <c r="Z651" s="66">
        <f t="shared" si="307"/>
        <v>0</v>
      </c>
      <c r="AC651" s="41" t="e">
        <f>VLOOKUP(A651,'Input Sheet'!$A$2:$B$232,2,0)</f>
        <v>#N/A</v>
      </c>
      <c r="AD651" s="70"/>
    </row>
    <row r="652" spans="1:30" x14ac:dyDescent="0.2">
      <c r="A652" s="38" t="str">
        <f t="shared" si="308"/>
        <v xml:space="preserve"> </v>
      </c>
      <c r="B652" s="108"/>
      <c r="C652" s="38"/>
      <c r="D652" s="137"/>
      <c r="E652" s="137"/>
      <c r="F652" s="137"/>
      <c r="G652" s="122"/>
      <c r="H652" s="137"/>
      <c r="I652" s="50"/>
      <c r="J652" s="50"/>
      <c r="K652" s="50"/>
      <c r="L652" s="38"/>
      <c r="M652" s="38"/>
      <c r="N652" s="38"/>
      <c r="O652" s="50"/>
      <c r="P652" s="218"/>
      <c r="Q652" s="50"/>
      <c r="R652" s="50"/>
      <c r="S652" s="38"/>
      <c r="T652" s="51"/>
      <c r="U652" s="65"/>
      <c r="V652" s="105"/>
      <c r="W652" s="66"/>
      <c r="X652" s="66"/>
      <c r="Y652" s="38"/>
      <c r="Z652" s="66">
        <f t="shared" si="307"/>
        <v>0</v>
      </c>
      <c r="AC652" s="41" t="e">
        <f>VLOOKUP(A652,'Input Sheet'!$A$2:$B$232,2,0)</f>
        <v>#N/A</v>
      </c>
      <c r="AD652" s="70"/>
    </row>
    <row r="653" spans="1:30" x14ac:dyDescent="0.2">
      <c r="A653" s="38" t="str">
        <f t="shared" si="308"/>
        <v xml:space="preserve"> </v>
      </c>
      <c r="B653" s="108"/>
      <c r="C653" s="38"/>
      <c r="D653" s="137"/>
      <c r="E653" s="137"/>
      <c r="F653" s="137"/>
      <c r="G653" s="122"/>
      <c r="H653" s="137"/>
      <c r="I653" s="50"/>
      <c r="J653" s="50"/>
      <c r="K653" s="50"/>
      <c r="L653" s="38"/>
      <c r="M653" s="38"/>
      <c r="N653" s="38"/>
      <c r="O653" s="50"/>
      <c r="P653" s="218"/>
      <c r="Q653" s="50"/>
      <c r="R653" s="50"/>
      <c r="S653" s="38"/>
      <c r="T653" s="51"/>
      <c r="U653" s="65"/>
      <c r="V653" s="105"/>
      <c r="W653" s="66"/>
      <c r="X653" s="66"/>
      <c r="Y653" s="38"/>
      <c r="Z653" s="66">
        <f t="shared" si="307"/>
        <v>0</v>
      </c>
      <c r="AC653" s="41" t="e">
        <f>VLOOKUP(A653,'Input Sheet'!$A$2:$B$232,2,0)</f>
        <v>#N/A</v>
      </c>
      <c r="AD653" s="70"/>
    </row>
    <row r="654" spans="1:30" x14ac:dyDescent="0.2">
      <c r="A654" s="38" t="str">
        <f t="shared" si="308"/>
        <v xml:space="preserve"> </v>
      </c>
      <c r="B654" s="108"/>
      <c r="C654" s="38"/>
      <c r="D654" s="137"/>
      <c r="E654" s="137"/>
      <c r="F654" s="137"/>
      <c r="G654" s="122"/>
      <c r="H654" s="137"/>
      <c r="I654" s="50"/>
      <c r="J654" s="50"/>
      <c r="K654" s="50"/>
      <c r="L654" s="38"/>
      <c r="M654" s="38"/>
      <c r="N654" s="38"/>
      <c r="O654" s="50"/>
      <c r="P654" s="218"/>
      <c r="Q654" s="50"/>
      <c r="R654" s="50"/>
      <c r="S654" s="38"/>
      <c r="T654" s="51"/>
      <c r="U654" s="65"/>
      <c r="V654" s="105"/>
      <c r="W654" s="66"/>
      <c r="X654" s="66"/>
      <c r="Y654" s="38"/>
      <c r="Z654" s="66">
        <f t="shared" si="307"/>
        <v>0</v>
      </c>
      <c r="AC654" s="41" t="e">
        <f>VLOOKUP(A654,'Input Sheet'!$A$2:$B$232,2,0)</f>
        <v>#N/A</v>
      </c>
      <c r="AD654" s="70"/>
    </row>
    <row r="655" spans="1:30" x14ac:dyDescent="0.2">
      <c r="A655" s="38" t="str">
        <f t="shared" si="308"/>
        <v xml:space="preserve"> </v>
      </c>
      <c r="B655" s="108"/>
      <c r="C655" s="38"/>
      <c r="D655" s="137"/>
      <c r="E655" s="137"/>
      <c r="F655" s="137"/>
      <c r="G655" s="122"/>
      <c r="H655" s="137"/>
      <c r="I655" s="50"/>
      <c r="J655" s="50"/>
      <c r="K655" s="50"/>
      <c r="L655" s="38"/>
      <c r="M655" s="38"/>
      <c r="N655" s="38"/>
      <c r="O655" s="50"/>
      <c r="P655" s="218"/>
      <c r="Q655" s="50"/>
      <c r="R655" s="50"/>
      <c r="S655" s="38"/>
      <c r="T655" s="51"/>
      <c r="U655" s="65"/>
      <c r="V655" s="105"/>
      <c r="W655" s="66"/>
      <c r="X655" s="66"/>
      <c r="Y655" s="38"/>
      <c r="Z655" s="66">
        <f t="shared" si="307"/>
        <v>0</v>
      </c>
      <c r="AC655" s="41" t="e">
        <f>VLOOKUP(A655,'Input Sheet'!$A$2:$B$232,2,0)</f>
        <v>#N/A</v>
      </c>
      <c r="AD655" s="70"/>
    </row>
    <row r="656" spans="1:30" x14ac:dyDescent="0.2">
      <c r="A656" s="38" t="str">
        <f t="shared" si="308"/>
        <v xml:space="preserve"> </v>
      </c>
      <c r="B656" s="108"/>
      <c r="C656" s="38"/>
      <c r="D656" s="137"/>
      <c r="E656" s="137"/>
      <c r="F656" s="137"/>
      <c r="G656" s="122"/>
      <c r="H656" s="137"/>
      <c r="I656" s="50"/>
      <c r="J656" s="50"/>
      <c r="K656" s="50"/>
      <c r="L656" s="38"/>
      <c r="M656" s="38"/>
      <c r="N656" s="38"/>
      <c r="O656" s="50"/>
      <c r="P656" s="218"/>
      <c r="Q656" s="50"/>
      <c r="R656" s="50"/>
      <c r="S656" s="38"/>
      <c r="T656" s="51"/>
      <c r="U656" s="65"/>
      <c r="V656" s="105"/>
      <c r="W656" s="66"/>
      <c r="X656" s="66"/>
      <c r="Y656" s="38"/>
      <c r="Z656" s="66">
        <f t="shared" si="307"/>
        <v>0</v>
      </c>
      <c r="AC656" s="41" t="e">
        <f>VLOOKUP(A656,'Input Sheet'!$A$2:$B$232,2,0)</f>
        <v>#N/A</v>
      </c>
      <c r="AD656" s="70"/>
    </row>
    <row r="657" spans="1:30" x14ac:dyDescent="0.2">
      <c r="A657" s="38" t="str">
        <f t="shared" si="308"/>
        <v xml:space="preserve"> </v>
      </c>
      <c r="B657" s="108"/>
      <c r="C657" s="38"/>
      <c r="D657" s="137"/>
      <c r="E657" s="137"/>
      <c r="F657" s="137"/>
      <c r="G657" s="122"/>
      <c r="H657" s="137"/>
      <c r="I657" s="50"/>
      <c r="J657" s="50"/>
      <c r="K657" s="50"/>
      <c r="L657" s="38"/>
      <c r="M657" s="38"/>
      <c r="N657" s="38"/>
      <c r="O657" s="50"/>
      <c r="P657" s="218"/>
      <c r="Q657" s="50"/>
      <c r="R657" s="50"/>
      <c r="S657" s="38"/>
      <c r="T657" s="51"/>
      <c r="U657" s="65"/>
      <c r="V657" s="105"/>
      <c r="W657" s="66"/>
      <c r="X657" s="66"/>
      <c r="Y657" s="38"/>
      <c r="Z657" s="66">
        <f t="shared" si="307"/>
        <v>0</v>
      </c>
      <c r="AC657" s="41" t="e">
        <f>VLOOKUP(A657,'Input Sheet'!$A$2:$B$232,2,0)</f>
        <v>#N/A</v>
      </c>
      <c r="AD657" s="70"/>
    </row>
    <row r="658" spans="1:30" x14ac:dyDescent="0.2">
      <c r="A658" s="38" t="str">
        <f t="shared" si="308"/>
        <v xml:space="preserve"> </v>
      </c>
      <c r="B658" s="108"/>
      <c r="C658" s="38"/>
      <c r="D658" s="137"/>
      <c r="E658" s="137"/>
      <c r="F658" s="137"/>
      <c r="G658" s="122"/>
      <c r="H658" s="137"/>
      <c r="I658" s="50"/>
      <c r="J658" s="50"/>
      <c r="K658" s="50"/>
      <c r="L658" s="38"/>
      <c r="M658" s="38"/>
      <c r="N658" s="38"/>
      <c r="O658" s="50"/>
      <c r="P658" s="218"/>
      <c r="Q658" s="50"/>
      <c r="R658" s="50"/>
      <c r="S658" s="38"/>
      <c r="T658" s="51"/>
      <c r="U658" s="65"/>
      <c r="V658" s="105"/>
      <c r="W658" s="66"/>
      <c r="X658" s="66"/>
      <c r="Y658" s="38"/>
      <c r="Z658" s="66">
        <f t="shared" si="307"/>
        <v>0</v>
      </c>
      <c r="AC658" s="41" t="e">
        <f>VLOOKUP(A658,'Input Sheet'!$A$2:$B$232,2,0)</f>
        <v>#N/A</v>
      </c>
      <c r="AD658" s="70"/>
    </row>
    <row r="659" spans="1:30" x14ac:dyDescent="0.2">
      <c r="A659" s="38" t="str">
        <f t="shared" si="308"/>
        <v xml:space="preserve"> </v>
      </c>
      <c r="B659" s="108"/>
      <c r="C659" s="38"/>
      <c r="D659" s="137"/>
      <c r="E659" s="137"/>
      <c r="F659" s="137"/>
      <c r="G659" s="122"/>
      <c r="H659" s="137"/>
      <c r="I659" s="50"/>
      <c r="J659" s="50"/>
      <c r="K659" s="50"/>
      <c r="L659" s="38"/>
      <c r="M659" s="38"/>
      <c r="N659" s="38"/>
      <c r="O659" s="50"/>
      <c r="P659" s="218"/>
      <c r="Q659" s="50"/>
      <c r="R659" s="50"/>
      <c r="S659" s="38"/>
      <c r="T659" s="51"/>
      <c r="U659" s="65"/>
      <c r="V659" s="105"/>
      <c r="W659" s="66"/>
      <c r="X659" s="66"/>
      <c r="Y659" s="38"/>
      <c r="Z659" s="66">
        <f t="shared" si="307"/>
        <v>0</v>
      </c>
      <c r="AC659" s="41" t="e">
        <f>VLOOKUP(A659,'Input Sheet'!$A$2:$B$232,2,0)</f>
        <v>#N/A</v>
      </c>
      <c r="AD659" s="70"/>
    </row>
    <row r="660" spans="1:30" x14ac:dyDescent="0.2">
      <c r="A660" s="38" t="str">
        <f t="shared" si="308"/>
        <v xml:space="preserve"> </v>
      </c>
      <c r="B660" s="108"/>
      <c r="C660" s="38"/>
      <c r="D660" s="137"/>
      <c r="E660" s="137"/>
      <c r="F660" s="137"/>
      <c r="G660" s="122"/>
      <c r="H660" s="137"/>
      <c r="I660" s="50"/>
      <c r="J660" s="50"/>
      <c r="K660" s="50"/>
      <c r="L660" s="38"/>
      <c r="M660" s="38"/>
      <c r="N660" s="38"/>
      <c r="O660" s="50"/>
      <c r="P660" s="218"/>
      <c r="Q660" s="50"/>
      <c r="R660" s="50"/>
      <c r="S660" s="38"/>
      <c r="T660" s="51"/>
      <c r="U660" s="65"/>
      <c r="V660" s="105"/>
      <c r="W660" s="66"/>
      <c r="X660" s="66"/>
      <c r="Y660" s="38"/>
      <c r="Z660" s="66">
        <f t="shared" si="307"/>
        <v>0</v>
      </c>
      <c r="AC660" s="41" t="e">
        <f>VLOOKUP(A660,'Input Sheet'!$A$2:$B$232,2,0)</f>
        <v>#N/A</v>
      </c>
      <c r="AD660" s="70"/>
    </row>
    <row r="661" spans="1:30" x14ac:dyDescent="0.2">
      <c r="A661" s="38" t="str">
        <f t="shared" si="308"/>
        <v xml:space="preserve"> </v>
      </c>
      <c r="B661" s="108"/>
      <c r="C661" s="38"/>
      <c r="D661" s="137"/>
      <c r="E661" s="137"/>
      <c r="F661" s="137"/>
      <c r="G661" s="122"/>
      <c r="H661" s="137"/>
      <c r="I661" s="50"/>
      <c r="J661" s="50"/>
      <c r="K661" s="50"/>
      <c r="L661" s="38"/>
      <c r="M661" s="38"/>
      <c r="N661" s="38"/>
      <c r="O661" s="50"/>
      <c r="P661" s="218"/>
      <c r="Q661" s="50"/>
      <c r="R661" s="50"/>
      <c r="S661" s="38"/>
      <c r="T661" s="51"/>
      <c r="U661" s="65"/>
      <c r="V661" s="105"/>
      <c r="W661" s="66"/>
      <c r="X661" s="66"/>
      <c r="Y661" s="38"/>
      <c r="Z661" s="66">
        <f t="shared" si="307"/>
        <v>0</v>
      </c>
      <c r="AC661" s="41" t="e">
        <f>VLOOKUP(A661,'Input Sheet'!$A$2:$B$232,2,0)</f>
        <v>#N/A</v>
      </c>
      <c r="AD661" s="70"/>
    </row>
    <row r="662" spans="1:30" x14ac:dyDescent="0.2">
      <c r="A662" s="38" t="str">
        <f t="shared" si="308"/>
        <v xml:space="preserve"> </v>
      </c>
      <c r="B662" s="108"/>
      <c r="C662" s="38"/>
      <c r="D662" s="137"/>
      <c r="E662" s="137"/>
      <c r="F662" s="137"/>
      <c r="G662" s="122"/>
      <c r="H662" s="137"/>
      <c r="I662" s="50"/>
      <c r="J662" s="50"/>
      <c r="K662" s="50"/>
      <c r="L662" s="38"/>
      <c r="M662" s="38"/>
      <c r="N662" s="38"/>
      <c r="O662" s="50"/>
      <c r="P662" s="218"/>
      <c r="Q662" s="50"/>
      <c r="R662" s="50"/>
      <c r="S662" s="38"/>
      <c r="T662" s="51"/>
      <c r="U662" s="65"/>
      <c r="V662" s="105"/>
      <c r="W662" s="66"/>
      <c r="X662" s="66"/>
      <c r="Y662" s="38"/>
      <c r="Z662" s="66">
        <f t="shared" si="307"/>
        <v>0</v>
      </c>
      <c r="AC662" s="41" t="e">
        <f>VLOOKUP(A662,'Input Sheet'!$A$2:$B$232,2,0)</f>
        <v>#N/A</v>
      </c>
      <c r="AD662" s="70"/>
    </row>
    <row r="663" spans="1:30" x14ac:dyDescent="0.2">
      <c r="A663" s="38" t="str">
        <f t="shared" si="308"/>
        <v xml:space="preserve"> </v>
      </c>
      <c r="B663" s="108"/>
      <c r="C663" s="38"/>
      <c r="D663" s="137"/>
      <c r="E663" s="137"/>
      <c r="F663" s="137"/>
      <c r="G663" s="122"/>
      <c r="H663" s="137"/>
      <c r="I663" s="50"/>
      <c r="J663" s="50"/>
      <c r="K663" s="50"/>
      <c r="L663" s="38"/>
      <c r="M663" s="38"/>
      <c r="N663" s="38"/>
      <c r="O663" s="50"/>
      <c r="P663" s="218"/>
      <c r="Q663" s="50"/>
      <c r="R663" s="50"/>
      <c r="S663" s="38"/>
      <c r="T663" s="51"/>
      <c r="U663" s="65"/>
      <c r="V663" s="105"/>
      <c r="W663" s="66"/>
      <c r="X663" s="66"/>
      <c r="Y663" s="38"/>
      <c r="Z663" s="66">
        <f t="shared" si="307"/>
        <v>0</v>
      </c>
      <c r="AC663" s="41" t="e">
        <f>VLOOKUP(A663,'Input Sheet'!$A$2:$B$232,2,0)</f>
        <v>#N/A</v>
      </c>
      <c r="AD663" s="70"/>
    </row>
    <row r="664" spans="1:30" x14ac:dyDescent="0.2">
      <c r="A664" s="38" t="str">
        <f t="shared" si="308"/>
        <v xml:space="preserve"> </v>
      </c>
      <c r="B664" s="108"/>
      <c r="C664" s="38"/>
      <c r="D664" s="137"/>
      <c r="E664" s="137"/>
      <c r="F664" s="137"/>
      <c r="G664" s="122"/>
      <c r="H664" s="137"/>
      <c r="I664" s="50"/>
      <c r="J664" s="50"/>
      <c r="K664" s="50"/>
      <c r="L664" s="38"/>
      <c r="M664" s="38"/>
      <c r="N664" s="38"/>
      <c r="O664" s="50"/>
      <c r="P664" s="218"/>
      <c r="Q664" s="50"/>
      <c r="R664" s="50"/>
      <c r="S664" s="38"/>
      <c r="T664" s="51"/>
      <c r="U664" s="65"/>
      <c r="V664" s="105"/>
      <c r="W664" s="66"/>
      <c r="X664" s="66"/>
      <c r="Y664" s="38"/>
      <c r="Z664" s="66">
        <f t="shared" si="307"/>
        <v>0</v>
      </c>
      <c r="AC664" s="41" t="e">
        <f>VLOOKUP(A664,'Input Sheet'!$A$2:$B$232,2,0)</f>
        <v>#N/A</v>
      </c>
      <c r="AD664" s="70"/>
    </row>
    <row r="665" spans="1:30" x14ac:dyDescent="0.2">
      <c r="A665" s="38" t="str">
        <f t="shared" si="308"/>
        <v xml:space="preserve"> </v>
      </c>
      <c r="B665" s="108"/>
      <c r="C665" s="38"/>
      <c r="D665" s="137"/>
      <c r="E665" s="137"/>
      <c r="F665" s="137"/>
      <c r="G665" s="122"/>
      <c r="H665" s="137"/>
      <c r="I665" s="50"/>
      <c r="J665" s="50"/>
      <c r="K665" s="50"/>
      <c r="L665" s="38"/>
      <c r="M665" s="38"/>
      <c r="N665" s="38"/>
      <c r="O665" s="50"/>
      <c r="P665" s="218"/>
      <c r="Q665" s="50"/>
      <c r="R665" s="50"/>
      <c r="S665" s="38"/>
      <c r="T665" s="51"/>
      <c r="U665" s="65"/>
      <c r="V665" s="105"/>
      <c r="W665" s="66"/>
      <c r="X665" s="66"/>
      <c r="Y665" s="38"/>
      <c r="Z665" s="66">
        <f t="shared" si="307"/>
        <v>0</v>
      </c>
      <c r="AC665" s="41" t="e">
        <f>VLOOKUP(A665,'Input Sheet'!$A$2:$B$232,2,0)</f>
        <v>#N/A</v>
      </c>
      <c r="AD665" s="70"/>
    </row>
    <row r="666" spans="1:30" x14ac:dyDescent="0.2">
      <c r="A666" s="38" t="str">
        <f t="shared" si="308"/>
        <v xml:space="preserve"> </v>
      </c>
      <c r="B666" s="108"/>
      <c r="C666" s="38"/>
      <c r="D666" s="137"/>
      <c r="E666" s="137"/>
      <c r="F666" s="137"/>
      <c r="G666" s="122"/>
      <c r="H666" s="137"/>
      <c r="I666" s="50"/>
      <c r="J666" s="50"/>
      <c r="K666" s="50"/>
      <c r="L666" s="38"/>
      <c r="M666" s="38"/>
      <c r="N666" s="38"/>
      <c r="O666" s="50"/>
      <c r="P666" s="218"/>
      <c r="Q666" s="50"/>
      <c r="R666" s="50"/>
      <c r="S666" s="38"/>
      <c r="T666" s="51"/>
      <c r="U666" s="65"/>
      <c r="V666" s="105"/>
      <c r="W666" s="66"/>
      <c r="X666" s="66"/>
      <c r="Y666" s="38"/>
      <c r="Z666" s="66">
        <f t="shared" si="307"/>
        <v>0</v>
      </c>
      <c r="AC666" s="41" t="e">
        <f>VLOOKUP(A666,'Input Sheet'!$A$2:$B$232,2,0)</f>
        <v>#N/A</v>
      </c>
      <c r="AD666" s="70"/>
    </row>
    <row r="667" spans="1:30" x14ac:dyDescent="0.2">
      <c r="A667" s="38" t="str">
        <f t="shared" si="308"/>
        <v xml:space="preserve"> </v>
      </c>
      <c r="B667" s="108"/>
      <c r="C667" s="38"/>
      <c r="D667" s="137"/>
      <c r="E667" s="137"/>
      <c r="F667" s="137"/>
      <c r="G667" s="122"/>
      <c r="H667" s="137"/>
      <c r="I667" s="50"/>
      <c r="J667" s="50"/>
      <c r="K667" s="50"/>
      <c r="L667" s="38"/>
      <c r="M667" s="38"/>
      <c r="N667" s="38"/>
      <c r="O667" s="50"/>
      <c r="P667" s="218"/>
      <c r="Q667" s="50"/>
      <c r="R667" s="50"/>
      <c r="S667" s="38"/>
      <c r="T667" s="51"/>
      <c r="U667" s="65"/>
      <c r="V667" s="105"/>
      <c r="W667" s="66"/>
      <c r="X667" s="66"/>
      <c r="Y667" s="38"/>
      <c r="Z667" s="66">
        <f t="shared" si="307"/>
        <v>0</v>
      </c>
      <c r="AC667" s="41" t="e">
        <f>VLOOKUP(A667,'Input Sheet'!$A$2:$B$232,2,0)</f>
        <v>#N/A</v>
      </c>
      <c r="AD667" s="70"/>
    </row>
    <row r="668" spans="1:30" x14ac:dyDescent="0.2">
      <c r="A668" s="38" t="str">
        <f t="shared" si="308"/>
        <v xml:space="preserve"> </v>
      </c>
      <c r="B668" s="108"/>
      <c r="C668" s="38"/>
      <c r="D668" s="137"/>
      <c r="E668" s="137"/>
      <c r="F668" s="137"/>
      <c r="G668" s="122"/>
      <c r="H668" s="137"/>
      <c r="I668" s="50"/>
      <c r="J668" s="50"/>
      <c r="K668" s="50"/>
      <c r="L668" s="38"/>
      <c r="M668" s="38"/>
      <c r="N668" s="38"/>
      <c r="O668" s="50"/>
      <c r="P668" s="218"/>
      <c r="Q668" s="50"/>
      <c r="R668" s="50"/>
      <c r="S668" s="38"/>
      <c r="T668" s="51"/>
      <c r="U668" s="65"/>
      <c r="V668" s="105"/>
      <c r="W668" s="66"/>
      <c r="X668" s="66"/>
      <c r="Y668" s="38"/>
      <c r="Z668" s="66">
        <f t="shared" si="307"/>
        <v>0</v>
      </c>
      <c r="AC668" s="41" t="e">
        <f>VLOOKUP(A668,'Input Sheet'!$A$2:$B$232,2,0)</f>
        <v>#N/A</v>
      </c>
      <c r="AD668" s="70"/>
    </row>
    <row r="669" spans="1:30" x14ac:dyDescent="0.2">
      <c r="A669" s="38" t="str">
        <f t="shared" si="308"/>
        <v xml:space="preserve"> </v>
      </c>
      <c r="B669" s="108"/>
      <c r="C669" s="38"/>
      <c r="D669" s="137"/>
      <c r="E669" s="137"/>
      <c r="F669" s="137"/>
      <c r="G669" s="122"/>
      <c r="H669" s="137"/>
      <c r="I669" s="50"/>
      <c r="J669" s="50"/>
      <c r="K669" s="50"/>
      <c r="L669" s="38"/>
      <c r="M669" s="38"/>
      <c r="N669" s="38"/>
      <c r="O669" s="50"/>
      <c r="P669" s="218"/>
      <c r="Q669" s="50"/>
      <c r="R669" s="50"/>
      <c r="S669" s="38"/>
      <c r="T669" s="51"/>
      <c r="U669" s="65"/>
      <c r="V669" s="105"/>
      <c r="W669" s="66"/>
      <c r="X669" s="66"/>
      <c r="Y669" s="38"/>
      <c r="Z669" s="66">
        <f t="shared" si="307"/>
        <v>0</v>
      </c>
      <c r="AC669" s="41" t="e">
        <f>VLOOKUP(A669,'Input Sheet'!$A$2:$B$232,2,0)</f>
        <v>#N/A</v>
      </c>
      <c r="AD669" s="70"/>
    </row>
    <row r="670" spans="1:30" x14ac:dyDescent="0.2">
      <c r="A670" s="38" t="str">
        <f t="shared" si="308"/>
        <v xml:space="preserve"> </v>
      </c>
      <c r="B670" s="108"/>
      <c r="C670" s="38"/>
      <c r="D670" s="137"/>
      <c r="E670" s="137"/>
      <c r="F670" s="137"/>
      <c r="G670" s="122"/>
      <c r="H670" s="137"/>
      <c r="I670" s="50"/>
      <c r="J670" s="50"/>
      <c r="K670" s="50"/>
      <c r="L670" s="38"/>
      <c r="M670" s="38"/>
      <c r="N670" s="38"/>
      <c r="O670" s="50"/>
      <c r="P670" s="218"/>
      <c r="Q670" s="50"/>
      <c r="R670" s="50"/>
      <c r="S670" s="38"/>
      <c r="T670" s="51"/>
      <c r="U670" s="65"/>
      <c r="V670" s="105"/>
      <c r="W670" s="66"/>
      <c r="X670" s="66"/>
      <c r="Y670" s="38"/>
      <c r="Z670" s="66">
        <f t="shared" si="307"/>
        <v>0</v>
      </c>
      <c r="AC670" s="41" t="e">
        <f>VLOOKUP(A670,'Input Sheet'!$A$2:$B$232,2,0)</f>
        <v>#N/A</v>
      </c>
      <c r="AD670" s="70"/>
    </row>
    <row r="671" spans="1:30" x14ac:dyDescent="0.2">
      <c r="A671" s="38" t="str">
        <f t="shared" si="308"/>
        <v xml:space="preserve"> </v>
      </c>
      <c r="B671" s="108"/>
      <c r="C671" s="38"/>
      <c r="D671" s="137"/>
      <c r="E671" s="137"/>
      <c r="F671" s="137"/>
      <c r="G671" s="122"/>
      <c r="H671" s="137"/>
      <c r="I671" s="50"/>
      <c r="J671" s="50"/>
      <c r="K671" s="50"/>
      <c r="L671" s="38"/>
      <c r="M671" s="38"/>
      <c r="N671" s="38"/>
      <c r="O671" s="50"/>
      <c r="P671" s="218"/>
      <c r="Q671" s="50"/>
      <c r="R671" s="50"/>
      <c r="S671" s="38"/>
      <c r="T671" s="51"/>
      <c r="U671" s="65"/>
      <c r="V671" s="105"/>
      <c r="W671" s="66"/>
      <c r="X671" s="66"/>
      <c r="Y671" s="38"/>
      <c r="Z671" s="66">
        <f t="shared" si="307"/>
        <v>0</v>
      </c>
      <c r="AC671" s="41" t="e">
        <f>VLOOKUP(A671,'Input Sheet'!$A$2:$B$232,2,0)</f>
        <v>#N/A</v>
      </c>
      <c r="AD671" s="70"/>
    </row>
    <row r="672" spans="1:30" x14ac:dyDescent="0.2">
      <c r="A672" s="38" t="str">
        <f t="shared" si="308"/>
        <v xml:space="preserve"> </v>
      </c>
      <c r="B672" s="108"/>
      <c r="C672" s="38"/>
      <c r="D672" s="137"/>
      <c r="E672" s="137"/>
      <c r="F672" s="137"/>
      <c r="G672" s="122"/>
      <c r="H672" s="137"/>
      <c r="I672" s="50"/>
      <c r="J672" s="50"/>
      <c r="K672" s="50"/>
      <c r="L672" s="38"/>
      <c r="M672" s="38"/>
      <c r="N672" s="38"/>
      <c r="O672" s="50"/>
      <c r="P672" s="218"/>
      <c r="Q672" s="50"/>
      <c r="R672" s="50"/>
      <c r="S672" s="38"/>
      <c r="T672" s="51"/>
      <c r="U672" s="65"/>
      <c r="V672" s="105"/>
      <c r="W672" s="66"/>
      <c r="X672" s="66"/>
      <c r="Y672" s="38"/>
      <c r="Z672" s="66">
        <f t="shared" si="307"/>
        <v>0</v>
      </c>
      <c r="AC672" s="41" t="e">
        <f>VLOOKUP(A672,'Input Sheet'!$A$2:$B$232,2,0)</f>
        <v>#N/A</v>
      </c>
      <c r="AD672" s="70"/>
    </row>
    <row r="673" spans="1:30" x14ac:dyDescent="0.2">
      <c r="A673" s="38" t="str">
        <f t="shared" si="308"/>
        <v xml:space="preserve"> </v>
      </c>
      <c r="B673" s="108"/>
      <c r="C673" s="38"/>
      <c r="D673" s="137"/>
      <c r="E673" s="137"/>
      <c r="F673" s="137"/>
      <c r="G673" s="122"/>
      <c r="H673" s="137"/>
      <c r="I673" s="50"/>
      <c r="J673" s="50"/>
      <c r="K673" s="50"/>
      <c r="L673" s="38"/>
      <c r="M673" s="38"/>
      <c r="N673" s="38"/>
      <c r="O673" s="50"/>
      <c r="P673" s="218"/>
      <c r="Q673" s="50"/>
      <c r="R673" s="50"/>
      <c r="S673" s="38"/>
      <c r="T673" s="51"/>
      <c r="U673" s="65"/>
      <c r="V673" s="105"/>
      <c r="W673" s="66"/>
      <c r="X673" s="66"/>
      <c r="Y673" s="38"/>
      <c r="Z673" s="66">
        <f t="shared" si="307"/>
        <v>0</v>
      </c>
      <c r="AC673" s="41" t="e">
        <f>VLOOKUP(A673,'Input Sheet'!$A$2:$B$232,2,0)</f>
        <v>#N/A</v>
      </c>
      <c r="AD673" s="70"/>
    </row>
    <row r="674" spans="1:30" x14ac:dyDescent="0.2">
      <c r="A674" s="38" t="str">
        <f t="shared" si="308"/>
        <v xml:space="preserve"> </v>
      </c>
      <c r="B674" s="108"/>
      <c r="C674" s="38"/>
      <c r="D674" s="137"/>
      <c r="E674" s="137"/>
      <c r="F674" s="137"/>
      <c r="G674" s="122"/>
      <c r="H674" s="137"/>
      <c r="I674" s="50"/>
      <c r="J674" s="50"/>
      <c r="K674" s="50"/>
      <c r="L674" s="38"/>
      <c r="M674" s="38"/>
      <c r="N674" s="38"/>
      <c r="O674" s="50"/>
      <c r="P674" s="218"/>
      <c r="Q674" s="50"/>
      <c r="R674" s="50"/>
      <c r="S674" s="38"/>
      <c r="T674" s="51"/>
      <c r="U674" s="65"/>
      <c r="V674" s="105"/>
      <c r="W674" s="66"/>
      <c r="X674" s="66"/>
      <c r="Y674" s="38"/>
      <c r="Z674" s="66">
        <f t="shared" si="307"/>
        <v>0</v>
      </c>
      <c r="AC674" s="41" t="e">
        <f>VLOOKUP(A674,'Input Sheet'!$A$2:$B$232,2,0)</f>
        <v>#N/A</v>
      </c>
      <c r="AD674" s="70"/>
    </row>
    <row r="675" spans="1:30" x14ac:dyDescent="0.2">
      <c r="A675" s="38" t="str">
        <f t="shared" si="308"/>
        <v xml:space="preserve"> </v>
      </c>
      <c r="B675" s="108"/>
      <c r="C675" s="38"/>
      <c r="D675" s="137"/>
      <c r="E675" s="137"/>
      <c r="F675" s="137"/>
      <c r="G675" s="122"/>
      <c r="H675" s="137"/>
      <c r="I675" s="50"/>
      <c r="J675" s="50"/>
      <c r="K675" s="50"/>
      <c r="L675" s="38"/>
      <c r="M675" s="38"/>
      <c r="N675" s="38"/>
      <c r="O675" s="50"/>
      <c r="P675" s="218"/>
      <c r="Q675" s="50"/>
      <c r="R675" s="50"/>
      <c r="S675" s="38"/>
      <c r="T675" s="51"/>
      <c r="U675" s="65"/>
      <c r="V675" s="105"/>
      <c r="W675" s="66"/>
      <c r="X675" s="66"/>
      <c r="Y675" s="38"/>
      <c r="Z675" s="66">
        <f t="shared" si="307"/>
        <v>0</v>
      </c>
      <c r="AC675" s="41" t="e">
        <f>VLOOKUP(A675,'Input Sheet'!$A$2:$B$232,2,0)</f>
        <v>#N/A</v>
      </c>
      <c r="AD675" s="70"/>
    </row>
    <row r="676" spans="1:30" x14ac:dyDescent="0.2">
      <c r="A676" s="38" t="str">
        <f t="shared" si="308"/>
        <v xml:space="preserve"> </v>
      </c>
      <c r="B676" s="108"/>
      <c r="C676" s="38"/>
      <c r="D676" s="137"/>
      <c r="E676" s="137"/>
      <c r="F676" s="137"/>
      <c r="G676" s="122"/>
      <c r="H676" s="137"/>
      <c r="I676" s="50"/>
      <c r="J676" s="50"/>
      <c r="K676" s="50"/>
      <c r="L676" s="38"/>
      <c r="M676" s="38"/>
      <c r="N676" s="38"/>
      <c r="O676" s="50"/>
      <c r="P676" s="218"/>
      <c r="Q676" s="50"/>
      <c r="R676" s="50"/>
      <c r="S676" s="38"/>
      <c r="T676" s="51"/>
      <c r="U676" s="65"/>
      <c r="V676" s="105"/>
      <c r="W676" s="66"/>
      <c r="X676" s="66"/>
      <c r="Y676" s="38"/>
      <c r="Z676" s="66">
        <f t="shared" si="307"/>
        <v>0</v>
      </c>
      <c r="AC676" s="41" t="e">
        <f>VLOOKUP(A676,'Input Sheet'!$A$2:$B$232,2,0)</f>
        <v>#N/A</v>
      </c>
      <c r="AD676" s="70"/>
    </row>
    <row r="677" spans="1:30" x14ac:dyDescent="0.2">
      <c r="A677" s="38" t="str">
        <f t="shared" si="308"/>
        <v xml:space="preserve"> </v>
      </c>
      <c r="B677" s="108"/>
      <c r="C677" s="38"/>
      <c r="D677" s="137"/>
      <c r="E677" s="137"/>
      <c r="F677" s="137"/>
      <c r="G677" s="122"/>
      <c r="H677" s="137"/>
      <c r="I677" s="50"/>
      <c r="J677" s="50"/>
      <c r="K677" s="50"/>
      <c r="L677" s="38"/>
      <c r="M677" s="38"/>
      <c r="N677" s="38"/>
      <c r="O677" s="50"/>
      <c r="P677" s="218"/>
      <c r="Q677" s="50"/>
      <c r="R677" s="50"/>
      <c r="S677" s="38"/>
      <c r="T677" s="51"/>
      <c r="U677" s="65"/>
      <c r="V677" s="105"/>
      <c r="W677" s="66"/>
      <c r="X677" s="66"/>
      <c r="Y677" s="38"/>
      <c r="Z677" s="66">
        <f t="shared" si="307"/>
        <v>0</v>
      </c>
      <c r="AC677" s="41" t="e">
        <f>VLOOKUP(A677,'Input Sheet'!$A$2:$B$232,2,0)</f>
        <v>#N/A</v>
      </c>
      <c r="AD677" s="70"/>
    </row>
    <row r="678" spans="1:30" x14ac:dyDescent="0.2">
      <c r="A678" s="38" t="str">
        <f t="shared" si="308"/>
        <v xml:space="preserve"> </v>
      </c>
      <c r="B678" s="108"/>
      <c r="C678" s="38"/>
      <c r="D678" s="137"/>
      <c r="E678" s="137"/>
      <c r="F678" s="137"/>
      <c r="G678" s="122"/>
      <c r="H678" s="137"/>
      <c r="I678" s="50"/>
      <c r="J678" s="50"/>
      <c r="K678" s="50"/>
      <c r="L678" s="38"/>
      <c r="M678" s="38"/>
      <c r="N678" s="38"/>
      <c r="O678" s="50"/>
      <c r="P678" s="218"/>
      <c r="Q678" s="50"/>
      <c r="R678" s="50"/>
      <c r="S678" s="38"/>
      <c r="T678" s="51"/>
      <c r="U678" s="65"/>
      <c r="V678" s="105"/>
      <c r="W678" s="66"/>
      <c r="X678" s="66"/>
      <c r="Y678" s="38"/>
      <c r="Z678" s="66">
        <f t="shared" si="307"/>
        <v>0</v>
      </c>
      <c r="AC678" s="41" t="e">
        <f>VLOOKUP(A678,'Input Sheet'!$A$2:$B$232,2,0)</f>
        <v>#N/A</v>
      </c>
      <c r="AD678" s="70"/>
    </row>
    <row r="679" spans="1:30" x14ac:dyDescent="0.2">
      <c r="A679" s="38" t="str">
        <f t="shared" si="308"/>
        <v xml:space="preserve"> </v>
      </c>
      <c r="B679" s="108"/>
      <c r="C679" s="38"/>
      <c r="D679" s="137"/>
      <c r="E679" s="137"/>
      <c r="F679" s="137"/>
      <c r="G679" s="122"/>
      <c r="H679" s="137"/>
      <c r="I679" s="50"/>
      <c r="J679" s="50"/>
      <c r="K679" s="50"/>
      <c r="L679" s="38"/>
      <c r="M679" s="38"/>
      <c r="N679" s="38"/>
      <c r="O679" s="50"/>
      <c r="P679" s="218"/>
      <c r="Q679" s="50"/>
      <c r="R679" s="50"/>
      <c r="S679" s="38"/>
      <c r="T679" s="51"/>
      <c r="U679" s="65"/>
      <c r="V679" s="105"/>
      <c r="W679" s="66"/>
      <c r="X679" s="66"/>
      <c r="Y679" s="38"/>
      <c r="Z679" s="66">
        <f t="shared" si="307"/>
        <v>0</v>
      </c>
      <c r="AC679" s="41" t="e">
        <f>VLOOKUP(A679,'Input Sheet'!$A$2:$B$232,2,0)</f>
        <v>#N/A</v>
      </c>
      <c r="AD679" s="70"/>
    </row>
    <row r="680" spans="1:30" x14ac:dyDescent="0.2">
      <c r="A680" s="38" t="str">
        <f t="shared" si="308"/>
        <v xml:space="preserve"> </v>
      </c>
      <c r="B680" s="108"/>
      <c r="C680" s="38"/>
      <c r="D680" s="137"/>
      <c r="E680" s="137"/>
      <c r="F680" s="137"/>
      <c r="G680" s="122"/>
      <c r="H680" s="137"/>
      <c r="I680" s="50"/>
      <c r="J680" s="50"/>
      <c r="K680" s="50"/>
      <c r="L680" s="38"/>
      <c r="M680" s="38"/>
      <c r="N680" s="38"/>
      <c r="O680" s="50"/>
      <c r="P680" s="218"/>
      <c r="Q680" s="50"/>
      <c r="R680" s="50"/>
      <c r="S680" s="38"/>
      <c r="T680" s="51"/>
      <c r="U680" s="65"/>
      <c r="V680" s="105"/>
      <c r="W680" s="66"/>
      <c r="X680" s="66"/>
      <c r="Y680" s="38"/>
      <c r="Z680" s="66">
        <f t="shared" si="307"/>
        <v>0</v>
      </c>
      <c r="AC680" s="41" t="e">
        <f>VLOOKUP(A680,'Input Sheet'!$A$2:$B$232,2,0)</f>
        <v>#N/A</v>
      </c>
      <c r="AD680" s="70"/>
    </row>
    <row r="681" spans="1:30" x14ac:dyDescent="0.2">
      <c r="A681" s="38" t="str">
        <f t="shared" si="308"/>
        <v xml:space="preserve"> </v>
      </c>
      <c r="B681" s="108"/>
      <c r="C681" s="38"/>
      <c r="D681" s="137"/>
      <c r="E681" s="137"/>
      <c r="F681" s="137"/>
      <c r="G681" s="122"/>
      <c r="H681" s="137"/>
      <c r="I681" s="50"/>
      <c r="J681" s="50"/>
      <c r="K681" s="50"/>
      <c r="L681" s="38"/>
      <c r="M681" s="38"/>
      <c r="N681" s="38"/>
      <c r="O681" s="50"/>
      <c r="P681" s="218"/>
      <c r="Q681" s="50"/>
      <c r="R681" s="50"/>
      <c r="S681" s="38"/>
      <c r="T681" s="51"/>
      <c r="U681" s="65"/>
      <c r="V681" s="105"/>
      <c r="W681" s="66"/>
      <c r="X681" s="66"/>
      <c r="Y681" s="38"/>
      <c r="Z681" s="66">
        <f t="shared" si="307"/>
        <v>0</v>
      </c>
      <c r="AC681" s="41" t="e">
        <f>VLOOKUP(A681,'Input Sheet'!$A$2:$B$232,2,0)</f>
        <v>#N/A</v>
      </c>
      <c r="AD681" s="70"/>
    </row>
    <row r="682" spans="1:30" x14ac:dyDescent="0.2">
      <c r="A682" s="38" t="str">
        <f t="shared" si="308"/>
        <v xml:space="preserve"> </v>
      </c>
      <c r="B682" s="108"/>
      <c r="C682" s="38"/>
      <c r="D682" s="137"/>
      <c r="E682" s="137"/>
      <c r="F682" s="137"/>
      <c r="G682" s="122"/>
      <c r="H682" s="137"/>
      <c r="I682" s="50"/>
      <c r="J682" s="50"/>
      <c r="K682" s="50"/>
      <c r="L682" s="38"/>
      <c r="M682" s="38"/>
      <c r="N682" s="38"/>
      <c r="O682" s="50"/>
      <c r="P682" s="218"/>
      <c r="Q682" s="50"/>
      <c r="R682" s="50"/>
      <c r="S682" s="38"/>
      <c r="T682" s="51"/>
      <c r="U682" s="65"/>
      <c r="V682" s="105"/>
      <c r="W682" s="66"/>
      <c r="X682" s="66"/>
      <c r="Y682" s="38"/>
      <c r="Z682" s="66">
        <f t="shared" si="307"/>
        <v>0</v>
      </c>
      <c r="AC682" s="41" t="e">
        <f>VLOOKUP(A682,'Input Sheet'!$A$2:$B$232,2,0)</f>
        <v>#N/A</v>
      </c>
      <c r="AD682" s="70"/>
    </row>
    <row r="683" spans="1:30" x14ac:dyDescent="0.2">
      <c r="A683" s="38" t="str">
        <f t="shared" si="308"/>
        <v xml:space="preserve"> </v>
      </c>
      <c r="B683" s="108"/>
      <c r="C683" s="38"/>
      <c r="D683" s="137"/>
      <c r="E683" s="137"/>
      <c r="F683" s="137"/>
      <c r="G683" s="122"/>
      <c r="H683" s="137"/>
      <c r="I683" s="50"/>
      <c r="J683" s="50"/>
      <c r="K683" s="50"/>
      <c r="L683" s="38"/>
      <c r="M683" s="38"/>
      <c r="N683" s="38"/>
      <c r="O683" s="50"/>
      <c r="P683" s="218"/>
      <c r="Q683" s="50"/>
      <c r="R683" s="50"/>
      <c r="S683" s="38"/>
      <c r="T683" s="51"/>
      <c r="U683" s="65"/>
      <c r="V683" s="105"/>
      <c r="W683" s="66"/>
      <c r="X683" s="66"/>
      <c r="Y683" s="38"/>
      <c r="Z683" s="66">
        <f t="shared" si="307"/>
        <v>0</v>
      </c>
      <c r="AC683" s="41" t="e">
        <f>VLOOKUP(A683,'Input Sheet'!$A$2:$B$232,2,0)</f>
        <v>#N/A</v>
      </c>
      <c r="AD683" s="70"/>
    </row>
    <row r="684" spans="1:30" x14ac:dyDescent="0.2">
      <c r="A684" s="38" t="str">
        <f t="shared" si="308"/>
        <v xml:space="preserve"> </v>
      </c>
      <c r="B684" s="108"/>
      <c r="C684" s="38"/>
      <c r="D684" s="137"/>
      <c r="E684" s="137"/>
      <c r="F684" s="137"/>
      <c r="G684" s="122"/>
      <c r="H684" s="137"/>
      <c r="I684" s="50"/>
      <c r="J684" s="50"/>
      <c r="K684" s="50"/>
      <c r="L684" s="38"/>
      <c r="M684" s="38"/>
      <c r="N684" s="38"/>
      <c r="O684" s="50"/>
      <c r="P684" s="218"/>
      <c r="Q684" s="50"/>
      <c r="R684" s="50"/>
      <c r="S684" s="38"/>
      <c r="T684" s="51"/>
      <c r="U684" s="65"/>
      <c r="V684" s="105"/>
      <c r="W684" s="66"/>
      <c r="X684" s="66"/>
      <c r="Y684" s="38"/>
      <c r="Z684" s="66">
        <f t="shared" si="307"/>
        <v>0</v>
      </c>
      <c r="AC684" s="41" t="e">
        <f>VLOOKUP(A684,'Input Sheet'!$A$2:$B$232,2,0)</f>
        <v>#N/A</v>
      </c>
      <c r="AD684" s="70"/>
    </row>
    <row r="685" spans="1:30" x14ac:dyDescent="0.2">
      <c r="A685" s="38" t="str">
        <f t="shared" si="308"/>
        <v xml:space="preserve"> </v>
      </c>
      <c r="B685" s="108"/>
      <c r="C685" s="38"/>
      <c r="D685" s="137"/>
      <c r="E685" s="137"/>
      <c r="F685" s="137"/>
      <c r="G685" s="122"/>
      <c r="H685" s="137"/>
      <c r="I685" s="50"/>
      <c r="J685" s="50"/>
      <c r="K685" s="50"/>
      <c r="L685" s="38"/>
      <c r="M685" s="38"/>
      <c r="N685" s="38"/>
      <c r="O685" s="50"/>
      <c r="P685" s="218"/>
      <c r="Q685" s="50"/>
      <c r="R685" s="50"/>
      <c r="S685" s="38"/>
      <c r="T685" s="51"/>
      <c r="U685" s="65"/>
      <c r="V685" s="105"/>
      <c r="W685" s="66"/>
      <c r="X685" s="66"/>
      <c r="Y685" s="38"/>
      <c r="Z685" s="66">
        <f t="shared" si="307"/>
        <v>0</v>
      </c>
      <c r="AC685" s="41" t="e">
        <f>VLOOKUP(A685,'Input Sheet'!$A$2:$B$232,2,0)</f>
        <v>#N/A</v>
      </c>
      <c r="AD685" s="70"/>
    </row>
    <row r="686" spans="1:30" x14ac:dyDescent="0.2">
      <c r="A686" s="38" t="str">
        <f t="shared" si="308"/>
        <v xml:space="preserve"> </v>
      </c>
      <c r="B686" s="108"/>
      <c r="C686" s="38"/>
      <c r="D686" s="137"/>
      <c r="E686" s="137"/>
      <c r="F686" s="137"/>
      <c r="G686" s="122"/>
      <c r="H686" s="137"/>
      <c r="I686" s="50"/>
      <c r="J686" s="50"/>
      <c r="K686" s="50"/>
      <c r="L686" s="38"/>
      <c r="M686" s="38"/>
      <c r="N686" s="38"/>
      <c r="O686" s="50"/>
      <c r="P686" s="218"/>
      <c r="Q686" s="50"/>
      <c r="R686" s="50"/>
      <c r="S686" s="38"/>
      <c r="T686" s="51"/>
      <c r="U686" s="65"/>
      <c r="V686" s="105"/>
      <c r="W686" s="66"/>
      <c r="X686" s="66"/>
      <c r="Y686" s="38"/>
      <c r="Z686" s="66">
        <f t="shared" si="307"/>
        <v>0</v>
      </c>
      <c r="AC686" s="41" t="e">
        <f>VLOOKUP(A686,'Input Sheet'!$A$2:$B$232,2,0)</f>
        <v>#N/A</v>
      </c>
      <c r="AD686" s="70"/>
    </row>
    <row r="687" spans="1:30" x14ac:dyDescent="0.2">
      <c r="A687" s="38" t="str">
        <f t="shared" si="308"/>
        <v xml:space="preserve"> </v>
      </c>
      <c r="B687" s="108"/>
      <c r="C687" s="38"/>
      <c r="D687" s="137"/>
      <c r="E687" s="137"/>
      <c r="F687" s="137"/>
      <c r="G687" s="122"/>
      <c r="H687" s="137"/>
      <c r="I687" s="50"/>
      <c r="J687" s="50"/>
      <c r="K687" s="50"/>
      <c r="L687" s="38"/>
      <c r="M687" s="38"/>
      <c r="N687" s="38"/>
      <c r="O687" s="50"/>
      <c r="P687" s="218"/>
      <c r="Q687" s="50"/>
      <c r="R687" s="50"/>
      <c r="S687" s="38"/>
      <c r="T687" s="51"/>
      <c r="U687" s="65"/>
      <c r="V687" s="105"/>
      <c r="W687" s="66"/>
      <c r="X687" s="66"/>
      <c r="Y687" s="38"/>
      <c r="Z687" s="66">
        <f t="shared" si="307"/>
        <v>0</v>
      </c>
      <c r="AC687" s="41" t="e">
        <f>VLOOKUP(A687,'Input Sheet'!$A$2:$B$232,2,0)</f>
        <v>#N/A</v>
      </c>
      <c r="AD687" s="70"/>
    </row>
    <row r="688" spans="1:30" x14ac:dyDescent="0.2">
      <c r="A688" s="38" t="str">
        <f t="shared" si="308"/>
        <v xml:space="preserve"> </v>
      </c>
      <c r="B688" s="108"/>
      <c r="C688" s="38"/>
      <c r="D688" s="137"/>
      <c r="E688" s="137"/>
      <c r="F688" s="137"/>
      <c r="G688" s="122"/>
      <c r="H688" s="137"/>
      <c r="I688" s="50"/>
      <c r="J688" s="50"/>
      <c r="K688" s="50"/>
      <c r="L688" s="38"/>
      <c r="M688" s="38"/>
      <c r="N688" s="38"/>
      <c r="O688" s="50"/>
      <c r="P688" s="218"/>
      <c r="Q688" s="50"/>
      <c r="R688" s="50"/>
      <c r="S688" s="38"/>
      <c r="T688" s="51"/>
      <c r="U688" s="65"/>
      <c r="V688" s="105"/>
      <c r="W688" s="66"/>
      <c r="X688" s="66"/>
      <c r="Y688" s="38"/>
      <c r="Z688" s="66">
        <f t="shared" si="307"/>
        <v>0</v>
      </c>
      <c r="AC688" s="41" t="e">
        <f>VLOOKUP(A688,'Input Sheet'!$A$2:$B$232,2,0)</f>
        <v>#N/A</v>
      </c>
      <c r="AD688" s="70"/>
    </row>
    <row r="689" spans="1:30" x14ac:dyDescent="0.2">
      <c r="A689" s="38" t="str">
        <f t="shared" si="308"/>
        <v xml:space="preserve"> </v>
      </c>
      <c r="B689" s="108"/>
      <c r="C689" s="38"/>
      <c r="D689" s="137"/>
      <c r="E689" s="137"/>
      <c r="F689" s="137"/>
      <c r="G689" s="122"/>
      <c r="H689" s="137"/>
      <c r="I689" s="50"/>
      <c r="J689" s="50"/>
      <c r="K689" s="50"/>
      <c r="L689" s="38"/>
      <c r="M689" s="38"/>
      <c r="N689" s="38"/>
      <c r="O689" s="50"/>
      <c r="P689" s="218"/>
      <c r="Q689" s="50"/>
      <c r="R689" s="50"/>
      <c r="S689" s="38"/>
      <c r="T689" s="51"/>
      <c r="U689" s="65"/>
      <c r="V689" s="105"/>
      <c r="W689" s="66"/>
      <c r="X689" s="66"/>
      <c r="Y689" s="38"/>
      <c r="Z689" s="66">
        <f t="shared" si="307"/>
        <v>0</v>
      </c>
      <c r="AC689" s="41" t="e">
        <f>VLOOKUP(A689,'Input Sheet'!$A$2:$B$232,2,0)</f>
        <v>#N/A</v>
      </c>
      <c r="AD689" s="70"/>
    </row>
    <row r="690" spans="1:30" x14ac:dyDescent="0.2">
      <c r="A690" s="38" t="str">
        <f t="shared" si="308"/>
        <v xml:space="preserve"> </v>
      </c>
      <c r="B690" s="108"/>
      <c r="C690" s="38"/>
      <c r="D690" s="137"/>
      <c r="E690" s="137"/>
      <c r="F690" s="137"/>
      <c r="G690" s="122"/>
      <c r="H690" s="137"/>
      <c r="I690" s="50"/>
      <c r="J690" s="50"/>
      <c r="K690" s="50"/>
      <c r="L690" s="38"/>
      <c r="M690" s="38"/>
      <c r="N690" s="38"/>
      <c r="O690" s="50"/>
      <c r="P690" s="218"/>
      <c r="Q690" s="50"/>
      <c r="R690" s="50"/>
      <c r="S690" s="38"/>
      <c r="T690" s="51"/>
      <c r="U690" s="65"/>
      <c r="V690" s="105"/>
      <c r="W690" s="66"/>
      <c r="X690" s="66"/>
      <c r="Y690" s="38"/>
      <c r="Z690" s="66">
        <f t="shared" si="307"/>
        <v>0</v>
      </c>
      <c r="AC690" s="41" t="e">
        <f>VLOOKUP(A690,'Input Sheet'!$A$2:$B$232,2,0)</f>
        <v>#N/A</v>
      </c>
      <c r="AD690" s="70"/>
    </row>
    <row r="691" spans="1:30" x14ac:dyDescent="0.2">
      <c r="A691" s="38" t="str">
        <f t="shared" si="308"/>
        <v xml:space="preserve"> </v>
      </c>
      <c r="B691" s="108"/>
      <c r="C691" s="38"/>
      <c r="D691" s="137"/>
      <c r="E691" s="137"/>
      <c r="F691" s="137"/>
      <c r="G691" s="122"/>
      <c r="H691" s="137"/>
      <c r="I691" s="50"/>
      <c r="J691" s="50"/>
      <c r="K691" s="50"/>
      <c r="L691" s="38"/>
      <c r="M691" s="38"/>
      <c r="N691" s="38"/>
      <c r="O691" s="50"/>
      <c r="P691" s="218"/>
      <c r="Q691" s="50"/>
      <c r="R691" s="50"/>
      <c r="S691" s="38"/>
      <c r="T691" s="51"/>
      <c r="U691" s="65"/>
      <c r="V691" s="105"/>
      <c r="W691" s="66"/>
      <c r="X691" s="66"/>
      <c r="Y691" s="38"/>
      <c r="Z691" s="66">
        <f t="shared" si="307"/>
        <v>0</v>
      </c>
      <c r="AC691" s="41" t="e">
        <f>VLOOKUP(A691,'Input Sheet'!$A$2:$B$232,2,0)</f>
        <v>#N/A</v>
      </c>
      <c r="AD691" s="70"/>
    </row>
    <row r="692" spans="1:30" x14ac:dyDescent="0.2">
      <c r="A692" s="38" t="str">
        <f t="shared" si="308"/>
        <v xml:space="preserve"> </v>
      </c>
      <c r="B692" s="108"/>
      <c r="C692" s="38"/>
      <c r="D692" s="137"/>
      <c r="E692" s="137"/>
      <c r="F692" s="137"/>
      <c r="G692" s="122"/>
      <c r="H692" s="137"/>
      <c r="I692" s="50"/>
      <c r="J692" s="50"/>
      <c r="K692" s="50"/>
      <c r="L692" s="38"/>
      <c r="M692" s="38"/>
      <c r="N692" s="38"/>
      <c r="O692" s="50"/>
      <c r="P692" s="218"/>
      <c r="Q692" s="50"/>
      <c r="R692" s="50"/>
      <c r="S692" s="38"/>
      <c r="T692" s="51"/>
      <c r="U692" s="65"/>
      <c r="V692" s="105"/>
      <c r="W692" s="66"/>
      <c r="X692" s="66"/>
      <c r="Y692" s="38"/>
      <c r="Z692" s="66">
        <f t="shared" si="307"/>
        <v>0</v>
      </c>
      <c r="AC692" s="41" t="e">
        <f>VLOOKUP(A692,'Input Sheet'!$A$2:$B$232,2,0)</f>
        <v>#N/A</v>
      </c>
      <c r="AD692" s="70"/>
    </row>
    <row r="693" spans="1:30" x14ac:dyDescent="0.2">
      <c r="A693" s="38" t="str">
        <f t="shared" si="308"/>
        <v xml:space="preserve"> </v>
      </c>
      <c r="B693" s="108"/>
      <c r="C693" s="38"/>
      <c r="D693" s="137"/>
      <c r="E693" s="137"/>
      <c r="F693" s="137"/>
      <c r="G693" s="122"/>
      <c r="H693" s="137"/>
      <c r="I693" s="50"/>
      <c r="J693" s="50"/>
      <c r="K693" s="50"/>
      <c r="L693" s="38"/>
      <c r="M693" s="38"/>
      <c r="N693" s="38"/>
      <c r="O693" s="50"/>
      <c r="P693" s="218"/>
      <c r="Q693" s="50"/>
      <c r="R693" s="50"/>
      <c r="S693" s="38"/>
      <c r="T693" s="51"/>
      <c r="U693" s="65"/>
      <c r="V693" s="105"/>
      <c r="W693" s="66"/>
      <c r="X693" s="66"/>
      <c r="Y693" s="38"/>
      <c r="Z693" s="66">
        <f t="shared" si="307"/>
        <v>0</v>
      </c>
      <c r="AC693" s="41" t="e">
        <f>VLOOKUP(A693,'Input Sheet'!$A$2:$B$232,2,0)</f>
        <v>#N/A</v>
      </c>
      <c r="AD693" s="70"/>
    </row>
    <row r="694" spans="1:30" x14ac:dyDescent="0.2">
      <c r="A694" s="38" t="str">
        <f t="shared" si="308"/>
        <v xml:space="preserve"> </v>
      </c>
      <c r="B694" s="108"/>
      <c r="C694" s="38"/>
      <c r="D694" s="137"/>
      <c r="E694" s="137"/>
      <c r="F694" s="137"/>
      <c r="G694" s="122"/>
      <c r="H694" s="137"/>
      <c r="I694" s="50"/>
      <c r="J694" s="50"/>
      <c r="K694" s="50"/>
      <c r="L694" s="38"/>
      <c r="M694" s="38"/>
      <c r="N694" s="38"/>
      <c r="O694" s="50"/>
      <c r="P694" s="218"/>
      <c r="Q694" s="50"/>
      <c r="R694" s="50"/>
      <c r="S694" s="38"/>
      <c r="T694" s="51"/>
      <c r="U694" s="65"/>
      <c r="V694" s="105"/>
      <c r="W694" s="66"/>
      <c r="X694" s="66"/>
      <c r="Y694" s="38"/>
      <c r="Z694" s="66">
        <f t="shared" si="307"/>
        <v>0</v>
      </c>
      <c r="AC694" s="41" t="e">
        <f>VLOOKUP(A694,'Input Sheet'!$A$2:$B$232,2,0)</f>
        <v>#N/A</v>
      </c>
      <c r="AD694" s="70"/>
    </row>
    <row r="695" spans="1:30" x14ac:dyDescent="0.2">
      <c r="A695" s="38" t="str">
        <f t="shared" si="308"/>
        <v xml:space="preserve"> </v>
      </c>
      <c r="B695" s="108"/>
      <c r="C695" s="38"/>
      <c r="D695" s="137"/>
      <c r="E695" s="137"/>
      <c r="F695" s="137"/>
      <c r="G695" s="122"/>
      <c r="H695" s="137"/>
      <c r="I695" s="50"/>
      <c r="J695" s="50"/>
      <c r="K695" s="50"/>
      <c r="L695" s="38"/>
      <c r="M695" s="38"/>
      <c r="N695" s="38"/>
      <c r="O695" s="50"/>
      <c r="P695" s="218"/>
      <c r="Q695" s="50"/>
      <c r="R695" s="50"/>
      <c r="S695" s="38"/>
      <c r="T695" s="51"/>
      <c r="U695" s="65"/>
      <c r="V695" s="105"/>
      <c r="W695" s="66"/>
      <c r="X695" s="66"/>
      <c r="Y695" s="38"/>
      <c r="Z695" s="66">
        <f t="shared" si="307"/>
        <v>0</v>
      </c>
      <c r="AC695" s="41" t="e">
        <f>VLOOKUP(A695,'Input Sheet'!$A$2:$B$232,2,0)</f>
        <v>#N/A</v>
      </c>
      <c r="AD695" s="70"/>
    </row>
    <row r="696" spans="1:30" x14ac:dyDescent="0.2">
      <c r="A696" s="38" t="str">
        <f t="shared" si="308"/>
        <v xml:space="preserve"> </v>
      </c>
      <c r="B696" s="108"/>
      <c r="C696" s="38"/>
      <c r="D696" s="137"/>
      <c r="E696" s="137"/>
      <c r="F696" s="137"/>
      <c r="G696" s="122"/>
      <c r="H696" s="137"/>
      <c r="I696" s="50"/>
      <c r="J696" s="50"/>
      <c r="K696" s="50"/>
      <c r="L696" s="38"/>
      <c r="M696" s="38"/>
      <c r="N696" s="38"/>
      <c r="O696" s="50"/>
      <c r="P696" s="218"/>
      <c r="Q696" s="50"/>
      <c r="R696" s="50"/>
      <c r="S696" s="38"/>
      <c r="T696" s="51"/>
      <c r="U696" s="65"/>
      <c r="V696" s="105"/>
      <c r="W696" s="66"/>
      <c r="X696" s="66"/>
      <c r="Y696" s="38"/>
      <c r="Z696" s="66">
        <f t="shared" si="307"/>
        <v>0</v>
      </c>
      <c r="AC696" s="41" t="e">
        <f>VLOOKUP(A696,'Input Sheet'!$A$2:$B$232,2,0)</f>
        <v>#N/A</v>
      </c>
      <c r="AD696" s="70"/>
    </row>
    <row r="697" spans="1:30" x14ac:dyDescent="0.2">
      <c r="A697" s="38" t="str">
        <f t="shared" si="308"/>
        <v xml:space="preserve"> </v>
      </c>
      <c r="B697" s="108"/>
      <c r="C697" s="38"/>
      <c r="D697" s="137"/>
      <c r="E697" s="137"/>
      <c r="F697" s="137"/>
      <c r="G697" s="122"/>
      <c r="H697" s="137"/>
      <c r="I697" s="50"/>
      <c r="J697" s="50"/>
      <c r="K697" s="50"/>
      <c r="L697" s="38"/>
      <c r="M697" s="38"/>
      <c r="N697" s="38"/>
      <c r="O697" s="50"/>
      <c r="P697" s="218"/>
      <c r="Q697" s="50"/>
      <c r="R697" s="50"/>
      <c r="S697" s="38"/>
      <c r="T697" s="51"/>
      <c r="U697" s="65"/>
      <c r="V697" s="105"/>
      <c r="W697" s="66"/>
      <c r="X697" s="66"/>
      <c r="Y697" s="38"/>
      <c r="Z697" s="66">
        <f t="shared" si="307"/>
        <v>0</v>
      </c>
      <c r="AC697" s="41" t="e">
        <f>VLOOKUP(A697,'Input Sheet'!$A$2:$B$232,2,0)</f>
        <v>#N/A</v>
      </c>
      <c r="AD697" s="70"/>
    </row>
    <row r="698" spans="1:30" x14ac:dyDescent="0.2">
      <c r="A698" s="38" t="str">
        <f t="shared" si="308"/>
        <v xml:space="preserve"> </v>
      </c>
      <c r="B698" s="108"/>
      <c r="C698" s="38"/>
      <c r="D698" s="137"/>
      <c r="E698" s="137"/>
      <c r="F698" s="137"/>
      <c r="G698" s="122"/>
      <c r="H698" s="137"/>
      <c r="I698" s="50"/>
      <c r="J698" s="50"/>
      <c r="K698" s="50"/>
      <c r="L698" s="38"/>
      <c r="M698" s="38"/>
      <c r="N698" s="38"/>
      <c r="O698" s="50"/>
      <c r="P698" s="218"/>
      <c r="Q698" s="50"/>
      <c r="R698" s="50"/>
      <c r="S698" s="38"/>
      <c r="T698" s="51"/>
      <c r="U698" s="65"/>
      <c r="V698" s="105"/>
      <c r="W698" s="66"/>
      <c r="X698" s="66"/>
      <c r="Y698" s="38"/>
      <c r="Z698" s="66">
        <f t="shared" si="307"/>
        <v>0</v>
      </c>
      <c r="AC698" s="41" t="e">
        <f>VLOOKUP(A698,'Input Sheet'!$A$2:$B$232,2,0)</f>
        <v>#N/A</v>
      </c>
      <c r="AD698" s="70"/>
    </row>
    <row r="699" spans="1:30" x14ac:dyDescent="0.2">
      <c r="A699" s="38" t="str">
        <f t="shared" si="308"/>
        <v xml:space="preserve"> </v>
      </c>
      <c r="B699" s="108"/>
      <c r="C699" s="38"/>
      <c r="D699" s="137"/>
      <c r="E699" s="137"/>
      <c r="F699" s="137"/>
      <c r="G699" s="122"/>
      <c r="H699" s="137"/>
      <c r="I699" s="50"/>
      <c r="J699" s="50"/>
      <c r="K699" s="50"/>
      <c r="L699" s="38"/>
      <c r="M699" s="38"/>
      <c r="N699" s="38"/>
      <c r="O699" s="50"/>
      <c r="P699" s="218"/>
      <c r="Q699" s="50"/>
      <c r="R699" s="50"/>
      <c r="S699" s="38"/>
      <c r="T699" s="51"/>
      <c r="U699" s="65"/>
      <c r="V699" s="105"/>
      <c r="W699" s="66"/>
      <c r="X699" s="66"/>
      <c r="Y699" s="38"/>
      <c r="Z699" s="66">
        <f t="shared" si="307"/>
        <v>0</v>
      </c>
      <c r="AC699" s="41" t="e">
        <f>VLOOKUP(A699,'Input Sheet'!$A$2:$B$232,2,0)</f>
        <v>#N/A</v>
      </c>
      <c r="AD699" s="70"/>
    </row>
    <row r="700" spans="1:30" x14ac:dyDescent="0.2">
      <c r="A700" s="38" t="str">
        <f t="shared" si="308"/>
        <v xml:space="preserve"> </v>
      </c>
      <c r="B700" s="108"/>
      <c r="C700" s="38"/>
      <c r="D700" s="137"/>
      <c r="E700" s="137"/>
      <c r="F700" s="137"/>
      <c r="G700" s="122"/>
      <c r="H700" s="137"/>
      <c r="I700" s="50"/>
      <c r="J700" s="50"/>
      <c r="K700" s="50"/>
      <c r="L700" s="38"/>
      <c r="M700" s="38"/>
      <c r="N700" s="38"/>
      <c r="O700" s="50"/>
      <c r="P700" s="218"/>
      <c r="Q700" s="50"/>
      <c r="R700" s="50"/>
      <c r="S700" s="38"/>
      <c r="T700" s="51"/>
      <c r="U700" s="65"/>
      <c r="V700" s="105"/>
      <c r="W700" s="66"/>
      <c r="X700" s="66"/>
      <c r="Y700" s="38"/>
      <c r="Z700" s="66">
        <f t="shared" si="307"/>
        <v>0</v>
      </c>
      <c r="AC700" s="41" t="e">
        <f>VLOOKUP(A700,'Input Sheet'!$A$2:$B$232,2,0)</f>
        <v>#N/A</v>
      </c>
      <c r="AD700" s="70"/>
    </row>
    <row r="701" spans="1:30" x14ac:dyDescent="0.2">
      <c r="A701" s="38" t="str">
        <f t="shared" si="308"/>
        <v xml:space="preserve"> </v>
      </c>
      <c r="B701" s="108"/>
      <c r="C701" s="38"/>
      <c r="D701" s="137"/>
      <c r="E701" s="137"/>
      <c r="F701" s="137"/>
      <c r="G701" s="122"/>
      <c r="H701" s="137"/>
      <c r="I701" s="50"/>
      <c r="J701" s="50"/>
      <c r="K701" s="50"/>
      <c r="L701" s="38"/>
      <c r="M701" s="38"/>
      <c r="N701" s="38"/>
      <c r="O701" s="50"/>
      <c r="P701" s="218"/>
      <c r="Q701" s="50"/>
      <c r="R701" s="50"/>
      <c r="S701" s="38"/>
      <c r="T701" s="51"/>
      <c r="U701" s="65"/>
      <c r="V701" s="105"/>
      <c r="W701" s="66"/>
      <c r="X701" s="66"/>
      <c r="Y701" s="38"/>
      <c r="Z701" s="66">
        <f t="shared" si="307"/>
        <v>0</v>
      </c>
      <c r="AC701" s="41" t="e">
        <f>VLOOKUP(A701,'Input Sheet'!$A$2:$B$232,2,0)</f>
        <v>#N/A</v>
      </c>
      <c r="AD701" s="70"/>
    </row>
    <row r="702" spans="1:30" x14ac:dyDescent="0.2">
      <c r="A702" s="38" t="str">
        <f t="shared" si="308"/>
        <v xml:space="preserve"> </v>
      </c>
      <c r="B702" s="108"/>
      <c r="C702" s="38"/>
      <c r="D702" s="137"/>
      <c r="E702" s="137"/>
      <c r="F702" s="137"/>
      <c r="G702" s="122"/>
      <c r="H702" s="137"/>
      <c r="I702" s="50"/>
      <c r="J702" s="50"/>
      <c r="K702" s="50"/>
      <c r="L702" s="38"/>
      <c r="M702" s="38"/>
      <c r="N702" s="38"/>
      <c r="O702" s="50"/>
      <c r="P702" s="218"/>
      <c r="Q702" s="50"/>
      <c r="R702" s="50"/>
      <c r="S702" s="38"/>
      <c r="T702" s="51"/>
      <c r="U702" s="65"/>
      <c r="V702" s="105"/>
      <c r="W702" s="66"/>
      <c r="X702" s="66"/>
      <c r="Y702" s="38"/>
      <c r="Z702" s="66">
        <f t="shared" si="307"/>
        <v>0</v>
      </c>
      <c r="AC702" s="41" t="e">
        <f>VLOOKUP(A702,'Input Sheet'!$A$2:$B$232,2,0)</f>
        <v>#N/A</v>
      </c>
      <c r="AD702" s="70"/>
    </row>
    <row r="703" spans="1:30" x14ac:dyDescent="0.2">
      <c r="A703" s="38" t="str">
        <f t="shared" si="308"/>
        <v xml:space="preserve"> </v>
      </c>
      <c r="B703" s="108"/>
      <c r="C703" s="38"/>
      <c r="D703" s="137"/>
      <c r="E703" s="137"/>
      <c r="F703" s="137"/>
      <c r="G703" s="122"/>
      <c r="H703" s="137"/>
      <c r="I703" s="50"/>
      <c r="J703" s="50"/>
      <c r="K703" s="50"/>
      <c r="L703" s="38"/>
      <c r="M703" s="38"/>
      <c r="N703" s="38"/>
      <c r="O703" s="50"/>
      <c r="P703" s="218"/>
      <c r="Q703" s="50"/>
      <c r="R703" s="50"/>
      <c r="S703" s="38"/>
      <c r="T703" s="51"/>
      <c r="U703" s="65"/>
      <c r="V703" s="105"/>
      <c r="W703" s="66"/>
      <c r="X703" s="66"/>
      <c r="Y703" s="38"/>
      <c r="Z703" s="66">
        <f t="shared" si="307"/>
        <v>0</v>
      </c>
      <c r="AC703" s="41" t="e">
        <f>VLOOKUP(A703,'Input Sheet'!$A$2:$B$232,2,0)</f>
        <v>#N/A</v>
      </c>
      <c r="AD703" s="70"/>
    </row>
    <row r="704" spans="1:30" x14ac:dyDescent="0.2">
      <c r="A704" s="38" t="str">
        <f t="shared" si="308"/>
        <v xml:space="preserve"> </v>
      </c>
      <c r="B704" s="108"/>
      <c r="C704" s="38"/>
      <c r="D704" s="137"/>
      <c r="E704" s="137"/>
      <c r="F704" s="137"/>
      <c r="G704" s="122"/>
      <c r="H704" s="137"/>
      <c r="I704" s="50"/>
      <c r="J704" s="50"/>
      <c r="K704" s="50"/>
      <c r="L704" s="38"/>
      <c r="M704" s="38"/>
      <c r="N704" s="38"/>
      <c r="O704" s="50"/>
      <c r="P704" s="218"/>
      <c r="Q704" s="50"/>
      <c r="R704" s="50"/>
      <c r="S704" s="38"/>
      <c r="T704" s="51"/>
      <c r="U704" s="65"/>
      <c r="V704" s="105"/>
      <c r="W704" s="66"/>
      <c r="X704" s="66"/>
      <c r="Y704" s="38"/>
      <c r="Z704" s="66">
        <f t="shared" si="307"/>
        <v>0</v>
      </c>
      <c r="AC704" s="41" t="e">
        <f>VLOOKUP(A704,'Input Sheet'!$A$2:$B$232,2,0)</f>
        <v>#N/A</v>
      </c>
      <c r="AD704" s="70"/>
    </row>
    <row r="705" spans="1:30" x14ac:dyDescent="0.2">
      <c r="A705" s="38" t="str">
        <f t="shared" si="308"/>
        <v xml:space="preserve"> </v>
      </c>
      <c r="B705" s="108"/>
      <c r="C705" s="38"/>
      <c r="D705" s="137"/>
      <c r="E705" s="137"/>
      <c r="F705" s="137"/>
      <c r="G705" s="122"/>
      <c r="H705" s="137"/>
      <c r="I705" s="50"/>
      <c r="J705" s="50"/>
      <c r="K705" s="50"/>
      <c r="L705" s="38"/>
      <c r="M705" s="38"/>
      <c r="N705" s="38"/>
      <c r="O705" s="50"/>
      <c r="P705" s="218"/>
      <c r="Q705" s="50"/>
      <c r="R705" s="50"/>
      <c r="S705" s="38"/>
      <c r="T705" s="51"/>
      <c r="U705" s="65"/>
      <c r="V705" s="105"/>
      <c r="W705" s="66"/>
      <c r="X705" s="66"/>
      <c r="Y705" s="38"/>
      <c r="Z705" s="66">
        <f t="shared" si="307"/>
        <v>0</v>
      </c>
      <c r="AC705" s="41" t="e">
        <f>VLOOKUP(A705,'Input Sheet'!$A$2:$B$232,2,0)</f>
        <v>#N/A</v>
      </c>
      <c r="AD705" s="70"/>
    </row>
    <row r="706" spans="1:30" x14ac:dyDescent="0.2">
      <c r="A706" s="38" t="str">
        <f t="shared" si="308"/>
        <v xml:space="preserve"> </v>
      </c>
      <c r="B706" s="108"/>
      <c r="C706" s="38"/>
      <c r="D706" s="137"/>
      <c r="E706" s="137"/>
      <c r="F706" s="137"/>
      <c r="G706" s="122"/>
      <c r="H706" s="137"/>
      <c r="I706" s="50"/>
      <c r="J706" s="50"/>
      <c r="K706" s="50"/>
      <c r="L706" s="38"/>
      <c r="M706" s="38"/>
      <c r="N706" s="38"/>
      <c r="O706" s="50"/>
      <c r="P706" s="218"/>
      <c r="Q706" s="50"/>
      <c r="R706" s="50"/>
      <c r="S706" s="38"/>
      <c r="T706" s="51"/>
      <c r="U706" s="65"/>
      <c r="V706" s="105"/>
      <c r="W706" s="66"/>
      <c r="X706" s="66"/>
      <c r="Y706" s="38"/>
      <c r="Z706" s="66">
        <f t="shared" si="307"/>
        <v>0</v>
      </c>
      <c r="AC706" s="41" t="e">
        <f>VLOOKUP(A706,'Input Sheet'!$A$2:$B$232,2,0)</f>
        <v>#N/A</v>
      </c>
      <c r="AD706" s="70"/>
    </row>
    <row r="707" spans="1:30" x14ac:dyDescent="0.2">
      <c r="A707" s="38" t="str">
        <f t="shared" si="308"/>
        <v xml:space="preserve"> </v>
      </c>
      <c r="B707" s="108"/>
      <c r="C707" s="38"/>
      <c r="D707" s="137"/>
      <c r="E707" s="137"/>
      <c r="F707" s="137"/>
      <c r="G707" s="122"/>
      <c r="H707" s="137"/>
      <c r="I707" s="50"/>
      <c r="J707" s="50"/>
      <c r="K707" s="50"/>
      <c r="L707" s="38"/>
      <c r="M707" s="38"/>
      <c r="N707" s="38"/>
      <c r="O707" s="50"/>
      <c r="P707" s="218"/>
      <c r="Q707" s="50"/>
      <c r="R707" s="50"/>
      <c r="S707" s="38"/>
      <c r="T707" s="51"/>
      <c r="U707" s="65"/>
      <c r="V707" s="105"/>
      <c r="W707" s="66"/>
      <c r="X707" s="66"/>
      <c r="Y707" s="38"/>
      <c r="Z707" s="66">
        <f t="shared" si="307"/>
        <v>0</v>
      </c>
      <c r="AC707" s="41" t="e">
        <f>VLOOKUP(A707,'Input Sheet'!$A$2:$B$232,2,0)</f>
        <v>#N/A</v>
      </c>
      <c r="AD707" s="70"/>
    </row>
    <row r="708" spans="1:30" x14ac:dyDescent="0.2">
      <c r="A708" s="38" t="str">
        <f t="shared" si="308"/>
        <v xml:space="preserve"> </v>
      </c>
      <c r="B708" s="108"/>
      <c r="C708" s="38"/>
      <c r="D708" s="137"/>
      <c r="E708" s="137"/>
      <c r="F708" s="137"/>
      <c r="G708" s="122"/>
      <c r="H708" s="137"/>
      <c r="I708" s="50"/>
      <c r="J708" s="50"/>
      <c r="K708" s="50"/>
      <c r="L708" s="38"/>
      <c r="M708" s="38"/>
      <c r="N708" s="38"/>
      <c r="O708" s="50"/>
      <c r="P708" s="218"/>
      <c r="Q708" s="50"/>
      <c r="R708" s="50"/>
      <c r="S708" s="38"/>
      <c r="T708" s="51"/>
      <c r="U708" s="65"/>
      <c r="V708" s="105"/>
      <c r="W708" s="66"/>
      <c r="X708" s="66"/>
      <c r="Y708" s="38"/>
      <c r="Z708" s="66">
        <f t="shared" si="307"/>
        <v>0</v>
      </c>
      <c r="AC708" s="41" t="e">
        <f>VLOOKUP(A708,'Input Sheet'!$A$2:$B$232,2,0)</f>
        <v>#N/A</v>
      </c>
      <c r="AD708" s="70"/>
    </row>
    <row r="709" spans="1:30" x14ac:dyDescent="0.2">
      <c r="A709" s="38" t="str">
        <f t="shared" si="308"/>
        <v xml:space="preserve"> </v>
      </c>
      <c r="B709" s="108"/>
      <c r="C709" s="38"/>
      <c r="D709" s="137"/>
      <c r="E709" s="137"/>
      <c r="F709" s="137"/>
      <c r="G709" s="122"/>
      <c r="H709" s="137"/>
      <c r="I709" s="50"/>
      <c r="J709" s="50"/>
      <c r="K709" s="50"/>
      <c r="L709" s="38"/>
      <c r="M709" s="38"/>
      <c r="N709" s="38"/>
      <c r="O709" s="50"/>
      <c r="P709" s="218"/>
      <c r="Q709" s="50"/>
      <c r="R709" s="50"/>
      <c r="S709" s="38"/>
      <c r="T709" s="51"/>
      <c r="U709" s="65"/>
      <c r="V709" s="105"/>
      <c r="W709" s="66"/>
      <c r="X709" s="66"/>
      <c r="Y709" s="38"/>
      <c r="Z709" s="66">
        <f t="shared" ref="Z709:Z772" si="309">IF(Y709="Stage 1",X709,IF(Y709="Stage 2",W709,O709))</f>
        <v>0</v>
      </c>
      <c r="AC709" s="41" t="e">
        <f>VLOOKUP(A709,'Input Sheet'!$A$2:$B$232,2,0)</f>
        <v>#N/A</v>
      </c>
      <c r="AD709" s="70"/>
    </row>
    <row r="710" spans="1:30" x14ac:dyDescent="0.2">
      <c r="A710" s="38" t="str">
        <f t="shared" si="308"/>
        <v xml:space="preserve"> </v>
      </c>
      <c r="B710" s="108"/>
      <c r="C710" s="38"/>
      <c r="D710" s="137"/>
      <c r="E710" s="137"/>
      <c r="F710" s="137"/>
      <c r="G710" s="122"/>
      <c r="H710" s="137"/>
      <c r="I710" s="50"/>
      <c r="J710" s="50"/>
      <c r="K710" s="50"/>
      <c r="L710" s="38"/>
      <c r="M710" s="38"/>
      <c r="N710" s="38"/>
      <c r="O710" s="50"/>
      <c r="P710" s="218"/>
      <c r="Q710" s="50"/>
      <c r="R710" s="50"/>
      <c r="S710" s="38"/>
      <c r="T710" s="51"/>
      <c r="U710" s="65"/>
      <c r="V710" s="105"/>
      <c r="W710" s="66"/>
      <c r="X710" s="66"/>
      <c r="Y710" s="38"/>
      <c r="Z710" s="66">
        <f t="shared" si="309"/>
        <v>0</v>
      </c>
      <c r="AC710" s="41" t="e">
        <f>VLOOKUP(A710,'Input Sheet'!$A$2:$B$232,2,0)</f>
        <v>#N/A</v>
      </c>
      <c r="AD710" s="70"/>
    </row>
    <row r="711" spans="1:30" x14ac:dyDescent="0.2">
      <c r="A711" s="38" t="str">
        <f t="shared" si="308"/>
        <v xml:space="preserve"> </v>
      </c>
      <c r="B711" s="108"/>
      <c r="C711" s="38"/>
      <c r="D711" s="137"/>
      <c r="E711" s="137"/>
      <c r="F711" s="137"/>
      <c r="G711" s="122"/>
      <c r="H711" s="137"/>
      <c r="I711" s="50"/>
      <c r="J711" s="50"/>
      <c r="K711" s="50"/>
      <c r="L711" s="38"/>
      <c r="M711" s="38"/>
      <c r="N711" s="38"/>
      <c r="O711" s="50"/>
      <c r="P711" s="218"/>
      <c r="Q711" s="50"/>
      <c r="R711" s="50"/>
      <c r="S711" s="38"/>
      <c r="T711" s="51"/>
      <c r="U711" s="65"/>
      <c r="V711" s="105"/>
      <c r="W711" s="66"/>
      <c r="X711" s="66"/>
      <c r="Y711" s="38"/>
      <c r="Z711" s="66">
        <f t="shared" si="309"/>
        <v>0</v>
      </c>
      <c r="AC711" s="41" t="e">
        <f>VLOOKUP(A711,'Input Sheet'!$A$2:$B$232,2,0)</f>
        <v>#N/A</v>
      </c>
      <c r="AD711" s="70"/>
    </row>
    <row r="712" spans="1:30" x14ac:dyDescent="0.2">
      <c r="A712" s="38" t="str">
        <f t="shared" si="308"/>
        <v xml:space="preserve"> </v>
      </c>
      <c r="B712" s="108"/>
      <c r="C712" s="38"/>
      <c r="D712" s="137"/>
      <c r="E712" s="137"/>
      <c r="F712" s="137"/>
      <c r="G712" s="122"/>
      <c r="H712" s="137"/>
      <c r="I712" s="50"/>
      <c r="J712" s="50"/>
      <c r="K712" s="50"/>
      <c r="L712" s="38"/>
      <c r="M712" s="38"/>
      <c r="N712" s="38"/>
      <c r="O712" s="50"/>
      <c r="P712" s="218"/>
      <c r="Q712" s="50"/>
      <c r="R712" s="50"/>
      <c r="S712" s="38"/>
      <c r="T712" s="51"/>
      <c r="U712" s="65"/>
      <c r="V712" s="105"/>
      <c r="W712" s="66"/>
      <c r="X712" s="66"/>
      <c r="Y712" s="38"/>
      <c r="Z712" s="66">
        <f t="shared" si="309"/>
        <v>0</v>
      </c>
      <c r="AC712" s="41" t="e">
        <f>VLOOKUP(A712,'Input Sheet'!$A$2:$B$232,2,0)</f>
        <v>#N/A</v>
      </c>
      <c r="AD712" s="70"/>
    </row>
    <row r="713" spans="1:30" x14ac:dyDescent="0.2">
      <c r="A713" s="38" t="str">
        <f t="shared" si="308"/>
        <v xml:space="preserve"> </v>
      </c>
      <c r="B713" s="108"/>
      <c r="C713" s="38"/>
      <c r="D713" s="137"/>
      <c r="E713" s="137"/>
      <c r="F713" s="137"/>
      <c r="G713" s="122"/>
      <c r="H713" s="137"/>
      <c r="I713" s="50"/>
      <c r="J713" s="50"/>
      <c r="K713" s="50"/>
      <c r="L713" s="38"/>
      <c r="M713" s="38"/>
      <c r="N713" s="38"/>
      <c r="O713" s="50"/>
      <c r="P713" s="218"/>
      <c r="Q713" s="50"/>
      <c r="R713" s="50"/>
      <c r="S713" s="38"/>
      <c r="T713" s="51"/>
      <c r="U713" s="65"/>
      <c r="V713" s="105"/>
      <c r="W713" s="66"/>
      <c r="X713" s="66"/>
      <c r="Y713" s="38"/>
      <c r="Z713" s="66">
        <f t="shared" si="309"/>
        <v>0</v>
      </c>
      <c r="AC713" s="41" t="e">
        <f>VLOOKUP(A713,'Input Sheet'!$A$2:$B$232,2,0)</f>
        <v>#N/A</v>
      </c>
      <c r="AD713" s="70"/>
    </row>
    <row r="714" spans="1:30" x14ac:dyDescent="0.2">
      <c r="A714" s="38" t="str">
        <f t="shared" ref="A714:A777" si="310">IF(B714=0," ",A713+1)</f>
        <v xml:space="preserve"> </v>
      </c>
      <c r="B714" s="108"/>
      <c r="C714" s="38"/>
      <c r="D714" s="137"/>
      <c r="E714" s="137"/>
      <c r="F714" s="137"/>
      <c r="G714" s="122"/>
      <c r="H714" s="137"/>
      <c r="I714" s="50"/>
      <c r="J714" s="50"/>
      <c r="K714" s="50"/>
      <c r="L714" s="38"/>
      <c r="M714" s="38"/>
      <c r="N714" s="38"/>
      <c r="O714" s="50"/>
      <c r="P714" s="218"/>
      <c r="Q714" s="50"/>
      <c r="R714" s="50"/>
      <c r="S714" s="38"/>
      <c r="T714" s="51"/>
      <c r="U714" s="65"/>
      <c r="V714" s="105"/>
      <c r="W714" s="66"/>
      <c r="X714" s="66"/>
      <c r="Y714" s="38"/>
      <c r="Z714" s="66">
        <f t="shared" si="309"/>
        <v>0</v>
      </c>
      <c r="AC714" s="41" t="e">
        <f>VLOOKUP(A714,'Input Sheet'!$A$2:$B$232,2,0)</f>
        <v>#N/A</v>
      </c>
      <c r="AD714" s="70"/>
    </row>
    <row r="715" spans="1:30" x14ac:dyDescent="0.2">
      <c r="A715" s="38" t="str">
        <f t="shared" si="310"/>
        <v xml:space="preserve"> </v>
      </c>
      <c r="B715" s="108"/>
      <c r="C715" s="38"/>
      <c r="D715" s="137"/>
      <c r="E715" s="137"/>
      <c r="F715" s="137"/>
      <c r="G715" s="122"/>
      <c r="H715" s="137"/>
      <c r="I715" s="50"/>
      <c r="J715" s="50"/>
      <c r="K715" s="50"/>
      <c r="L715" s="38"/>
      <c r="M715" s="38"/>
      <c r="N715" s="38"/>
      <c r="O715" s="50"/>
      <c r="P715" s="218"/>
      <c r="Q715" s="50"/>
      <c r="R715" s="50"/>
      <c r="S715" s="38"/>
      <c r="T715" s="51"/>
      <c r="U715" s="65"/>
      <c r="V715" s="105"/>
      <c r="W715" s="66"/>
      <c r="X715" s="66"/>
      <c r="Y715" s="38"/>
      <c r="Z715" s="66">
        <f t="shared" si="309"/>
        <v>0</v>
      </c>
      <c r="AC715" s="41" t="e">
        <f>VLOOKUP(A715,'Input Sheet'!$A$2:$B$232,2,0)</f>
        <v>#N/A</v>
      </c>
      <c r="AD715" s="70"/>
    </row>
    <row r="716" spans="1:30" x14ac:dyDescent="0.2">
      <c r="A716" s="38" t="str">
        <f t="shared" si="310"/>
        <v xml:space="preserve"> </v>
      </c>
      <c r="B716" s="108"/>
      <c r="C716" s="38"/>
      <c r="D716" s="137"/>
      <c r="E716" s="137"/>
      <c r="F716" s="137"/>
      <c r="G716" s="122"/>
      <c r="H716" s="137"/>
      <c r="I716" s="50"/>
      <c r="J716" s="50"/>
      <c r="K716" s="50"/>
      <c r="L716" s="38"/>
      <c r="M716" s="38"/>
      <c r="N716" s="38"/>
      <c r="O716" s="50"/>
      <c r="P716" s="218"/>
      <c r="Q716" s="50"/>
      <c r="R716" s="50"/>
      <c r="S716" s="38"/>
      <c r="T716" s="51"/>
      <c r="U716" s="65"/>
      <c r="V716" s="105"/>
      <c r="W716" s="66"/>
      <c r="X716" s="66"/>
      <c r="Y716" s="38"/>
      <c r="Z716" s="66">
        <f t="shared" si="309"/>
        <v>0</v>
      </c>
      <c r="AC716" s="41" t="e">
        <f>VLOOKUP(A716,'Input Sheet'!$A$2:$B$232,2,0)</f>
        <v>#N/A</v>
      </c>
      <c r="AD716" s="70"/>
    </row>
    <row r="717" spans="1:30" x14ac:dyDescent="0.2">
      <c r="A717" s="38" t="str">
        <f t="shared" si="310"/>
        <v xml:space="preserve"> </v>
      </c>
      <c r="B717" s="108"/>
      <c r="C717" s="38"/>
      <c r="D717" s="137"/>
      <c r="E717" s="137"/>
      <c r="F717" s="137"/>
      <c r="G717" s="122"/>
      <c r="H717" s="137"/>
      <c r="I717" s="50"/>
      <c r="J717" s="50"/>
      <c r="K717" s="50"/>
      <c r="L717" s="38"/>
      <c r="M717" s="38"/>
      <c r="N717" s="38"/>
      <c r="O717" s="50"/>
      <c r="P717" s="218"/>
      <c r="Q717" s="50"/>
      <c r="R717" s="50"/>
      <c r="S717" s="38"/>
      <c r="T717" s="51"/>
      <c r="U717" s="65"/>
      <c r="V717" s="105"/>
      <c r="W717" s="66"/>
      <c r="X717" s="66"/>
      <c r="Y717" s="38"/>
      <c r="Z717" s="66">
        <f t="shared" si="309"/>
        <v>0</v>
      </c>
      <c r="AC717" s="41" t="e">
        <f>VLOOKUP(A717,'Input Sheet'!$A$2:$B$232,2,0)</f>
        <v>#N/A</v>
      </c>
      <c r="AD717" s="70"/>
    </row>
    <row r="718" spans="1:30" x14ac:dyDescent="0.2">
      <c r="A718" s="38" t="str">
        <f t="shared" si="310"/>
        <v xml:space="preserve"> </v>
      </c>
      <c r="B718" s="108"/>
      <c r="C718" s="38"/>
      <c r="D718" s="137"/>
      <c r="E718" s="137"/>
      <c r="F718" s="137"/>
      <c r="G718" s="122"/>
      <c r="H718" s="137"/>
      <c r="I718" s="50"/>
      <c r="J718" s="50"/>
      <c r="K718" s="50"/>
      <c r="L718" s="38"/>
      <c r="M718" s="38"/>
      <c r="N718" s="38"/>
      <c r="O718" s="50"/>
      <c r="P718" s="218"/>
      <c r="Q718" s="50"/>
      <c r="R718" s="50"/>
      <c r="S718" s="38"/>
      <c r="T718" s="51"/>
      <c r="U718" s="65"/>
      <c r="V718" s="105"/>
      <c r="W718" s="66"/>
      <c r="X718" s="66"/>
      <c r="Y718" s="38"/>
      <c r="Z718" s="66">
        <f t="shared" si="309"/>
        <v>0</v>
      </c>
      <c r="AC718" s="41" t="e">
        <f>VLOOKUP(A718,'Input Sheet'!$A$2:$B$232,2,0)</f>
        <v>#N/A</v>
      </c>
      <c r="AD718" s="70"/>
    </row>
    <row r="719" spans="1:30" x14ac:dyDescent="0.2">
      <c r="A719" s="38" t="str">
        <f t="shared" si="310"/>
        <v xml:space="preserve"> </v>
      </c>
      <c r="B719" s="108"/>
      <c r="C719" s="38"/>
      <c r="D719" s="137"/>
      <c r="E719" s="137"/>
      <c r="F719" s="137"/>
      <c r="G719" s="122"/>
      <c r="H719" s="137"/>
      <c r="I719" s="50"/>
      <c r="J719" s="50"/>
      <c r="K719" s="50"/>
      <c r="L719" s="38"/>
      <c r="M719" s="38"/>
      <c r="N719" s="38"/>
      <c r="O719" s="50"/>
      <c r="P719" s="218"/>
      <c r="Q719" s="50"/>
      <c r="R719" s="50"/>
      <c r="S719" s="38"/>
      <c r="T719" s="51"/>
      <c r="U719" s="65"/>
      <c r="V719" s="105"/>
      <c r="W719" s="66"/>
      <c r="X719" s="66"/>
      <c r="Y719" s="38"/>
      <c r="Z719" s="66">
        <f t="shared" si="309"/>
        <v>0</v>
      </c>
      <c r="AC719" s="41" t="e">
        <f>VLOOKUP(A719,'Input Sheet'!$A$2:$B$232,2,0)</f>
        <v>#N/A</v>
      </c>
      <c r="AD719" s="70"/>
    </row>
    <row r="720" spans="1:30" x14ac:dyDescent="0.2">
      <c r="A720" s="38" t="str">
        <f t="shared" si="310"/>
        <v xml:space="preserve"> </v>
      </c>
      <c r="B720" s="108"/>
      <c r="C720" s="38"/>
      <c r="D720" s="137"/>
      <c r="E720" s="137"/>
      <c r="F720" s="137"/>
      <c r="G720" s="122"/>
      <c r="H720" s="137"/>
      <c r="I720" s="50"/>
      <c r="J720" s="50"/>
      <c r="K720" s="50"/>
      <c r="L720" s="38"/>
      <c r="M720" s="38"/>
      <c r="N720" s="38"/>
      <c r="O720" s="50"/>
      <c r="P720" s="218"/>
      <c r="Q720" s="50"/>
      <c r="R720" s="50"/>
      <c r="S720" s="38"/>
      <c r="T720" s="51"/>
      <c r="U720" s="65"/>
      <c r="V720" s="105"/>
      <c r="W720" s="66"/>
      <c r="X720" s="66"/>
      <c r="Y720" s="38"/>
      <c r="Z720" s="66">
        <f t="shared" si="309"/>
        <v>0</v>
      </c>
      <c r="AC720" s="41" t="e">
        <f>VLOOKUP(A720,'Input Sheet'!$A$2:$B$232,2,0)</f>
        <v>#N/A</v>
      </c>
      <c r="AD720" s="70"/>
    </row>
    <row r="721" spans="1:30" x14ac:dyDescent="0.2">
      <c r="A721" s="38" t="str">
        <f t="shared" si="310"/>
        <v xml:space="preserve"> </v>
      </c>
      <c r="B721" s="108"/>
      <c r="C721" s="38"/>
      <c r="D721" s="137"/>
      <c r="E721" s="137"/>
      <c r="F721" s="137"/>
      <c r="G721" s="122"/>
      <c r="H721" s="137"/>
      <c r="I721" s="50"/>
      <c r="J721" s="50"/>
      <c r="K721" s="50"/>
      <c r="L721" s="38"/>
      <c r="M721" s="38"/>
      <c r="N721" s="38"/>
      <c r="O721" s="50"/>
      <c r="P721" s="218"/>
      <c r="Q721" s="50"/>
      <c r="R721" s="50"/>
      <c r="S721" s="38"/>
      <c r="T721" s="51"/>
      <c r="U721" s="65"/>
      <c r="V721" s="105"/>
      <c r="W721" s="66"/>
      <c r="X721" s="66"/>
      <c r="Y721" s="38"/>
      <c r="Z721" s="66">
        <f t="shared" si="309"/>
        <v>0</v>
      </c>
      <c r="AC721" s="41" t="e">
        <f>VLOOKUP(A721,'Input Sheet'!$A$2:$B$232,2,0)</f>
        <v>#N/A</v>
      </c>
      <c r="AD721" s="70"/>
    </row>
    <row r="722" spans="1:30" x14ac:dyDescent="0.2">
      <c r="A722" s="38" t="str">
        <f t="shared" si="310"/>
        <v xml:space="preserve"> </v>
      </c>
      <c r="B722" s="108"/>
      <c r="C722" s="38"/>
      <c r="D722" s="137"/>
      <c r="E722" s="137"/>
      <c r="F722" s="137"/>
      <c r="G722" s="122"/>
      <c r="H722" s="137"/>
      <c r="I722" s="50"/>
      <c r="J722" s="50"/>
      <c r="K722" s="50"/>
      <c r="L722" s="38"/>
      <c r="M722" s="38"/>
      <c r="N722" s="38"/>
      <c r="O722" s="50"/>
      <c r="P722" s="218"/>
      <c r="Q722" s="50"/>
      <c r="R722" s="50"/>
      <c r="S722" s="38"/>
      <c r="T722" s="51"/>
      <c r="U722" s="65"/>
      <c r="V722" s="105"/>
      <c r="W722" s="66"/>
      <c r="X722" s="66"/>
      <c r="Y722" s="38"/>
      <c r="Z722" s="66">
        <f t="shared" si="309"/>
        <v>0</v>
      </c>
      <c r="AC722" s="41" t="e">
        <f>VLOOKUP(A722,'Input Sheet'!$A$2:$B$232,2,0)</f>
        <v>#N/A</v>
      </c>
      <c r="AD722" s="70"/>
    </row>
    <row r="723" spans="1:30" x14ac:dyDescent="0.2">
      <c r="A723" s="38" t="str">
        <f t="shared" si="310"/>
        <v xml:space="preserve"> </v>
      </c>
      <c r="B723" s="108"/>
      <c r="C723" s="38"/>
      <c r="D723" s="137"/>
      <c r="E723" s="137"/>
      <c r="F723" s="137"/>
      <c r="G723" s="122"/>
      <c r="H723" s="137"/>
      <c r="I723" s="50"/>
      <c r="J723" s="50"/>
      <c r="K723" s="50"/>
      <c r="L723" s="38"/>
      <c r="M723" s="38"/>
      <c r="N723" s="38"/>
      <c r="O723" s="50"/>
      <c r="P723" s="218"/>
      <c r="Q723" s="50"/>
      <c r="R723" s="50"/>
      <c r="S723" s="38"/>
      <c r="T723" s="51"/>
      <c r="U723" s="65"/>
      <c r="V723" s="105"/>
      <c r="W723" s="66"/>
      <c r="X723" s="66"/>
      <c r="Y723" s="38"/>
      <c r="Z723" s="66">
        <f t="shared" si="309"/>
        <v>0</v>
      </c>
      <c r="AC723" s="41" t="e">
        <f>VLOOKUP(A723,'Input Sheet'!$A$2:$B$232,2,0)</f>
        <v>#N/A</v>
      </c>
      <c r="AD723" s="70"/>
    </row>
    <row r="724" spans="1:30" x14ac:dyDescent="0.2">
      <c r="A724" s="38" t="str">
        <f t="shared" si="310"/>
        <v xml:space="preserve"> </v>
      </c>
      <c r="B724" s="108"/>
      <c r="C724" s="38"/>
      <c r="D724" s="137"/>
      <c r="E724" s="137"/>
      <c r="F724" s="137"/>
      <c r="G724" s="122"/>
      <c r="H724" s="137"/>
      <c r="I724" s="50"/>
      <c r="J724" s="50"/>
      <c r="K724" s="50"/>
      <c r="L724" s="38"/>
      <c r="M724" s="38"/>
      <c r="N724" s="38"/>
      <c r="O724" s="50"/>
      <c r="P724" s="218"/>
      <c r="Q724" s="50"/>
      <c r="R724" s="50"/>
      <c r="S724" s="38"/>
      <c r="T724" s="51"/>
      <c r="U724" s="65"/>
      <c r="V724" s="105"/>
      <c r="W724" s="66"/>
      <c r="X724" s="66"/>
      <c r="Y724" s="38"/>
      <c r="Z724" s="66">
        <f t="shared" si="309"/>
        <v>0</v>
      </c>
      <c r="AC724" s="41" t="e">
        <f>VLOOKUP(A724,'Input Sheet'!$A$2:$B$232,2,0)</f>
        <v>#N/A</v>
      </c>
      <c r="AD724" s="70"/>
    </row>
    <row r="725" spans="1:30" x14ac:dyDescent="0.2">
      <c r="A725" s="38" t="str">
        <f t="shared" si="310"/>
        <v xml:space="preserve"> </v>
      </c>
      <c r="B725" s="108"/>
      <c r="C725" s="38"/>
      <c r="D725" s="137"/>
      <c r="E725" s="137"/>
      <c r="F725" s="137"/>
      <c r="G725" s="122"/>
      <c r="H725" s="137"/>
      <c r="I725" s="50"/>
      <c r="J725" s="50"/>
      <c r="K725" s="50"/>
      <c r="L725" s="38"/>
      <c r="M725" s="38"/>
      <c r="N725" s="38"/>
      <c r="O725" s="50"/>
      <c r="P725" s="218"/>
      <c r="Q725" s="50"/>
      <c r="R725" s="50"/>
      <c r="S725" s="38"/>
      <c r="T725" s="51"/>
      <c r="U725" s="65"/>
      <c r="V725" s="105"/>
      <c r="W725" s="66"/>
      <c r="X725" s="66"/>
      <c r="Y725" s="38"/>
      <c r="Z725" s="66">
        <f t="shared" si="309"/>
        <v>0</v>
      </c>
      <c r="AC725" s="41" t="e">
        <f>VLOOKUP(A725,'Input Sheet'!$A$2:$B$232,2,0)</f>
        <v>#N/A</v>
      </c>
      <c r="AD725" s="70"/>
    </row>
    <row r="726" spans="1:30" x14ac:dyDescent="0.2">
      <c r="A726" s="38" t="str">
        <f t="shared" si="310"/>
        <v xml:space="preserve"> </v>
      </c>
      <c r="B726" s="108"/>
      <c r="C726" s="38"/>
      <c r="D726" s="137"/>
      <c r="E726" s="137"/>
      <c r="F726" s="137"/>
      <c r="G726" s="122"/>
      <c r="H726" s="137"/>
      <c r="I726" s="50"/>
      <c r="J726" s="50"/>
      <c r="K726" s="50"/>
      <c r="L726" s="38"/>
      <c r="M726" s="38"/>
      <c r="N726" s="38"/>
      <c r="O726" s="50"/>
      <c r="P726" s="218"/>
      <c r="Q726" s="50"/>
      <c r="R726" s="50"/>
      <c r="S726" s="38"/>
      <c r="T726" s="51"/>
      <c r="U726" s="65"/>
      <c r="V726" s="105"/>
      <c r="W726" s="66"/>
      <c r="X726" s="66"/>
      <c r="Y726" s="38"/>
      <c r="Z726" s="66">
        <f t="shared" si="309"/>
        <v>0</v>
      </c>
      <c r="AC726" s="41" t="e">
        <f>VLOOKUP(A726,'Input Sheet'!$A$2:$B$232,2,0)</f>
        <v>#N/A</v>
      </c>
      <c r="AD726" s="70"/>
    </row>
    <row r="727" spans="1:30" x14ac:dyDescent="0.2">
      <c r="A727" s="38" t="str">
        <f t="shared" si="310"/>
        <v xml:space="preserve"> </v>
      </c>
      <c r="B727" s="108"/>
      <c r="C727" s="38"/>
      <c r="D727" s="137"/>
      <c r="E727" s="137"/>
      <c r="F727" s="137"/>
      <c r="G727" s="122"/>
      <c r="H727" s="137"/>
      <c r="I727" s="50"/>
      <c r="J727" s="50"/>
      <c r="K727" s="50"/>
      <c r="L727" s="38"/>
      <c r="M727" s="38"/>
      <c r="N727" s="38"/>
      <c r="O727" s="50"/>
      <c r="P727" s="218"/>
      <c r="Q727" s="50"/>
      <c r="R727" s="50"/>
      <c r="S727" s="38"/>
      <c r="T727" s="51"/>
      <c r="U727" s="65"/>
      <c r="V727" s="105"/>
      <c r="W727" s="66"/>
      <c r="X727" s="66"/>
      <c r="Y727" s="38"/>
      <c r="Z727" s="66">
        <f t="shared" si="309"/>
        <v>0</v>
      </c>
      <c r="AC727" s="41" t="e">
        <f>VLOOKUP(A727,'Input Sheet'!$A$2:$B$232,2,0)</f>
        <v>#N/A</v>
      </c>
      <c r="AD727" s="70"/>
    </row>
    <row r="728" spans="1:30" x14ac:dyDescent="0.2">
      <c r="A728" s="38" t="str">
        <f t="shared" si="310"/>
        <v xml:space="preserve"> </v>
      </c>
      <c r="B728" s="108"/>
      <c r="C728" s="38"/>
      <c r="D728" s="137"/>
      <c r="E728" s="137"/>
      <c r="F728" s="137"/>
      <c r="G728" s="122"/>
      <c r="H728" s="137"/>
      <c r="I728" s="50"/>
      <c r="J728" s="50"/>
      <c r="K728" s="50"/>
      <c r="L728" s="38"/>
      <c r="M728" s="38"/>
      <c r="N728" s="38"/>
      <c r="O728" s="50"/>
      <c r="P728" s="218"/>
      <c r="Q728" s="50"/>
      <c r="R728" s="50"/>
      <c r="S728" s="38"/>
      <c r="T728" s="51"/>
      <c r="U728" s="65"/>
      <c r="V728" s="105"/>
      <c r="W728" s="66"/>
      <c r="X728" s="66"/>
      <c r="Y728" s="38"/>
      <c r="Z728" s="66">
        <f t="shared" si="309"/>
        <v>0</v>
      </c>
      <c r="AC728" s="41" t="e">
        <f>VLOOKUP(A728,'Input Sheet'!$A$2:$B$232,2,0)</f>
        <v>#N/A</v>
      </c>
      <c r="AD728" s="70"/>
    </row>
    <row r="729" spans="1:30" x14ac:dyDescent="0.2">
      <c r="A729" s="38" t="str">
        <f t="shared" si="310"/>
        <v xml:space="preserve"> </v>
      </c>
      <c r="B729" s="108"/>
      <c r="C729" s="38"/>
      <c r="D729" s="137"/>
      <c r="E729" s="137"/>
      <c r="F729" s="137"/>
      <c r="G729" s="122"/>
      <c r="H729" s="137"/>
      <c r="I729" s="50"/>
      <c r="J729" s="50"/>
      <c r="K729" s="50"/>
      <c r="L729" s="38"/>
      <c r="M729" s="38"/>
      <c r="N729" s="38"/>
      <c r="O729" s="50"/>
      <c r="P729" s="218"/>
      <c r="Q729" s="50"/>
      <c r="R729" s="50"/>
      <c r="S729" s="38"/>
      <c r="T729" s="51"/>
      <c r="U729" s="65"/>
      <c r="V729" s="105"/>
      <c r="W729" s="66"/>
      <c r="X729" s="66"/>
      <c r="Y729" s="38"/>
      <c r="Z729" s="66">
        <f t="shared" si="309"/>
        <v>0</v>
      </c>
      <c r="AC729" s="41" t="e">
        <f>VLOOKUP(A729,'Input Sheet'!$A$2:$B$232,2,0)</f>
        <v>#N/A</v>
      </c>
      <c r="AD729" s="70"/>
    </row>
    <row r="730" spans="1:30" x14ac:dyDescent="0.2">
      <c r="A730" s="38" t="str">
        <f t="shared" si="310"/>
        <v xml:space="preserve"> </v>
      </c>
      <c r="B730" s="108"/>
      <c r="C730" s="38"/>
      <c r="D730" s="137"/>
      <c r="E730" s="137"/>
      <c r="F730" s="137"/>
      <c r="G730" s="122"/>
      <c r="H730" s="137"/>
      <c r="I730" s="50"/>
      <c r="J730" s="50"/>
      <c r="K730" s="50"/>
      <c r="L730" s="38"/>
      <c r="M730" s="38"/>
      <c r="N730" s="38"/>
      <c r="O730" s="50"/>
      <c r="P730" s="218"/>
      <c r="Q730" s="50"/>
      <c r="R730" s="50"/>
      <c r="S730" s="38"/>
      <c r="T730" s="51"/>
      <c r="U730" s="65"/>
      <c r="V730" s="105"/>
      <c r="W730" s="66"/>
      <c r="X730" s="66"/>
      <c r="Y730" s="38"/>
      <c r="Z730" s="66">
        <f t="shared" si="309"/>
        <v>0</v>
      </c>
      <c r="AC730" s="41" t="e">
        <f>VLOOKUP(A730,'Input Sheet'!$A$2:$B$232,2,0)</f>
        <v>#N/A</v>
      </c>
      <c r="AD730" s="70"/>
    </row>
    <row r="731" spans="1:30" x14ac:dyDescent="0.2">
      <c r="A731" s="38" t="str">
        <f t="shared" si="310"/>
        <v xml:space="preserve"> </v>
      </c>
      <c r="B731" s="108"/>
      <c r="C731" s="38"/>
      <c r="D731" s="137"/>
      <c r="E731" s="137"/>
      <c r="F731" s="137"/>
      <c r="G731" s="122"/>
      <c r="H731" s="137"/>
      <c r="I731" s="50"/>
      <c r="J731" s="50"/>
      <c r="K731" s="50"/>
      <c r="L731" s="38"/>
      <c r="M731" s="38"/>
      <c r="N731" s="38"/>
      <c r="O731" s="50"/>
      <c r="P731" s="218"/>
      <c r="Q731" s="50"/>
      <c r="R731" s="50"/>
      <c r="S731" s="38"/>
      <c r="T731" s="51"/>
      <c r="U731" s="65"/>
      <c r="V731" s="105"/>
      <c r="W731" s="66"/>
      <c r="X731" s="66"/>
      <c r="Y731" s="38"/>
      <c r="Z731" s="66">
        <f t="shared" si="309"/>
        <v>0</v>
      </c>
      <c r="AC731" s="41" t="e">
        <f>VLOOKUP(A731,'Input Sheet'!$A$2:$B$232,2,0)</f>
        <v>#N/A</v>
      </c>
      <c r="AD731" s="70"/>
    </row>
    <row r="732" spans="1:30" x14ac:dyDescent="0.2">
      <c r="A732" s="38" t="str">
        <f t="shared" si="310"/>
        <v xml:space="preserve"> </v>
      </c>
      <c r="B732" s="108"/>
      <c r="C732" s="38"/>
      <c r="D732" s="137"/>
      <c r="E732" s="137"/>
      <c r="F732" s="137"/>
      <c r="G732" s="122"/>
      <c r="H732" s="137"/>
      <c r="I732" s="50"/>
      <c r="J732" s="50"/>
      <c r="K732" s="50"/>
      <c r="L732" s="38"/>
      <c r="M732" s="38"/>
      <c r="N732" s="38"/>
      <c r="O732" s="50"/>
      <c r="P732" s="218"/>
      <c r="Q732" s="50"/>
      <c r="R732" s="50"/>
      <c r="S732" s="38"/>
      <c r="T732" s="51"/>
      <c r="U732" s="65"/>
      <c r="V732" s="105"/>
      <c r="W732" s="66"/>
      <c r="X732" s="66"/>
      <c r="Y732" s="38"/>
      <c r="Z732" s="66">
        <f t="shared" si="309"/>
        <v>0</v>
      </c>
      <c r="AC732" s="41" t="e">
        <f>VLOOKUP(A732,'Input Sheet'!$A$2:$B$232,2,0)</f>
        <v>#N/A</v>
      </c>
      <c r="AD732" s="70"/>
    </row>
    <row r="733" spans="1:30" x14ac:dyDescent="0.2">
      <c r="A733" s="38" t="str">
        <f t="shared" si="310"/>
        <v xml:space="preserve"> </v>
      </c>
      <c r="B733" s="108"/>
      <c r="C733" s="38"/>
      <c r="D733" s="137"/>
      <c r="E733" s="137"/>
      <c r="F733" s="137"/>
      <c r="G733" s="122"/>
      <c r="H733" s="137"/>
      <c r="I733" s="50"/>
      <c r="J733" s="50"/>
      <c r="K733" s="50"/>
      <c r="L733" s="38"/>
      <c r="M733" s="38"/>
      <c r="N733" s="38"/>
      <c r="O733" s="50"/>
      <c r="P733" s="218"/>
      <c r="Q733" s="50"/>
      <c r="R733" s="50"/>
      <c r="S733" s="38"/>
      <c r="T733" s="51"/>
      <c r="U733" s="65"/>
      <c r="V733" s="105"/>
      <c r="W733" s="66"/>
      <c r="X733" s="66"/>
      <c r="Y733" s="38"/>
      <c r="Z733" s="66">
        <f t="shared" si="309"/>
        <v>0</v>
      </c>
      <c r="AC733" s="41" t="e">
        <f>VLOOKUP(A733,'Input Sheet'!$A$2:$B$232,2,0)</f>
        <v>#N/A</v>
      </c>
      <c r="AD733" s="70"/>
    </row>
    <row r="734" spans="1:30" x14ac:dyDescent="0.2">
      <c r="A734" s="38" t="str">
        <f t="shared" si="310"/>
        <v xml:space="preserve"> </v>
      </c>
      <c r="B734" s="108"/>
      <c r="C734" s="38"/>
      <c r="D734" s="137"/>
      <c r="E734" s="137"/>
      <c r="F734" s="137"/>
      <c r="G734" s="122"/>
      <c r="H734" s="137"/>
      <c r="I734" s="50"/>
      <c r="J734" s="50"/>
      <c r="K734" s="50"/>
      <c r="L734" s="38"/>
      <c r="M734" s="38"/>
      <c r="N734" s="38"/>
      <c r="O734" s="50"/>
      <c r="P734" s="218"/>
      <c r="Q734" s="50"/>
      <c r="R734" s="50"/>
      <c r="S734" s="38"/>
      <c r="T734" s="51"/>
      <c r="U734" s="65"/>
      <c r="V734" s="105"/>
      <c r="W734" s="66"/>
      <c r="X734" s="66"/>
      <c r="Y734" s="38"/>
      <c r="Z734" s="66">
        <f t="shared" si="309"/>
        <v>0</v>
      </c>
      <c r="AC734" s="41" t="e">
        <f>VLOOKUP(A734,'Input Sheet'!$A$2:$B$232,2,0)</f>
        <v>#N/A</v>
      </c>
      <c r="AD734" s="70"/>
    </row>
    <row r="735" spans="1:30" x14ac:dyDescent="0.2">
      <c r="A735" s="38" t="str">
        <f t="shared" si="310"/>
        <v xml:space="preserve"> </v>
      </c>
      <c r="B735" s="108"/>
      <c r="C735" s="38"/>
      <c r="D735" s="137"/>
      <c r="E735" s="137"/>
      <c r="F735" s="137"/>
      <c r="G735" s="122"/>
      <c r="H735" s="137"/>
      <c r="I735" s="50"/>
      <c r="J735" s="50"/>
      <c r="K735" s="50"/>
      <c r="L735" s="38"/>
      <c r="M735" s="38"/>
      <c r="N735" s="38"/>
      <c r="O735" s="50"/>
      <c r="P735" s="218"/>
      <c r="Q735" s="50"/>
      <c r="R735" s="50"/>
      <c r="S735" s="38"/>
      <c r="T735" s="51"/>
      <c r="U735" s="65"/>
      <c r="V735" s="105"/>
      <c r="W735" s="66"/>
      <c r="X735" s="66"/>
      <c r="Y735" s="38"/>
      <c r="Z735" s="66">
        <f t="shared" si="309"/>
        <v>0</v>
      </c>
      <c r="AC735" s="41" t="e">
        <f>VLOOKUP(A735,'Input Sheet'!$A$2:$B$232,2,0)</f>
        <v>#N/A</v>
      </c>
      <c r="AD735" s="70"/>
    </row>
    <row r="736" spans="1:30" x14ac:dyDescent="0.2">
      <c r="A736" s="38" t="str">
        <f t="shared" si="310"/>
        <v xml:space="preserve"> </v>
      </c>
      <c r="B736" s="108"/>
      <c r="C736" s="38"/>
      <c r="D736" s="137"/>
      <c r="E736" s="137"/>
      <c r="F736" s="137"/>
      <c r="G736" s="122"/>
      <c r="H736" s="137"/>
      <c r="I736" s="50"/>
      <c r="J736" s="50"/>
      <c r="K736" s="50"/>
      <c r="L736" s="38"/>
      <c r="M736" s="38"/>
      <c r="N736" s="38"/>
      <c r="O736" s="50"/>
      <c r="P736" s="218"/>
      <c r="Q736" s="50"/>
      <c r="R736" s="50"/>
      <c r="S736" s="38"/>
      <c r="T736" s="51"/>
      <c r="U736" s="65"/>
      <c r="V736" s="105"/>
      <c r="W736" s="66"/>
      <c r="X736" s="66"/>
      <c r="Y736" s="38"/>
      <c r="Z736" s="66">
        <f t="shared" si="309"/>
        <v>0</v>
      </c>
      <c r="AC736" s="41" t="e">
        <f>VLOOKUP(A736,'Input Sheet'!$A$2:$B$232,2,0)</f>
        <v>#N/A</v>
      </c>
      <c r="AD736" s="70"/>
    </row>
    <row r="737" spans="1:30" x14ac:dyDescent="0.2">
      <c r="A737" s="38" t="str">
        <f t="shared" si="310"/>
        <v xml:space="preserve"> </v>
      </c>
      <c r="B737" s="108"/>
      <c r="C737" s="38"/>
      <c r="D737" s="137"/>
      <c r="E737" s="137"/>
      <c r="F737" s="137"/>
      <c r="G737" s="122"/>
      <c r="H737" s="137"/>
      <c r="I737" s="50"/>
      <c r="J737" s="50"/>
      <c r="K737" s="50"/>
      <c r="L737" s="38"/>
      <c r="M737" s="38"/>
      <c r="N737" s="38"/>
      <c r="O737" s="50"/>
      <c r="P737" s="218"/>
      <c r="Q737" s="50"/>
      <c r="R737" s="50"/>
      <c r="S737" s="38"/>
      <c r="T737" s="51"/>
      <c r="U737" s="65"/>
      <c r="V737" s="105"/>
      <c r="W737" s="66"/>
      <c r="X737" s="66"/>
      <c r="Y737" s="38"/>
      <c r="Z737" s="66">
        <f t="shared" si="309"/>
        <v>0</v>
      </c>
      <c r="AC737" s="41" t="e">
        <f>VLOOKUP(A737,'Input Sheet'!$A$2:$B$232,2,0)</f>
        <v>#N/A</v>
      </c>
      <c r="AD737" s="70"/>
    </row>
    <row r="738" spans="1:30" x14ac:dyDescent="0.2">
      <c r="A738" s="38" t="str">
        <f t="shared" si="310"/>
        <v xml:space="preserve"> </v>
      </c>
      <c r="B738" s="108"/>
      <c r="C738" s="38"/>
      <c r="D738" s="137"/>
      <c r="E738" s="137"/>
      <c r="F738" s="137"/>
      <c r="G738" s="122"/>
      <c r="H738" s="137"/>
      <c r="I738" s="50"/>
      <c r="J738" s="50"/>
      <c r="K738" s="50"/>
      <c r="L738" s="38"/>
      <c r="M738" s="38"/>
      <c r="N738" s="38"/>
      <c r="O738" s="50"/>
      <c r="P738" s="218"/>
      <c r="Q738" s="50"/>
      <c r="R738" s="50"/>
      <c r="S738" s="38"/>
      <c r="T738" s="51"/>
      <c r="U738" s="65"/>
      <c r="V738" s="105"/>
      <c r="W738" s="66"/>
      <c r="X738" s="66"/>
      <c r="Y738" s="38"/>
      <c r="Z738" s="66">
        <f t="shared" si="309"/>
        <v>0</v>
      </c>
      <c r="AC738" s="41" t="e">
        <f>VLOOKUP(A738,'Input Sheet'!$A$2:$B$232,2,0)</f>
        <v>#N/A</v>
      </c>
      <c r="AD738" s="70"/>
    </row>
    <row r="739" spans="1:30" x14ac:dyDescent="0.2">
      <c r="A739" s="38" t="str">
        <f t="shared" si="310"/>
        <v xml:space="preserve"> </v>
      </c>
      <c r="B739" s="108"/>
      <c r="C739" s="38"/>
      <c r="D739" s="137"/>
      <c r="E739" s="137"/>
      <c r="F739" s="137"/>
      <c r="G739" s="122"/>
      <c r="H739" s="137"/>
      <c r="I739" s="50"/>
      <c r="J739" s="50"/>
      <c r="K739" s="50"/>
      <c r="L739" s="38"/>
      <c r="M739" s="38"/>
      <c r="N739" s="38"/>
      <c r="O739" s="50"/>
      <c r="P739" s="218"/>
      <c r="Q739" s="50"/>
      <c r="R739" s="50"/>
      <c r="S739" s="38"/>
      <c r="T739" s="51"/>
      <c r="U739" s="65"/>
      <c r="V739" s="105"/>
      <c r="W739" s="66"/>
      <c r="X739" s="66"/>
      <c r="Y739" s="38"/>
      <c r="Z739" s="66">
        <f t="shared" si="309"/>
        <v>0</v>
      </c>
      <c r="AC739" s="41" t="e">
        <f>VLOOKUP(A739,'Input Sheet'!$A$2:$B$232,2,0)</f>
        <v>#N/A</v>
      </c>
      <c r="AD739" s="70"/>
    </row>
    <row r="740" spans="1:30" x14ac:dyDescent="0.2">
      <c r="A740" s="38" t="str">
        <f t="shared" si="310"/>
        <v xml:space="preserve"> </v>
      </c>
      <c r="B740" s="108"/>
      <c r="C740" s="38"/>
      <c r="D740" s="137"/>
      <c r="E740" s="137"/>
      <c r="F740" s="137"/>
      <c r="G740" s="122"/>
      <c r="H740" s="137"/>
      <c r="I740" s="50"/>
      <c r="J740" s="50"/>
      <c r="K740" s="50"/>
      <c r="L740" s="38"/>
      <c r="M740" s="38"/>
      <c r="N740" s="38"/>
      <c r="O740" s="50"/>
      <c r="P740" s="218"/>
      <c r="Q740" s="50"/>
      <c r="R740" s="50"/>
      <c r="S740" s="38"/>
      <c r="T740" s="51"/>
      <c r="U740" s="65"/>
      <c r="V740" s="105"/>
      <c r="W740" s="66"/>
      <c r="X740" s="66"/>
      <c r="Y740" s="38"/>
      <c r="Z740" s="66">
        <f t="shared" si="309"/>
        <v>0</v>
      </c>
      <c r="AC740" s="41" t="e">
        <f>VLOOKUP(A740,'Input Sheet'!$A$2:$B$232,2,0)</f>
        <v>#N/A</v>
      </c>
      <c r="AD740" s="70"/>
    </row>
    <row r="741" spans="1:30" x14ac:dyDescent="0.2">
      <c r="A741" s="38" t="str">
        <f t="shared" si="310"/>
        <v xml:space="preserve"> </v>
      </c>
      <c r="B741" s="108"/>
      <c r="C741" s="38"/>
      <c r="D741" s="137"/>
      <c r="E741" s="137"/>
      <c r="F741" s="137"/>
      <c r="G741" s="122"/>
      <c r="H741" s="137"/>
      <c r="I741" s="50"/>
      <c r="J741" s="50"/>
      <c r="K741" s="50"/>
      <c r="L741" s="38"/>
      <c r="M741" s="38"/>
      <c r="N741" s="38"/>
      <c r="O741" s="50"/>
      <c r="P741" s="218"/>
      <c r="Q741" s="50"/>
      <c r="R741" s="50"/>
      <c r="S741" s="38"/>
      <c r="T741" s="51"/>
      <c r="U741" s="65"/>
      <c r="V741" s="105"/>
      <c r="W741" s="66"/>
      <c r="X741" s="66"/>
      <c r="Y741" s="38"/>
      <c r="Z741" s="66">
        <f t="shared" si="309"/>
        <v>0</v>
      </c>
      <c r="AC741" s="41" t="e">
        <f>VLOOKUP(A741,'Input Sheet'!$A$2:$B$232,2,0)</f>
        <v>#N/A</v>
      </c>
      <c r="AD741" s="70"/>
    </row>
    <row r="742" spans="1:30" x14ac:dyDescent="0.2">
      <c r="A742" s="38" t="str">
        <f t="shared" si="310"/>
        <v xml:space="preserve"> </v>
      </c>
      <c r="B742" s="108"/>
      <c r="C742" s="38"/>
      <c r="D742" s="137"/>
      <c r="E742" s="137"/>
      <c r="F742" s="137"/>
      <c r="G742" s="122"/>
      <c r="H742" s="137"/>
      <c r="I742" s="50"/>
      <c r="J742" s="50"/>
      <c r="K742" s="50"/>
      <c r="L742" s="38"/>
      <c r="M742" s="38"/>
      <c r="N742" s="38"/>
      <c r="O742" s="50"/>
      <c r="P742" s="218"/>
      <c r="Q742" s="50"/>
      <c r="R742" s="50"/>
      <c r="S742" s="38"/>
      <c r="T742" s="51"/>
      <c r="U742" s="65"/>
      <c r="V742" s="105"/>
      <c r="W742" s="66"/>
      <c r="X742" s="66"/>
      <c r="Y742" s="38"/>
      <c r="Z742" s="66">
        <f t="shared" si="309"/>
        <v>0</v>
      </c>
      <c r="AC742" s="41" t="e">
        <f>VLOOKUP(A742,'Input Sheet'!$A$2:$B$232,2,0)</f>
        <v>#N/A</v>
      </c>
      <c r="AD742" s="70"/>
    </row>
    <row r="743" spans="1:30" x14ac:dyDescent="0.2">
      <c r="A743" s="38" t="str">
        <f t="shared" si="310"/>
        <v xml:space="preserve"> </v>
      </c>
      <c r="B743" s="108"/>
      <c r="C743" s="38"/>
      <c r="D743" s="137"/>
      <c r="E743" s="137"/>
      <c r="F743" s="137"/>
      <c r="G743" s="122"/>
      <c r="H743" s="137"/>
      <c r="I743" s="50"/>
      <c r="J743" s="50"/>
      <c r="K743" s="50"/>
      <c r="L743" s="38"/>
      <c r="M743" s="38"/>
      <c r="N743" s="38"/>
      <c r="O743" s="50"/>
      <c r="P743" s="218"/>
      <c r="Q743" s="50"/>
      <c r="R743" s="50"/>
      <c r="S743" s="38"/>
      <c r="T743" s="51"/>
      <c r="U743" s="65"/>
      <c r="V743" s="105"/>
      <c r="W743" s="66"/>
      <c r="X743" s="66"/>
      <c r="Y743" s="38"/>
      <c r="Z743" s="66">
        <f t="shared" si="309"/>
        <v>0</v>
      </c>
      <c r="AC743" s="41" t="e">
        <f>VLOOKUP(A743,'Input Sheet'!$A$2:$B$232,2,0)</f>
        <v>#N/A</v>
      </c>
      <c r="AD743" s="70"/>
    </row>
    <row r="744" spans="1:30" x14ac:dyDescent="0.2">
      <c r="A744" s="38" t="str">
        <f t="shared" si="310"/>
        <v xml:space="preserve"> </v>
      </c>
      <c r="B744" s="108"/>
      <c r="C744" s="38"/>
      <c r="D744" s="137"/>
      <c r="E744" s="137"/>
      <c r="F744" s="137"/>
      <c r="G744" s="122"/>
      <c r="H744" s="137"/>
      <c r="I744" s="50"/>
      <c r="J744" s="50"/>
      <c r="K744" s="50"/>
      <c r="L744" s="38"/>
      <c r="M744" s="38"/>
      <c r="N744" s="38"/>
      <c r="O744" s="50"/>
      <c r="P744" s="218"/>
      <c r="Q744" s="50"/>
      <c r="R744" s="50"/>
      <c r="S744" s="38"/>
      <c r="T744" s="51"/>
      <c r="U744" s="65"/>
      <c r="V744" s="105"/>
      <c r="W744" s="66"/>
      <c r="X744" s="66"/>
      <c r="Y744" s="38"/>
      <c r="Z744" s="66">
        <f t="shared" si="309"/>
        <v>0</v>
      </c>
      <c r="AC744" s="41" t="e">
        <f>VLOOKUP(A744,'Input Sheet'!$A$2:$B$232,2,0)</f>
        <v>#N/A</v>
      </c>
      <c r="AD744" s="70"/>
    </row>
    <row r="745" spans="1:30" x14ac:dyDescent="0.2">
      <c r="A745" s="38" t="str">
        <f t="shared" si="310"/>
        <v xml:space="preserve"> </v>
      </c>
      <c r="B745" s="108"/>
      <c r="C745" s="38"/>
      <c r="D745" s="137"/>
      <c r="E745" s="137"/>
      <c r="F745" s="137"/>
      <c r="G745" s="122"/>
      <c r="H745" s="137"/>
      <c r="I745" s="50"/>
      <c r="J745" s="50"/>
      <c r="K745" s="50"/>
      <c r="L745" s="38"/>
      <c r="M745" s="38"/>
      <c r="N745" s="38"/>
      <c r="O745" s="50"/>
      <c r="P745" s="218"/>
      <c r="Q745" s="50"/>
      <c r="R745" s="50"/>
      <c r="S745" s="38"/>
      <c r="T745" s="51"/>
      <c r="U745" s="65"/>
      <c r="V745" s="105"/>
      <c r="W745" s="66"/>
      <c r="X745" s="66"/>
      <c r="Y745" s="38"/>
      <c r="Z745" s="66">
        <f t="shared" si="309"/>
        <v>0</v>
      </c>
      <c r="AC745" s="41" t="e">
        <f>VLOOKUP(A745,'Input Sheet'!$A$2:$B$232,2,0)</f>
        <v>#N/A</v>
      </c>
      <c r="AD745" s="70"/>
    </row>
    <row r="746" spans="1:30" x14ac:dyDescent="0.2">
      <c r="A746" s="38" t="str">
        <f t="shared" si="310"/>
        <v xml:space="preserve"> </v>
      </c>
      <c r="B746" s="108"/>
      <c r="C746" s="38"/>
      <c r="D746" s="137"/>
      <c r="E746" s="137"/>
      <c r="F746" s="137"/>
      <c r="G746" s="122"/>
      <c r="H746" s="137"/>
      <c r="I746" s="50"/>
      <c r="J746" s="50"/>
      <c r="K746" s="50"/>
      <c r="L746" s="38"/>
      <c r="M746" s="38"/>
      <c r="N746" s="38"/>
      <c r="O746" s="50"/>
      <c r="P746" s="218"/>
      <c r="Q746" s="50"/>
      <c r="R746" s="50"/>
      <c r="S746" s="38"/>
      <c r="T746" s="51"/>
      <c r="U746" s="65"/>
      <c r="V746" s="105"/>
      <c r="W746" s="66"/>
      <c r="X746" s="66"/>
      <c r="Y746" s="38"/>
      <c r="Z746" s="66">
        <f t="shared" si="309"/>
        <v>0</v>
      </c>
      <c r="AC746" s="41" t="e">
        <f>VLOOKUP(A746,'Input Sheet'!$A$2:$B$232,2,0)</f>
        <v>#N/A</v>
      </c>
      <c r="AD746" s="70"/>
    </row>
    <row r="747" spans="1:30" x14ac:dyDescent="0.2">
      <c r="A747" s="38" t="str">
        <f t="shared" si="310"/>
        <v xml:space="preserve"> </v>
      </c>
      <c r="B747" s="108"/>
      <c r="C747" s="38"/>
      <c r="D747" s="137"/>
      <c r="E747" s="137"/>
      <c r="F747" s="137"/>
      <c r="G747" s="122"/>
      <c r="H747" s="137"/>
      <c r="I747" s="50"/>
      <c r="J747" s="50"/>
      <c r="K747" s="50"/>
      <c r="L747" s="38"/>
      <c r="M747" s="38"/>
      <c r="N747" s="38"/>
      <c r="O747" s="50"/>
      <c r="P747" s="218"/>
      <c r="Q747" s="50"/>
      <c r="R747" s="50"/>
      <c r="S747" s="38"/>
      <c r="T747" s="51"/>
      <c r="U747" s="65"/>
      <c r="V747" s="105"/>
      <c r="W747" s="66"/>
      <c r="X747" s="66"/>
      <c r="Y747" s="38"/>
      <c r="Z747" s="66">
        <f t="shared" si="309"/>
        <v>0</v>
      </c>
      <c r="AC747" s="41" t="e">
        <f>VLOOKUP(A747,'Input Sheet'!$A$2:$B$232,2,0)</f>
        <v>#N/A</v>
      </c>
      <c r="AD747" s="70"/>
    </row>
    <row r="748" spans="1:30" x14ac:dyDescent="0.2">
      <c r="A748" s="38" t="str">
        <f t="shared" si="310"/>
        <v xml:space="preserve"> </v>
      </c>
      <c r="B748" s="108"/>
      <c r="C748" s="38"/>
      <c r="D748" s="137"/>
      <c r="E748" s="137"/>
      <c r="F748" s="137"/>
      <c r="G748" s="122"/>
      <c r="H748" s="137"/>
      <c r="I748" s="50"/>
      <c r="J748" s="50"/>
      <c r="K748" s="50"/>
      <c r="L748" s="38"/>
      <c r="M748" s="38"/>
      <c r="N748" s="38"/>
      <c r="O748" s="50"/>
      <c r="P748" s="218"/>
      <c r="Q748" s="50"/>
      <c r="R748" s="50"/>
      <c r="S748" s="38"/>
      <c r="T748" s="51"/>
      <c r="U748" s="65"/>
      <c r="V748" s="105"/>
      <c r="W748" s="66"/>
      <c r="X748" s="66"/>
      <c r="Y748" s="38"/>
      <c r="Z748" s="66">
        <f t="shared" si="309"/>
        <v>0</v>
      </c>
      <c r="AC748" s="41" t="e">
        <f>VLOOKUP(A748,'Input Sheet'!$A$2:$B$232,2,0)</f>
        <v>#N/A</v>
      </c>
      <c r="AD748" s="70"/>
    </row>
    <row r="749" spans="1:30" x14ac:dyDescent="0.2">
      <c r="A749" s="38" t="str">
        <f t="shared" si="310"/>
        <v xml:space="preserve"> </v>
      </c>
      <c r="B749" s="108"/>
      <c r="C749" s="38"/>
      <c r="D749" s="137"/>
      <c r="E749" s="137"/>
      <c r="F749" s="137"/>
      <c r="G749" s="122"/>
      <c r="H749" s="137"/>
      <c r="I749" s="50"/>
      <c r="J749" s="50"/>
      <c r="K749" s="50"/>
      <c r="L749" s="38"/>
      <c r="M749" s="38"/>
      <c r="N749" s="38"/>
      <c r="O749" s="50"/>
      <c r="P749" s="218"/>
      <c r="Q749" s="50"/>
      <c r="R749" s="50"/>
      <c r="S749" s="38"/>
      <c r="T749" s="51"/>
      <c r="U749" s="65"/>
      <c r="V749" s="105"/>
      <c r="W749" s="66"/>
      <c r="X749" s="66"/>
      <c r="Y749" s="38"/>
      <c r="Z749" s="66">
        <f t="shared" si="309"/>
        <v>0</v>
      </c>
      <c r="AC749" s="41" t="e">
        <f>VLOOKUP(A749,'Input Sheet'!$A$2:$B$232,2,0)</f>
        <v>#N/A</v>
      </c>
      <c r="AD749" s="70"/>
    </row>
    <row r="750" spans="1:30" x14ac:dyDescent="0.2">
      <c r="A750" s="38" t="str">
        <f t="shared" si="310"/>
        <v xml:space="preserve"> </v>
      </c>
      <c r="B750" s="108"/>
      <c r="C750" s="38"/>
      <c r="D750" s="137"/>
      <c r="E750" s="137"/>
      <c r="F750" s="137"/>
      <c r="G750" s="122"/>
      <c r="H750" s="137"/>
      <c r="I750" s="50"/>
      <c r="J750" s="50"/>
      <c r="K750" s="50"/>
      <c r="L750" s="38"/>
      <c r="M750" s="38"/>
      <c r="N750" s="38"/>
      <c r="O750" s="50"/>
      <c r="P750" s="218"/>
      <c r="Q750" s="50"/>
      <c r="R750" s="50"/>
      <c r="S750" s="38"/>
      <c r="T750" s="51"/>
      <c r="U750" s="65"/>
      <c r="V750" s="105"/>
      <c r="W750" s="66"/>
      <c r="X750" s="66"/>
      <c r="Y750" s="38"/>
      <c r="Z750" s="66">
        <f t="shared" si="309"/>
        <v>0</v>
      </c>
      <c r="AC750" s="41" t="e">
        <f>VLOOKUP(A750,'Input Sheet'!$A$2:$B$232,2,0)</f>
        <v>#N/A</v>
      </c>
      <c r="AD750" s="70"/>
    </row>
    <row r="751" spans="1:30" x14ac:dyDescent="0.2">
      <c r="A751" s="38" t="str">
        <f t="shared" si="310"/>
        <v xml:space="preserve"> </v>
      </c>
      <c r="B751" s="108"/>
      <c r="C751" s="38"/>
      <c r="D751" s="137"/>
      <c r="E751" s="137"/>
      <c r="F751" s="137"/>
      <c r="G751" s="122"/>
      <c r="H751" s="137"/>
      <c r="I751" s="50"/>
      <c r="J751" s="50"/>
      <c r="K751" s="50"/>
      <c r="L751" s="38"/>
      <c r="M751" s="38"/>
      <c r="N751" s="38"/>
      <c r="O751" s="50"/>
      <c r="P751" s="218"/>
      <c r="Q751" s="50"/>
      <c r="R751" s="50"/>
      <c r="S751" s="38"/>
      <c r="T751" s="51"/>
      <c r="U751" s="65"/>
      <c r="V751" s="105"/>
      <c r="W751" s="66"/>
      <c r="X751" s="66"/>
      <c r="Y751" s="38"/>
      <c r="Z751" s="66">
        <f t="shared" si="309"/>
        <v>0</v>
      </c>
      <c r="AC751" s="41" t="e">
        <f>VLOOKUP(A751,'Input Sheet'!$A$2:$B$232,2,0)</f>
        <v>#N/A</v>
      </c>
      <c r="AD751" s="70"/>
    </row>
    <row r="752" spans="1:30" x14ac:dyDescent="0.2">
      <c r="A752" s="38" t="str">
        <f t="shared" si="310"/>
        <v xml:space="preserve"> </v>
      </c>
      <c r="B752" s="108"/>
      <c r="C752" s="38"/>
      <c r="D752" s="137"/>
      <c r="E752" s="137"/>
      <c r="F752" s="137"/>
      <c r="G752" s="122"/>
      <c r="H752" s="137"/>
      <c r="I752" s="50"/>
      <c r="J752" s="50"/>
      <c r="K752" s="50"/>
      <c r="L752" s="38"/>
      <c r="M752" s="38"/>
      <c r="N752" s="38"/>
      <c r="O752" s="50"/>
      <c r="P752" s="218"/>
      <c r="Q752" s="50"/>
      <c r="R752" s="50"/>
      <c r="S752" s="38"/>
      <c r="T752" s="51"/>
      <c r="U752" s="65"/>
      <c r="V752" s="105"/>
      <c r="W752" s="66"/>
      <c r="X752" s="66"/>
      <c r="Y752" s="38"/>
      <c r="Z752" s="66">
        <f t="shared" si="309"/>
        <v>0</v>
      </c>
      <c r="AC752" s="41" t="e">
        <f>VLOOKUP(A752,'Input Sheet'!$A$2:$B$232,2,0)</f>
        <v>#N/A</v>
      </c>
      <c r="AD752" s="70"/>
    </row>
    <row r="753" spans="1:30" x14ac:dyDescent="0.2">
      <c r="A753" s="38" t="str">
        <f t="shared" si="310"/>
        <v xml:space="preserve"> </v>
      </c>
      <c r="B753" s="108"/>
      <c r="C753" s="38"/>
      <c r="D753" s="137"/>
      <c r="E753" s="137"/>
      <c r="F753" s="137"/>
      <c r="G753" s="122"/>
      <c r="H753" s="137"/>
      <c r="I753" s="50"/>
      <c r="J753" s="50"/>
      <c r="K753" s="50"/>
      <c r="L753" s="38"/>
      <c r="M753" s="38"/>
      <c r="N753" s="38"/>
      <c r="O753" s="50"/>
      <c r="P753" s="218"/>
      <c r="Q753" s="50"/>
      <c r="R753" s="50"/>
      <c r="S753" s="38"/>
      <c r="T753" s="51"/>
      <c r="U753" s="65"/>
      <c r="V753" s="105"/>
      <c r="W753" s="66"/>
      <c r="X753" s="66"/>
      <c r="Y753" s="38"/>
      <c r="Z753" s="66">
        <f t="shared" si="309"/>
        <v>0</v>
      </c>
      <c r="AC753" s="41" t="e">
        <f>VLOOKUP(A753,'Input Sheet'!$A$2:$B$232,2,0)</f>
        <v>#N/A</v>
      </c>
      <c r="AD753" s="70"/>
    </row>
    <row r="754" spans="1:30" x14ac:dyDescent="0.2">
      <c r="A754" s="38" t="str">
        <f t="shared" si="310"/>
        <v xml:space="preserve"> </v>
      </c>
      <c r="B754" s="108"/>
      <c r="C754" s="38"/>
      <c r="D754" s="137"/>
      <c r="E754" s="137"/>
      <c r="F754" s="137"/>
      <c r="G754" s="122"/>
      <c r="H754" s="137"/>
      <c r="I754" s="50"/>
      <c r="J754" s="50"/>
      <c r="K754" s="50"/>
      <c r="L754" s="38"/>
      <c r="M754" s="38"/>
      <c r="N754" s="38"/>
      <c r="O754" s="50"/>
      <c r="P754" s="218"/>
      <c r="Q754" s="50"/>
      <c r="R754" s="50"/>
      <c r="S754" s="38"/>
      <c r="T754" s="51"/>
      <c r="U754" s="65"/>
      <c r="V754" s="105"/>
      <c r="W754" s="66"/>
      <c r="X754" s="66"/>
      <c r="Y754" s="38"/>
      <c r="Z754" s="66">
        <f t="shared" si="309"/>
        <v>0</v>
      </c>
      <c r="AC754" s="41" t="e">
        <f>VLOOKUP(A754,'Input Sheet'!$A$2:$B$232,2,0)</f>
        <v>#N/A</v>
      </c>
      <c r="AD754" s="70"/>
    </row>
    <row r="755" spans="1:30" x14ac:dyDescent="0.2">
      <c r="A755" s="38" t="str">
        <f t="shared" si="310"/>
        <v xml:space="preserve"> </v>
      </c>
      <c r="B755" s="108"/>
      <c r="C755" s="38"/>
      <c r="D755" s="137"/>
      <c r="E755" s="137"/>
      <c r="F755" s="137"/>
      <c r="G755" s="122"/>
      <c r="H755" s="137"/>
      <c r="I755" s="50"/>
      <c r="J755" s="50"/>
      <c r="K755" s="50"/>
      <c r="L755" s="38"/>
      <c r="M755" s="38"/>
      <c r="N755" s="38"/>
      <c r="O755" s="50"/>
      <c r="P755" s="218"/>
      <c r="Q755" s="50"/>
      <c r="R755" s="50"/>
      <c r="S755" s="38"/>
      <c r="T755" s="51"/>
      <c r="U755" s="65"/>
      <c r="V755" s="105"/>
      <c r="W755" s="66"/>
      <c r="X755" s="66"/>
      <c r="Y755" s="38"/>
      <c r="Z755" s="66">
        <f t="shared" si="309"/>
        <v>0</v>
      </c>
      <c r="AC755" s="41" t="e">
        <f>VLOOKUP(A755,'Input Sheet'!$A$2:$B$232,2,0)</f>
        <v>#N/A</v>
      </c>
      <c r="AD755" s="70"/>
    </row>
    <row r="756" spans="1:30" x14ac:dyDescent="0.2">
      <c r="A756" s="38" t="str">
        <f t="shared" si="310"/>
        <v xml:space="preserve"> </v>
      </c>
      <c r="B756" s="108"/>
      <c r="C756" s="38"/>
      <c r="D756" s="137"/>
      <c r="E756" s="137"/>
      <c r="F756" s="137"/>
      <c r="G756" s="122"/>
      <c r="H756" s="137"/>
      <c r="I756" s="50"/>
      <c r="J756" s="50"/>
      <c r="K756" s="50"/>
      <c r="L756" s="38"/>
      <c r="M756" s="38"/>
      <c r="N756" s="38"/>
      <c r="O756" s="50"/>
      <c r="P756" s="218"/>
      <c r="Q756" s="50"/>
      <c r="R756" s="50"/>
      <c r="S756" s="38"/>
      <c r="T756" s="51"/>
      <c r="U756" s="65"/>
      <c r="V756" s="105"/>
      <c r="W756" s="66"/>
      <c r="X756" s="66"/>
      <c r="Y756" s="38"/>
      <c r="Z756" s="66">
        <f t="shared" si="309"/>
        <v>0</v>
      </c>
      <c r="AC756" s="41" t="e">
        <f>VLOOKUP(A756,'Input Sheet'!$A$2:$B$232,2,0)</f>
        <v>#N/A</v>
      </c>
      <c r="AD756" s="70"/>
    </row>
    <row r="757" spans="1:30" x14ac:dyDescent="0.2">
      <c r="A757" s="38" t="str">
        <f t="shared" si="310"/>
        <v xml:space="preserve"> </v>
      </c>
      <c r="B757" s="108"/>
      <c r="C757" s="38"/>
      <c r="D757" s="137"/>
      <c r="E757" s="137"/>
      <c r="F757" s="137"/>
      <c r="G757" s="122"/>
      <c r="H757" s="137"/>
      <c r="I757" s="50"/>
      <c r="J757" s="50"/>
      <c r="K757" s="50"/>
      <c r="L757" s="38"/>
      <c r="M757" s="38"/>
      <c r="N757" s="38"/>
      <c r="O757" s="50"/>
      <c r="P757" s="218"/>
      <c r="Q757" s="50"/>
      <c r="R757" s="50"/>
      <c r="S757" s="38"/>
      <c r="T757" s="51"/>
      <c r="U757" s="65"/>
      <c r="V757" s="105"/>
      <c r="W757" s="66"/>
      <c r="X757" s="66"/>
      <c r="Y757" s="38"/>
      <c r="Z757" s="66">
        <f t="shared" si="309"/>
        <v>0</v>
      </c>
      <c r="AC757" s="41" t="e">
        <f>VLOOKUP(A757,'Input Sheet'!$A$2:$B$232,2,0)</f>
        <v>#N/A</v>
      </c>
      <c r="AD757" s="70"/>
    </row>
    <row r="758" spans="1:30" x14ac:dyDescent="0.2">
      <c r="A758" s="38" t="str">
        <f t="shared" si="310"/>
        <v xml:space="preserve"> </v>
      </c>
      <c r="B758" s="108"/>
      <c r="C758" s="38"/>
      <c r="D758" s="137"/>
      <c r="E758" s="137"/>
      <c r="F758" s="137"/>
      <c r="G758" s="122"/>
      <c r="H758" s="137"/>
      <c r="I758" s="50"/>
      <c r="J758" s="50"/>
      <c r="K758" s="50"/>
      <c r="L758" s="38"/>
      <c r="M758" s="38"/>
      <c r="N758" s="38"/>
      <c r="O758" s="50"/>
      <c r="P758" s="218"/>
      <c r="Q758" s="50"/>
      <c r="R758" s="50"/>
      <c r="S758" s="38"/>
      <c r="T758" s="51"/>
      <c r="U758" s="65"/>
      <c r="V758" s="105"/>
      <c r="W758" s="66"/>
      <c r="X758" s="66"/>
      <c r="Y758" s="38"/>
      <c r="Z758" s="66">
        <f t="shared" si="309"/>
        <v>0</v>
      </c>
      <c r="AC758" s="41" t="e">
        <f>VLOOKUP(A758,'Input Sheet'!$A$2:$B$232,2,0)</f>
        <v>#N/A</v>
      </c>
      <c r="AD758" s="70"/>
    </row>
    <row r="759" spans="1:30" x14ac:dyDescent="0.2">
      <c r="A759" s="38" t="str">
        <f t="shared" si="310"/>
        <v xml:space="preserve"> </v>
      </c>
      <c r="B759" s="108"/>
      <c r="C759" s="38"/>
      <c r="D759" s="137"/>
      <c r="E759" s="137"/>
      <c r="F759" s="137"/>
      <c r="G759" s="122"/>
      <c r="H759" s="137"/>
      <c r="I759" s="50"/>
      <c r="J759" s="50"/>
      <c r="K759" s="50"/>
      <c r="L759" s="38"/>
      <c r="M759" s="38"/>
      <c r="N759" s="38"/>
      <c r="O759" s="50"/>
      <c r="P759" s="218"/>
      <c r="Q759" s="50"/>
      <c r="R759" s="50"/>
      <c r="S759" s="38"/>
      <c r="T759" s="51"/>
      <c r="U759" s="65"/>
      <c r="V759" s="105"/>
      <c r="W759" s="66"/>
      <c r="X759" s="66"/>
      <c r="Y759" s="38"/>
      <c r="Z759" s="66">
        <f t="shared" si="309"/>
        <v>0</v>
      </c>
      <c r="AC759" s="41" t="e">
        <f>VLOOKUP(A759,'Input Sheet'!$A$2:$B$232,2,0)</f>
        <v>#N/A</v>
      </c>
      <c r="AD759" s="70"/>
    </row>
    <row r="760" spans="1:30" x14ac:dyDescent="0.2">
      <c r="A760" s="38" t="str">
        <f t="shared" si="310"/>
        <v xml:space="preserve"> </v>
      </c>
      <c r="B760" s="108"/>
      <c r="C760" s="38"/>
      <c r="D760" s="137"/>
      <c r="E760" s="137"/>
      <c r="F760" s="137"/>
      <c r="G760" s="122"/>
      <c r="H760" s="137"/>
      <c r="I760" s="50"/>
      <c r="J760" s="50"/>
      <c r="K760" s="50"/>
      <c r="L760" s="38"/>
      <c r="M760" s="38"/>
      <c r="N760" s="38"/>
      <c r="O760" s="50"/>
      <c r="P760" s="218"/>
      <c r="Q760" s="50"/>
      <c r="R760" s="50"/>
      <c r="S760" s="38"/>
      <c r="T760" s="51"/>
      <c r="U760" s="65"/>
      <c r="V760" s="105"/>
      <c r="W760" s="66"/>
      <c r="X760" s="66"/>
      <c r="Y760" s="38"/>
      <c r="Z760" s="66">
        <f t="shared" si="309"/>
        <v>0</v>
      </c>
      <c r="AC760" s="41" t="e">
        <f>VLOOKUP(A760,'Input Sheet'!$A$2:$B$232,2,0)</f>
        <v>#N/A</v>
      </c>
      <c r="AD760" s="70"/>
    </row>
    <row r="761" spans="1:30" x14ac:dyDescent="0.2">
      <c r="A761" s="38" t="str">
        <f t="shared" si="310"/>
        <v xml:space="preserve"> </v>
      </c>
      <c r="B761" s="108"/>
      <c r="C761" s="38"/>
      <c r="D761" s="137"/>
      <c r="E761" s="137"/>
      <c r="F761" s="137"/>
      <c r="G761" s="122"/>
      <c r="H761" s="137"/>
      <c r="I761" s="50"/>
      <c r="J761" s="50"/>
      <c r="K761" s="50"/>
      <c r="L761" s="38"/>
      <c r="M761" s="38"/>
      <c r="N761" s="38"/>
      <c r="O761" s="50"/>
      <c r="P761" s="218"/>
      <c r="Q761" s="50"/>
      <c r="R761" s="50"/>
      <c r="S761" s="38"/>
      <c r="T761" s="51"/>
      <c r="U761" s="65"/>
      <c r="V761" s="105"/>
      <c r="W761" s="66"/>
      <c r="X761" s="66"/>
      <c r="Y761" s="38"/>
      <c r="Z761" s="66">
        <f t="shared" si="309"/>
        <v>0</v>
      </c>
      <c r="AC761" s="41" t="e">
        <f>VLOOKUP(A761,'Input Sheet'!$A$2:$B$232,2,0)</f>
        <v>#N/A</v>
      </c>
      <c r="AD761" s="70"/>
    </row>
    <row r="762" spans="1:30" x14ac:dyDescent="0.2">
      <c r="A762" s="38" t="str">
        <f t="shared" si="310"/>
        <v xml:space="preserve"> </v>
      </c>
      <c r="B762" s="108"/>
      <c r="C762" s="38"/>
      <c r="D762" s="137"/>
      <c r="E762" s="137"/>
      <c r="F762" s="137"/>
      <c r="G762" s="122"/>
      <c r="H762" s="137"/>
      <c r="I762" s="50"/>
      <c r="J762" s="50"/>
      <c r="K762" s="50"/>
      <c r="L762" s="38"/>
      <c r="M762" s="38"/>
      <c r="N762" s="38"/>
      <c r="O762" s="50"/>
      <c r="P762" s="218"/>
      <c r="Q762" s="50"/>
      <c r="R762" s="50"/>
      <c r="S762" s="38"/>
      <c r="T762" s="51"/>
      <c r="U762" s="65"/>
      <c r="V762" s="105"/>
      <c r="W762" s="66"/>
      <c r="X762" s="66"/>
      <c r="Y762" s="38"/>
      <c r="Z762" s="66">
        <f t="shared" si="309"/>
        <v>0</v>
      </c>
      <c r="AC762" s="41" t="e">
        <f>VLOOKUP(A762,'Input Sheet'!$A$2:$B$232,2,0)</f>
        <v>#N/A</v>
      </c>
      <c r="AD762" s="70"/>
    </row>
    <row r="763" spans="1:30" x14ac:dyDescent="0.2">
      <c r="A763" s="38" t="str">
        <f t="shared" si="310"/>
        <v xml:space="preserve"> </v>
      </c>
      <c r="B763" s="108"/>
      <c r="C763" s="38"/>
      <c r="D763" s="137"/>
      <c r="E763" s="137"/>
      <c r="F763" s="137"/>
      <c r="G763" s="122"/>
      <c r="H763" s="137"/>
      <c r="I763" s="50"/>
      <c r="J763" s="50"/>
      <c r="K763" s="50"/>
      <c r="L763" s="38"/>
      <c r="M763" s="38"/>
      <c r="N763" s="38"/>
      <c r="O763" s="50"/>
      <c r="P763" s="218"/>
      <c r="Q763" s="50"/>
      <c r="R763" s="50"/>
      <c r="S763" s="38"/>
      <c r="T763" s="51"/>
      <c r="U763" s="65"/>
      <c r="V763" s="105"/>
      <c r="W763" s="66"/>
      <c r="X763" s="66"/>
      <c r="Y763" s="38"/>
      <c r="Z763" s="66">
        <f t="shared" si="309"/>
        <v>0</v>
      </c>
      <c r="AC763" s="41" t="e">
        <f>VLOOKUP(A763,'Input Sheet'!$A$2:$B$232,2,0)</f>
        <v>#N/A</v>
      </c>
      <c r="AD763" s="70"/>
    </row>
    <row r="764" spans="1:30" x14ac:dyDescent="0.2">
      <c r="A764" s="38" t="str">
        <f t="shared" si="310"/>
        <v xml:space="preserve"> </v>
      </c>
      <c r="B764" s="108"/>
      <c r="C764" s="38"/>
      <c r="D764" s="137"/>
      <c r="E764" s="137"/>
      <c r="F764" s="137"/>
      <c r="G764" s="122"/>
      <c r="H764" s="137"/>
      <c r="I764" s="50"/>
      <c r="J764" s="50"/>
      <c r="K764" s="50"/>
      <c r="L764" s="38"/>
      <c r="M764" s="38"/>
      <c r="N764" s="38"/>
      <c r="O764" s="50"/>
      <c r="P764" s="218"/>
      <c r="Q764" s="50"/>
      <c r="R764" s="50"/>
      <c r="S764" s="38"/>
      <c r="T764" s="51"/>
      <c r="U764" s="65"/>
      <c r="V764" s="105"/>
      <c r="W764" s="66"/>
      <c r="X764" s="66"/>
      <c r="Y764" s="38"/>
      <c r="Z764" s="66">
        <f t="shared" si="309"/>
        <v>0</v>
      </c>
      <c r="AC764" s="41" t="e">
        <f>VLOOKUP(A764,'Input Sheet'!$A$2:$B$232,2,0)</f>
        <v>#N/A</v>
      </c>
      <c r="AD764" s="70"/>
    </row>
    <row r="765" spans="1:30" x14ac:dyDescent="0.2">
      <c r="A765" s="38" t="str">
        <f t="shared" si="310"/>
        <v xml:space="preserve"> </v>
      </c>
      <c r="B765" s="108"/>
      <c r="C765" s="38"/>
      <c r="D765" s="137"/>
      <c r="E765" s="137"/>
      <c r="F765" s="137"/>
      <c r="G765" s="122"/>
      <c r="H765" s="137"/>
      <c r="I765" s="50"/>
      <c r="J765" s="50"/>
      <c r="K765" s="50"/>
      <c r="L765" s="38"/>
      <c r="M765" s="38"/>
      <c r="N765" s="38"/>
      <c r="O765" s="50"/>
      <c r="P765" s="218"/>
      <c r="Q765" s="50"/>
      <c r="R765" s="50"/>
      <c r="S765" s="38"/>
      <c r="T765" s="51"/>
      <c r="U765" s="65"/>
      <c r="V765" s="105"/>
      <c r="W765" s="66"/>
      <c r="X765" s="66"/>
      <c r="Y765" s="38"/>
      <c r="Z765" s="66">
        <f t="shared" si="309"/>
        <v>0</v>
      </c>
      <c r="AC765" s="41" t="e">
        <f>VLOOKUP(A765,'Input Sheet'!$A$2:$B$232,2,0)</f>
        <v>#N/A</v>
      </c>
      <c r="AD765" s="70"/>
    </row>
    <row r="766" spans="1:30" x14ac:dyDescent="0.2">
      <c r="A766" s="38" t="str">
        <f t="shared" si="310"/>
        <v xml:space="preserve"> </v>
      </c>
      <c r="B766" s="108"/>
      <c r="C766" s="38"/>
      <c r="D766" s="137"/>
      <c r="E766" s="137"/>
      <c r="F766" s="137"/>
      <c r="G766" s="122"/>
      <c r="H766" s="137"/>
      <c r="I766" s="50"/>
      <c r="J766" s="50"/>
      <c r="K766" s="50"/>
      <c r="L766" s="38"/>
      <c r="M766" s="38"/>
      <c r="N766" s="38"/>
      <c r="O766" s="50"/>
      <c r="P766" s="218"/>
      <c r="Q766" s="50"/>
      <c r="R766" s="50"/>
      <c r="S766" s="38"/>
      <c r="T766" s="51"/>
      <c r="U766" s="65"/>
      <c r="V766" s="105"/>
      <c r="W766" s="66"/>
      <c r="X766" s="66"/>
      <c r="Y766" s="38"/>
      <c r="Z766" s="66">
        <f t="shared" si="309"/>
        <v>0</v>
      </c>
      <c r="AC766" s="41" t="e">
        <f>VLOOKUP(A766,'Input Sheet'!$A$2:$B$232,2,0)</f>
        <v>#N/A</v>
      </c>
      <c r="AD766" s="70"/>
    </row>
    <row r="767" spans="1:30" x14ac:dyDescent="0.2">
      <c r="A767" s="38" t="str">
        <f t="shared" si="310"/>
        <v xml:space="preserve"> </v>
      </c>
      <c r="B767" s="108"/>
      <c r="C767" s="38"/>
      <c r="D767" s="137"/>
      <c r="E767" s="137"/>
      <c r="F767" s="137"/>
      <c r="G767" s="122"/>
      <c r="H767" s="137"/>
      <c r="I767" s="50"/>
      <c r="J767" s="50"/>
      <c r="K767" s="50"/>
      <c r="L767" s="38"/>
      <c r="M767" s="38"/>
      <c r="N767" s="38"/>
      <c r="O767" s="50"/>
      <c r="P767" s="218"/>
      <c r="Q767" s="50"/>
      <c r="R767" s="50"/>
      <c r="S767" s="38"/>
      <c r="T767" s="51"/>
      <c r="U767" s="65"/>
      <c r="V767" s="105"/>
      <c r="W767" s="66"/>
      <c r="X767" s="66"/>
      <c r="Y767" s="38"/>
      <c r="Z767" s="66">
        <f t="shared" si="309"/>
        <v>0</v>
      </c>
      <c r="AC767" s="41" t="e">
        <f>VLOOKUP(A767,'Input Sheet'!$A$2:$B$232,2,0)</f>
        <v>#N/A</v>
      </c>
      <c r="AD767" s="70"/>
    </row>
    <row r="768" spans="1:30" x14ac:dyDescent="0.2">
      <c r="A768" s="38" t="str">
        <f t="shared" si="310"/>
        <v xml:space="preserve"> </v>
      </c>
      <c r="B768" s="108"/>
      <c r="C768" s="38"/>
      <c r="D768" s="137"/>
      <c r="E768" s="137"/>
      <c r="F768" s="137"/>
      <c r="G768" s="122"/>
      <c r="H768" s="137"/>
      <c r="I768" s="50"/>
      <c r="J768" s="50"/>
      <c r="K768" s="50"/>
      <c r="L768" s="38"/>
      <c r="M768" s="38"/>
      <c r="N768" s="38"/>
      <c r="O768" s="50"/>
      <c r="P768" s="218"/>
      <c r="Q768" s="50"/>
      <c r="R768" s="50"/>
      <c r="S768" s="38"/>
      <c r="T768" s="51"/>
      <c r="U768" s="65"/>
      <c r="V768" s="105"/>
      <c r="W768" s="66"/>
      <c r="X768" s="66"/>
      <c r="Y768" s="38"/>
      <c r="Z768" s="66">
        <f t="shared" si="309"/>
        <v>0</v>
      </c>
      <c r="AC768" s="41" t="e">
        <f>VLOOKUP(A768,'Input Sheet'!$A$2:$B$232,2,0)</f>
        <v>#N/A</v>
      </c>
      <c r="AD768" s="70"/>
    </row>
    <row r="769" spans="1:30" x14ac:dyDescent="0.2">
      <c r="A769" s="38" t="str">
        <f t="shared" si="310"/>
        <v xml:space="preserve"> </v>
      </c>
      <c r="B769" s="108"/>
      <c r="C769" s="38"/>
      <c r="D769" s="137"/>
      <c r="E769" s="137"/>
      <c r="F769" s="137"/>
      <c r="G769" s="122"/>
      <c r="H769" s="137"/>
      <c r="I769" s="50"/>
      <c r="J769" s="50"/>
      <c r="K769" s="50"/>
      <c r="L769" s="38"/>
      <c r="M769" s="38"/>
      <c r="N769" s="38"/>
      <c r="O769" s="50"/>
      <c r="P769" s="218"/>
      <c r="Q769" s="50"/>
      <c r="R769" s="50"/>
      <c r="S769" s="38"/>
      <c r="T769" s="51"/>
      <c r="U769" s="65"/>
      <c r="V769" s="105"/>
      <c r="W769" s="66"/>
      <c r="X769" s="66"/>
      <c r="Y769" s="38"/>
      <c r="Z769" s="66">
        <f t="shared" si="309"/>
        <v>0</v>
      </c>
      <c r="AC769" s="41" t="e">
        <f>VLOOKUP(A769,'Input Sheet'!$A$2:$B$232,2,0)</f>
        <v>#N/A</v>
      </c>
      <c r="AD769" s="70"/>
    </row>
    <row r="770" spans="1:30" x14ac:dyDescent="0.2">
      <c r="A770" s="38" t="str">
        <f t="shared" si="310"/>
        <v xml:space="preserve"> </v>
      </c>
      <c r="B770" s="108"/>
      <c r="C770" s="38"/>
      <c r="D770" s="137"/>
      <c r="E770" s="137"/>
      <c r="F770" s="137"/>
      <c r="G770" s="122"/>
      <c r="H770" s="137"/>
      <c r="I770" s="50"/>
      <c r="J770" s="50"/>
      <c r="K770" s="50"/>
      <c r="L770" s="38"/>
      <c r="M770" s="38"/>
      <c r="N770" s="38"/>
      <c r="O770" s="50"/>
      <c r="P770" s="218"/>
      <c r="Q770" s="50"/>
      <c r="R770" s="50"/>
      <c r="S770" s="38"/>
      <c r="T770" s="51"/>
      <c r="U770" s="65"/>
      <c r="V770" s="105"/>
      <c r="W770" s="66"/>
      <c r="X770" s="66"/>
      <c r="Y770" s="38"/>
      <c r="Z770" s="66">
        <f t="shared" si="309"/>
        <v>0</v>
      </c>
      <c r="AC770" s="41" t="e">
        <f>VLOOKUP(A770,'Input Sheet'!$A$2:$B$232,2,0)</f>
        <v>#N/A</v>
      </c>
      <c r="AD770" s="70"/>
    </row>
    <row r="771" spans="1:30" x14ac:dyDescent="0.2">
      <c r="A771" s="38" t="str">
        <f t="shared" si="310"/>
        <v xml:space="preserve"> </v>
      </c>
      <c r="B771" s="108"/>
      <c r="C771" s="38"/>
      <c r="D771" s="137"/>
      <c r="E771" s="137"/>
      <c r="F771" s="137"/>
      <c r="G771" s="122"/>
      <c r="H771" s="137"/>
      <c r="I771" s="50"/>
      <c r="J771" s="50"/>
      <c r="K771" s="50"/>
      <c r="L771" s="38"/>
      <c r="M771" s="38"/>
      <c r="N771" s="38"/>
      <c r="O771" s="50"/>
      <c r="P771" s="218"/>
      <c r="Q771" s="50"/>
      <c r="R771" s="50"/>
      <c r="S771" s="38"/>
      <c r="T771" s="51"/>
      <c r="U771" s="65"/>
      <c r="V771" s="105"/>
      <c r="W771" s="66"/>
      <c r="X771" s="66"/>
      <c r="Y771" s="38"/>
      <c r="Z771" s="66">
        <f t="shared" si="309"/>
        <v>0</v>
      </c>
      <c r="AC771" s="41" t="e">
        <f>VLOOKUP(A771,'Input Sheet'!$A$2:$B$232,2,0)</f>
        <v>#N/A</v>
      </c>
      <c r="AD771" s="70"/>
    </row>
    <row r="772" spans="1:30" x14ac:dyDescent="0.2">
      <c r="A772" s="38" t="str">
        <f t="shared" si="310"/>
        <v xml:space="preserve"> </v>
      </c>
      <c r="B772" s="108"/>
      <c r="C772" s="38"/>
      <c r="D772" s="137"/>
      <c r="E772" s="137"/>
      <c r="F772" s="137"/>
      <c r="G772" s="122"/>
      <c r="H772" s="137"/>
      <c r="I772" s="50"/>
      <c r="J772" s="50"/>
      <c r="K772" s="50"/>
      <c r="L772" s="38"/>
      <c r="M772" s="38"/>
      <c r="N772" s="38"/>
      <c r="O772" s="50"/>
      <c r="P772" s="218"/>
      <c r="Q772" s="50"/>
      <c r="R772" s="50"/>
      <c r="S772" s="38"/>
      <c r="T772" s="51"/>
      <c r="U772" s="65"/>
      <c r="V772" s="105"/>
      <c r="W772" s="66"/>
      <c r="X772" s="66"/>
      <c r="Y772" s="38"/>
      <c r="Z772" s="66">
        <f t="shared" si="309"/>
        <v>0</v>
      </c>
      <c r="AC772" s="41" t="e">
        <f>VLOOKUP(A772,'Input Sheet'!$A$2:$B$232,2,0)</f>
        <v>#N/A</v>
      </c>
      <c r="AD772" s="70"/>
    </row>
    <row r="773" spans="1:30" x14ac:dyDescent="0.2">
      <c r="A773" s="38" t="str">
        <f t="shared" si="310"/>
        <v xml:space="preserve"> </v>
      </c>
      <c r="B773" s="108"/>
      <c r="C773" s="38"/>
      <c r="D773" s="137"/>
      <c r="E773" s="137"/>
      <c r="F773" s="137"/>
      <c r="G773" s="122"/>
      <c r="H773" s="137"/>
      <c r="I773" s="50"/>
      <c r="J773" s="50"/>
      <c r="K773" s="50"/>
      <c r="L773" s="38"/>
      <c r="M773" s="38"/>
      <c r="N773" s="38"/>
      <c r="O773" s="50"/>
      <c r="P773" s="218"/>
      <c r="Q773" s="50"/>
      <c r="R773" s="50"/>
      <c r="S773" s="38"/>
      <c r="T773" s="51"/>
      <c r="U773" s="65"/>
      <c r="V773" s="105"/>
      <c r="W773" s="66"/>
      <c r="X773" s="66"/>
      <c r="Y773" s="38"/>
      <c r="Z773" s="66">
        <f t="shared" ref="Z773:Z836" si="311">IF(Y773="Stage 1",X773,IF(Y773="Stage 2",W773,O773))</f>
        <v>0</v>
      </c>
      <c r="AC773" s="41" t="e">
        <f>VLOOKUP(A773,'Input Sheet'!$A$2:$B$232,2,0)</f>
        <v>#N/A</v>
      </c>
      <c r="AD773" s="70"/>
    </row>
    <row r="774" spans="1:30" x14ac:dyDescent="0.2">
      <c r="A774" s="38" t="str">
        <f t="shared" si="310"/>
        <v xml:space="preserve"> </v>
      </c>
      <c r="B774" s="108"/>
      <c r="C774" s="38"/>
      <c r="D774" s="137"/>
      <c r="E774" s="137"/>
      <c r="F774" s="137"/>
      <c r="G774" s="122"/>
      <c r="H774" s="137"/>
      <c r="I774" s="50"/>
      <c r="J774" s="50"/>
      <c r="K774" s="50"/>
      <c r="L774" s="38"/>
      <c r="M774" s="38"/>
      <c r="N774" s="38"/>
      <c r="O774" s="50"/>
      <c r="P774" s="218"/>
      <c r="Q774" s="50"/>
      <c r="R774" s="50"/>
      <c r="S774" s="38"/>
      <c r="T774" s="51"/>
      <c r="U774" s="65"/>
      <c r="V774" s="105"/>
      <c r="W774" s="66"/>
      <c r="X774" s="66"/>
      <c r="Y774" s="38"/>
      <c r="Z774" s="66">
        <f t="shared" si="311"/>
        <v>0</v>
      </c>
      <c r="AC774" s="41" t="e">
        <f>VLOOKUP(A774,'Input Sheet'!$A$2:$B$232,2,0)</f>
        <v>#N/A</v>
      </c>
      <c r="AD774" s="70"/>
    </row>
    <row r="775" spans="1:30" x14ac:dyDescent="0.2">
      <c r="A775" s="38" t="str">
        <f t="shared" si="310"/>
        <v xml:space="preserve"> </v>
      </c>
      <c r="B775" s="108"/>
      <c r="C775" s="38"/>
      <c r="D775" s="137"/>
      <c r="E775" s="137"/>
      <c r="F775" s="137"/>
      <c r="G775" s="122"/>
      <c r="H775" s="137"/>
      <c r="I775" s="50"/>
      <c r="J775" s="50"/>
      <c r="K775" s="50"/>
      <c r="L775" s="38"/>
      <c r="M775" s="38"/>
      <c r="N775" s="38"/>
      <c r="O775" s="50"/>
      <c r="P775" s="218"/>
      <c r="Q775" s="50"/>
      <c r="R775" s="50"/>
      <c r="S775" s="38"/>
      <c r="T775" s="51"/>
      <c r="U775" s="65"/>
      <c r="V775" s="105"/>
      <c r="W775" s="66"/>
      <c r="X775" s="66"/>
      <c r="Y775" s="38"/>
      <c r="Z775" s="66">
        <f t="shared" si="311"/>
        <v>0</v>
      </c>
      <c r="AC775" s="41" t="e">
        <f>VLOOKUP(A775,'Input Sheet'!$A$2:$B$232,2,0)</f>
        <v>#N/A</v>
      </c>
      <c r="AD775" s="70"/>
    </row>
    <row r="776" spans="1:30" x14ac:dyDescent="0.2">
      <c r="A776" s="38" t="str">
        <f t="shared" si="310"/>
        <v xml:space="preserve"> </v>
      </c>
      <c r="B776" s="108"/>
      <c r="C776" s="38"/>
      <c r="D776" s="137"/>
      <c r="E776" s="137"/>
      <c r="F776" s="137"/>
      <c r="G776" s="122"/>
      <c r="H776" s="137"/>
      <c r="I776" s="50"/>
      <c r="J776" s="50"/>
      <c r="K776" s="50"/>
      <c r="L776" s="38"/>
      <c r="M776" s="38"/>
      <c r="N776" s="38"/>
      <c r="O776" s="50"/>
      <c r="P776" s="218"/>
      <c r="Q776" s="50"/>
      <c r="R776" s="50"/>
      <c r="S776" s="38"/>
      <c r="T776" s="51"/>
      <c r="U776" s="65"/>
      <c r="V776" s="105"/>
      <c r="W776" s="66"/>
      <c r="X776" s="66"/>
      <c r="Y776" s="38"/>
      <c r="Z776" s="66">
        <f t="shared" si="311"/>
        <v>0</v>
      </c>
      <c r="AC776" s="41" t="e">
        <f>VLOOKUP(A776,'Input Sheet'!$A$2:$B$232,2,0)</f>
        <v>#N/A</v>
      </c>
      <c r="AD776" s="70"/>
    </row>
    <row r="777" spans="1:30" x14ac:dyDescent="0.2">
      <c r="A777" s="38" t="str">
        <f t="shared" si="310"/>
        <v xml:space="preserve"> </v>
      </c>
      <c r="B777" s="108"/>
      <c r="C777" s="38"/>
      <c r="D777" s="137"/>
      <c r="E777" s="137"/>
      <c r="F777" s="137"/>
      <c r="G777" s="122"/>
      <c r="H777" s="137"/>
      <c r="I777" s="50"/>
      <c r="J777" s="50"/>
      <c r="K777" s="50"/>
      <c r="L777" s="38"/>
      <c r="M777" s="38"/>
      <c r="N777" s="38"/>
      <c r="O777" s="50"/>
      <c r="P777" s="218"/>
      <c r="Q777" s="50"/>
      <c r="R777" s="50"/>
      <c r="S777" s="38"/>
      <c r="T777" s="51"/>
      <c r="U777" s="65"/>
      <c r="V777" s="105"/>
      <c r="W777" s="66"/>
      <c r="X777" s="66"/>
      <c r="Y777" s="38"/>
      <c r="Z777" s="66">
        <f t="shared" si="311"/>
        <v>0</v>
      </c>
      <c r="AC777" s="41" t="e">
        <f>VLOOKUP(A777,'Input Sheet'!$A$2:$B$232,2,0)</f>
        <v>#N/A</v>
      </c>
      <c r="AD777" s="70"/>
    </row>
    <row r="778" spans="1:30" x14ac:dyDescent="0.2">
      <c r="A778" s="38" t="str">
        <f t="shared" ref="A778:A841" si="312">IF(B778=0," ",A777+1)</f>
        <v xml:space="preserve"> </v>
      </c>
      <c r="B778" s="108"/>
      <c r="C778" s="38"/>
      <c r="D778" s="137"/>
      <c r="E778" s="137"/>
      <c r="F778" s="137"/>
      <c r="G778" s="122"/>
      <c r="H778" s="137"/>
      <c r="I778" s="50"/>
      <c r="J778" s="50"/>
      <c r="K778" s="50"/>
      <c r="L778" s="38"/>
      <c r="M778" s="38"/>
      <c r="N778" s="38"/>
      <c r="O778" s="50"/>
      <c r="P778" s="218"/>
      <c r="Q778" s="50"/>
      <c r="R778" s="50"/>
      <c r="S778" s="38"/>
      <c r="T778" s="51"/>
      <c r="U778" s="65"/>
      <c r="V778" s="105"/>
      <c r="W778" s="66"/>
      <c r="X778" s="66"/>
      <c r="Y778" s="38"/>
      <c r="Z778" s="66">
        <f t="shared" si="311"/>
        <v>0</v>
      </c>
      <c r="AC778" s="41" t="e">
        <f>VLOOKUP(A778,'Input Sheet'!$A$2:$B$232,2,0)</f>
        <v>#N/A</v>
      </c>
      <c r="AD778" s="70"/>
    </row>
    <row r="779" spans="1:30" x14ac:dyDescent="0.2">
      <c r="A779" s="38" t="str">
        <f t="shared" si="312"/>
        <v xml:space="preserve"> </v>
      </c>
      <c r="B779" s="108"/>
      <c r="C779" s="38"/>
      <c r="D779" s="137"/>
      <c r="E779" s="137"/>
      <c r="F779" s="137"/>
      <c r="G779" s="122"/>
      <c r="H779" s="137"/>
      <c r="I779" s="50"/>
      <c r="J779" s="50"/>
      <c r="K779" s="50"/>
      <c r="L779" s="38"/>
      <c r="M779" s="38"/>
      <c r="N779" s="38"/>
      <c r="O779" s="50"/>
      <c r="P779" s="218"/>
      <c r="Q779" s="50"/>
      <c r="R779" s="50"/>
      <c r="S779" s="38"/>
      <c r="T779" s="51"/>
      <c r="U779" s="65"/>
      <c r="V779" s="105"/>
      <c r="W779" s="66"/>
      <c r="X779" s="66"/>
      <c r="Y779" s="38"/>
      <c r="Z779" s="66">
        <f t="shared" si="311"/>
        <v>0</v>
      </c>
      <c r="AC779" s="41" t="e">
        <f>VLOOKUP(A779,'Input Sheet'!$A$2:$B$232,2,0)</f>
        <v>#N/A</v>
      </c>
      <c r="AD779" s="70"/>
    </row>
    <row r="780" spans="1:30" x14ac:dyDescent="0.2">
      <c r="A780" s="38" t="str">
        <f t="shared" si="312"/>
        <v xml:space="preserve"> </v>
      </c>
      <c r="B780" s="108"/>
      <c r="C780" s="38"/>
      <c r="D780" s="137"/>
      <c r="E780" s="137"/>
      <c r="F780" s="137"/>
      <c r="G780" s="122"/>
      <c r="H780" s="137"/>
      <c r="I780" s="50"/>
      <c r="J780" s="50"/>
      <c r="K780" s="50"/>
      <c r="L780" s="38"/>
      <c r="M780" s="38"/>
      <c r="N780" s="38"/>
      <c r="O780" s="50"/>
      <c r="P780" s="218"/>
      <c r="Q780" s="50"/>
      <c r="R780" s="50"/>
      <c r="S780" s="38"/>
      <c r="T780" s="51"/>
      <c r="U780" s="65"/>
      <c r="V780" s="105"/>
      <c r="W780" s="66"/>
      <c r="X780" s="66"/>
      <c r="Y780" s="38"/>
      <c r="Z780" s="66">
        <f t="shared" si="311"/>
        <v>0</v>
      </c>
      <c r="AC780" s="41" t="e">
        <f>VLOOKUP(A780,'Input Sheet'!$A$2:$B$232,2,0)</f>
        <v>#N/A</v>
      </c>
      <c r="AD780" s="70"/>
    </row>
    <row r="781" spans="1:30" x14ac:dyDescent="0.2">
      <c r="A781" s="38" t="str">
        <f t="shared" si="312"/>
        <v xml:space="preserve"> </v>
      </c>
      <c r="B781" s="108"/>
      <c r="C781" s="38"/>
      <c r="D781" s="137"/>
      <c r="E781" s="137"/>
      <c r="F781" s="137"/>
      <c r="G781" s="122"/>
      <c r="H781" s="137"/>
      <c r="I781" s="50"/>
      <c r="J781" s="50"/>
      <c r="K781" s="50"/>
      <c r="L781" s="38"/>
      <c r="M781" s="38"/>
      <c r="N781" s="38"/>
      <c r="O781" s="50"/>
      <c r="P781" s="218"/>
      <c r="Q781" s="50"/>
      <c r="R781" s="50"/>
      <c r="S781" s="38"/>
      <c r="T781" s="51"/>
      <c r="U781" s="65"/>
      <c r="V781" s="105"/>
      <c r="W781" s="66"/>
      <c r="X781" s="66"/>
      <c r="Y781" s="38"/>
      <c r="Z781" s="66">
        <f t="shared" si="311"/>
        <v>0</v>
      </c>
      <c r="AC781" s="41" t="e">
        <f>VLOOKUP(A781,'Input Sheet'!$A$2:$B$232,2,0)</f>
        <v>#N/A</v>
      </c>
      <c r="AD781" s="70"/>
    </row>
    <row r="782" spans="1:30" x14ac:dyDescent="0.2">
      <c r="A782" s="38" t="str">
        <f t="shared" si="312"/>
        <v xml:space="preserve"> </v>
      </c>
      <c r="B782" s="108"/>
      <c r="C782" s="38"/>
      <c r="D782" s="137"/>
      <c r="E782" s="137"/>
      <c r="F782" s="137"/>
      <c r="G782" s="122"/>
      <c r="H782" s="137"/>
      <c r="I782" s="50"/>
      <c r="J782" s="50"/>
      <c r="K782" s="50"/>
      <c r="L782" s="38"/>
      <c r="M782" s="38"/>
      <c r="N782" s="38"/>
      <c r="O782" s="50"/>
      <c r="P782" s="218"/>
      <c r="Q782" s="50"/>
      <c r="R782" s="50"/>
      <c r="S782" s="38"/>
      <c r="T782" s="51"/>
      <c r="U782" s="65"/>
      <c r="V782" s="105"/>
      <c r="W782" s="66"/>
      <c r="X782" s="66"/>
      <c r="Y782" s="38"/>
      <c r="Z782" s="66">
        <f t="shared" si="311"/>
        <v>0</v>
      </c>
      <c r="AC782" s="41" t="e">
        <f>VLOOKUP(A782,'Input Sheet'!$A$2:$B$232,2,0)</f>
        <v>#N/A</v>
      </c>
      <c r="AD782" s="70"/>
    </row>
    <row r="783" spans="1:30" x14ac:dyDescent="0.2">
      <c r="A783" s="38" t="str">
        <f t="shared" si="312"/>
        <v xml:space="preserve"> </v>
      </c>
      <c r="B783" s="108"/>
      <c r="C783" s="38"/>
      <c r="D783" s="137"/>
      <c r="E783" s="137"/>
      <c r="F783" s="137"/>
      <c r="G783" s="122"/>
      <c r="H783" s="137"/>
      <c r="I783" s="50"/>
      <c r="J783" s="50"/>
      <c r="K783" s="50"/>
      <c r="L783" s="38"/>
      <c r="M783" s="38"/>
      <c r="N783" s="38"/>
      <c r="O783" s="50"/>
      <c r="P783" s="218"/>
      <c r="Q783" s="50"/>
      <c r="R783" s="50"/>
      <c r="S783" s="38"/>
      <c r="T783" s="51"/>
      <c r="U783" s="65"/>
      <c r="V783" s="105"/>
      <c r="W783" s="66"/>
      <c r="X783" s="66"/>
      <c r="Y783" s="38"/>
      <c r="Z783" s="66">
        <f t="shared" si="311"/>
        <v>0</v>
      </c>
      <c r="AC783" s="41" t="e">
        <f>VLOOKUP(A783,'Input Sheet'!$A$2:$B$232,2,0)</f>
        <v>#N/A</v>
      </c>
      <c r="AD783" s="70"/>
    </row>
    <row r="784" spans="1:30" x14ac:dyDescent="0.2">
      <c r="A784" s="38" t="str">
        <f t="shared" si="312"/>
        <v xml:space="preserve"> </v>
      </c>
      <c r="B784" s="108"/>
      <c r="C784" s="38"/>
      <c r="D784" s="137"/>
      <c r="E784" s="137"/>
      <c r="F784" s="137"/>
      <c r="G784" s="122"/>
      <c r="H784" s="137"/>
      <c r="I784" s="50"/>
      <c r="J784" s="50"/>
      <c r="K784" s="50"/>
      <c r="L784" s="38"/>
      <c r="M784" s="38"/>
      <c r="N784" s="38"/>
      <c r="O784" s="50"/>
      <c r="P784" s="218"/>
      <c r="Q784" s="50"/>
      <c r="R784" s="50"/>
      <c r="S784" s="38"/>
      <c r="T784" s="51"/>
      <c r="U784" s="65"/>
      <c r="V784" s="105"/>
      <c r="W784" s="66"/>
      <c r="X784" s="66"/>
      <c r="Y784" s="38"/>
      <c r="Z784" s="66">
        <f t="shared" si="311"/>
        <v>0</v>
      </c>
      <c r="AC784" s="41" t="e">
        <f>VLOOKUP(A784,'Input Sheet'!$A$2:$B$232,2,0)</f>
        <v>#N/A</v>
      </c>
      <c r="AD784" s="70"/>
    </row>
    <row r="785" spans="1:30" x14ac:dyDescent="0.2">
      <c r="A785" s="38" t="str">
        <f t="shared" si="312"/>
        <v xml:space="preserve"> </v>
      </c>
      <c r="B785" s="108"/>
      <c r="C785" s="38"/>
      <c r="D785" s="137"/>
      <c r="E785" s="137"/>
      <c r="F785" s="137"/>
      <c r="G785" s="122"/>
      <c r="H785" s="137"/>
      <c r="I785" s="50"/>
      <c r="J785" s="50"/>
      <c r="K785" s="50"/>
      <c r="L785" s="38"/>
      <c r="M785" s="38"/>
      <c r="N785" s="38"/>
      <c r="O785" s="50"/>
      <c r="P785" s="218"/>
      <c r="Q785" s="50"/>
      <c r="R785" s="50"/>
      <c r="S785" s="38"/>
      <c r="T785" s="51"/>
      <c r="U785" s="65"/>
      <c r="V785" s="105"/>
      <c r="W785" s="66"/>
      <c r="X785" s="66"/>
      <c r="Y785" s="38"/>
      <c r="Z785" s="66">
        <f t="shared" si="311"/>
        <v>0</v>
      </c>
      <c r="AC785" s="41" t="e">
        <f>VLOOKUP(A785,'Input Sheet'!$A$2:$B$232,2,0)</f>
        <v>#N/A</v>
      </c>
      <c r="AD785" s="70"/>
    </row>
    <row r="786" spans="1:30" x14ac:dyDescent="0.2">
      <c r="A786" s="38" t="str">
        <f t="shared" si="312"/>
        <v xml:space="preserve"> </v>
      </c>
      <c r="B786" s="108"/>
      <c r="C786" s="38"/>
      <c r="D786" s="137"/>
      <c r="E786" s="137"/>
      <c r="F786" s="137"/>
      <c r="G786" s="122"/>
      <c r="H786" s="137"/>
      <c r="I786" s="50"/>
      <c r="J786" s="50"/>
      <c r="K786" s="50"/>
      <c r="L786" s="38"/>
      <c r="M786" s="38"/>
      <c r="N786" s="38"/>
      <c r="O786" s="50"/>
      <c r="P786" s="218"/>
      <c r="Q786" s="50"/>
      <c r="R786" s="50"/>
      <c r="S786" s="38"/>
      <c r="T786" s="51"/>
      <c r="U786" s="65"/>
      <c r="V786" s="105"/>
      <c r="W786" s="66"/>
      <c r="X786" s="66"/>
      <c r="Y786" s="38"/>
      <c r="Z786" s="66">
        <f t="shared" si="311"/>
        <v>0</v>
      </c>
      <c r="AC786" s="41" t="e">
        <f>VLOOKUP(A786,'Input Sheet'!$A$2:$B$232,2,0)</f>
        <v>#N/A</v>
      </c>
      <c r="AD786" s="70"/>
    </row>
    <row r="787" spans="1:30" x14ac:dyDescent="0.2">
      <c r="A787" s="38" t="str">
        <f t="shared" si="312"/>
        <v xml:space="preserve"> </v>
      </c>
      <c r="B787" s="108"/>
      <c r="C787" s="38"/>
      <c r="D787" s="137"/>
      <c r="E787" s="137"/>
      <c r="F787" s="137"/>
      <c r="G787" s="122"/>
      <c r="H787" s="137"/>
      <c r="I787" s="50"/>
      <c r="J787" s="50"/>
      <c r="K787" s="50"/>
      <c r="L787" s="38"/>
      <c r="M787" s="38"/>
      <c r="N787" s="38"/>
      <c r="O787" s="50"/>
      <c r="P787" s="218"/>
      <c r="Q787" s="50"/>
      <c r="R787" s="50"/>
      <c r="S787" s="38"/>
      <c r="T787" s="51"/>
      <c r="U787" s="65"/>
      <c r="V787" s="105"/>
      <c r="W787" s="66"/>
      <c r="X787" s="66"/>
      <c r="Y787" s="38"/>
      <c r="Z787" s="66">
        <f t="shared" si="311"/>
        <v>0</v>
      </c>
      <c r="AC787" s="41" t="e">
        <f>VLOOKUP(A787,'Input Sheet'!$A$2:$B$232,2,0)</f>
        <v>#N/A</v>
      </c>
      <c r="AD787" s="70"/>
    </row>
    <row r="788" spans="1:30" x14ac:dyDescent="0.2">
      <c r="A788" s="38" t="str">
        <f t="shared" si="312"/>
        <v xml:space="preserve"> </v>
      </c>
      <c r="B788" s="108"/>
      <c r="C788" s="38"/>
      <c r="D788" s="137"/>
      <c r="E788" s="137"/>
      <c r="F788" s="137"/>
      <c r="G788" s="122"/>
      <c r="H788" s="137"/>
      <c r="I788" s="50"/>
      <c r="J788" s="50"/>
      <c r="K788" s="50"/>
      <c r="L788" s="38"/>
      <c r="M788" s="38"/>
      <c r="N788" s="38"/>
      <c r="O788" s="50"/>
      <c r="P788" s="218"/>
      <c r="Q788" s="50"/>
      <c r="R788" s="50"/>
      <c r="S788" s="38"/>
      <c r="T788" s="51"/>
      <c r="U788" s="65"/>
      <c r="V788" s="105"/>
      <c r="W788" s="66"/>
      <c r="X788" s="66"/>
      <c r="Y788" s="38"/>
      <c r="Z788" s="66">
        <f t="shared" si="311"/>
        <v>0</v>
      </c>
      <c r="AC788" s="41" t="e">
        <f>VLOOKUP(A788,'Input Sheet'!$A$2:$B$232,2,0)</f>
        <v>#N/A</v>
      </c>
      <c r="AD788" s="70"/>
    </row>
    <row r="789" spans="1:30" x14ac:dyDescent="0.2">
      <c r="A789" s="38" t="str">
        <f t="shared" si="312"/>
        <v xml:space="preserve"> </v>
      </c>
      <c r="B789" s="108"/>
      <c r="C789" s="38"/>
      <c r="D789" s="137"/>
      <c r="E789" s="137"/>
      <c r="F789" s="137"/>
      <c r="G789" s="122"/>
      <c r="H789" s="137"/>
      <c r="I789" s="50"/>
      <c r="J789" s="50"/>
      <c r="K789" s="50"/>
      <c r="L789" s="38"/>
      <c r="M789" s="38"/>
      <c r="N789" s="38"/>
      <c r="O789" s="50"/>
      <c r="P789" s="218"/>
      <c r="Q789" s="50"/>
      <c r="R789" s="50"/>
      <c r="S789" s="38"/>
      <c r="T789" s="51"/>
      <c r="U789" s="65"/>
      <c r="V789" s="105"/>
      <c r="W789" s="66"/>
      <c r="X789" s="66"/>
      <c r="Y789" s="38"/>
      <c r="Z789" s="66">
        <f t="shared" si="311"/>
        <v>0</v>
      </c>
      <c r="AC789" s="41" t="e">
        <f>VLOOKUP(A789,'Input Sheet'!$A$2:$B$232,2,0)</f>
        <v>#N/A</v>
      </c>
      <c r="AD789" s="70"/>
    </row>
    <row r="790" spans="1:30" x14ac:dyDescent="0.2">
      <c r="A790" s="38" t="str">
        <f t="shared" si="312"/>
        <v xml:space="preserve"> </v>
      </c>
      <c r="B790" s="108"/>
      <c r="C790" s="38"/>
      <c r="D790" s="137"/>
      <c r="E790" s="137"/>
      <c r="F790" s="137"/>
      <c r="G790" s="122"/>
      <c r="H790" s="137"/>
      <c r="I790" s="50"/>
      <c r="J790" s="50"/>
      <c r="K790" s="50"/>
      <c r="L790" s="38"/>
      <c r="M790" s="38"/>
      <c r="N790" s="38"/>
      <c r="O790" s="50"/>
      <c r="P790" s="218"/>
      <c r="Q790" s="50"/>
      <c r="R790" s="50"/>
      <c r="S790" s="38"/>
      <c r="T790" s="51"/>
      <c r="U790" s="65"/>
      <c r="V790" s="105"/>
      <c r="W790" s="66"/>
      <c r="X790" s="66"/>
      <c r="Y790" s="38"/>
      <c r="Z790" s="66">
        <f t="shared" si="311"/>
        <v>0</v>
      </c>
      <c r="AC790" s="41" t="e">
        <f>VLOOKUP(A790,'Input Sheet'!$A$2:$B$232,2,0)</f>
        <v>#N/A</v>
      </c>
      <c r="AD790" s="70"/>
    </row>
    <row r="791" spans="1:30" x14ac:dyDescent="0.2">
      <c r="A791" s="38" t="str">
        <f t="shared" si="312"/>
        <v xml:space="preserve"> </v>
      </c>
      <c r="B791" s="108"/>
      <c r="C791" s="38"/>
      <c r="D791" s="137"/>
      <c r="E791" s="137"/>
      <c r="F791" s="137"/>
      <c r="G791" s="122"/>
      <c r="H791" s="137"/>
      <c r="I791" s="50"/>
      <c r="J791" s="50"/>
      <c r="K791" s="50"/>
      <c r="L791" s="38"/>
      <c r="M791" s="38"/>
      <c r="N791" s="38"/>
      <c r="O791" s="50"/>
      <c r="P791" s="218"/>
      <c r="Q791" s="50"/>
      <c r="R791" s="50"/>
      <c r="S791" s="38"/>
      <c r="T791" s="51"/>
      <c r="U791" s="65"/>
      <c r="V791" s="105"/>
      <c r="W791" s="66"/>
      <c r="X791" s="66"/>
      <c r="Y791" s="38"/>
      <c r="Z791" s="66">
        <f t="shared" si="311"/>
        <v>0</v>
      </c>
      <c r="AC791" s="41" t="e">
        <f>VLOOKUP(A791,'Input Sheet'!$A$2:$B$232,2,0)</f>
        <v>#N/A</v>
      </c>
      <c r="AD791" s="70"/>
    </row>
    <row r="792" spans="1:30" x14ac:dyDescent="0.2">
      <c r="A792" s="38" t="str">
        <f t="shared" si="312"/>
        <v xml:space="preserve"> </v>
      </c>
      <c r="B792" s="108"/>
      <c r="C792" s="38"/>
      <c r="D792" s="137"/>
      <c r="E792" s="137"/>
      <c r="F792" s="137"/>
      <c r="G792" s="122"/>
      <c r="H792" s="137"/>
      <c r="I792" s="50"/>
      <c r="J792" s="50"/>
      <c r="K792" s="50"/>
      <c r="L792" s="38"/>
      <c r="M792" s="38"/>
      <c r="N792" s="38"/>
      <c r="O792" s="50"/>
      <c r="P792" s="218"/>
      <c r="Q792" s="50"/>
      <c r="R792" s="50"/>
      <c r="S792" s="38"/>
      <c r="T792" s="51"/>
      <c r="U792" s="65"/>
      <c r="V792" s="105"/>
      <c r="W792" s="66"/>
      <c r="X792" s="66"/>
      <c r="Y792" s="38"/>
      <c r="Z792" s="66">
        <f t="shared" si="311"/>
        <v>0</v>
      </c>
      <c r="AC792" s="41" t="e">
        <f>VLOOKUP(A792,'Input Sheet'!$A$2:$B$232,2,0)</f>
        <v>#N/A</v>
      </c>
      <c r="AD792" s="70"/>
    </row>
    <row r="793" spans="1:30" x14ac:dyDescent="0.2">
      <c r="A793" s="38" t="str">
        <f t="shared" si="312"/>
        <v xml:space="preserve"> </v>
      </c>
      <c r="B793" s="108"/>
      <c r="C793" s="38"/>
      <c r="D793" s="137"/>
      <c r="E793" s="137"/>
      <c r="F793" s="137"/>
      <c r="G793" s="122"/>
      <c r="H793" s="137"/>
      <c r="I793" s="50"/>
      <c r="J793" s="50"/>
      <c r="K793" s="50"/>
      <c r="L793" s="38"/>
      <c r="M793" s="38"/>
      <c r="N793" s="38"/>
      <c r="O793" s="50"/>
      <c r="P793" s="218"/>
      <c r="Q793" s="50"/>
      <c r="R793" s="50"/>
      <c r="S793" s="38"/>
      <c r="T793" s="51"/>
      <c r="U793" s="65"/>
      <c r="V793" s="105"/>
      <c r="W793" s="66"/>
      <c r="X793" s="66"/>
      <c r="Y793" s="38"/>
      <c r="Z793" s="66">
        <f t="shared" si="311"/>
        <v>0</v>
      </c>
      <c r="AC793" s="41" t="e">
        <f>VLOOKUP(A793,'Input Sheet'!$A$2:$B$232,2,0)</f>
        <v>#N/A</v>
      </c>
      <c r="AD793" s="70"/>
    </row>
    <row r="794" spans="1:30" x14ac:dyDescent="0.2">
      <c r="A794" s="38" t="str">
        <f t="shared" si="312"/>
        <v xml:space="preserve"> </v>
      </c>
      <c r="B794" s="108"/>
      <c r="C794" s="38"/>
      <c r="D794" s="137"/>
      <c r="E794" s="137"/>
      <c r="F794" s="137"/>
      <c r="G794" s="122"/>
      <c r="H794" s="137"/>
      <c r="I794" s="50"/>
      <c r="J794" s="50"/>
      <c r="K794" s="50"/>
      <c r="L794" s="38"/>
      <c r="M794" s="38"/>
      <c r="N794" s="38"/>
      <c r="O794" s="50"/>
      <c r="P794" s="218"/>
      <c r="Q794" s="50"/>
      <c r="R794" s="50"/>
      <c r="S794" s="38"/>
      <c r="T794" s="51"/>
      <c r="U794" s="65"/>
      <c r="V794" s="105"/>
      <c r="W794" s="66"/>
      <c r="X794" s="66"/>
      <c r="Y794" s="38"/>
      <c r="Z794" s="66">
        <f t="shared" si="311"/>
        <v>0</v>
      </c>
      <c r="AC794" s="41" t="e">
        <f>VLOOKUP(A794,'Input Sheet'!$A$2:$B$232,2,0)</f>
        <v>#N/A</v>
      </c>
      <c r="AD794" s="70"/>
    </row>
    <row r="795" spans="1:30" x14ac:dyDescent="0.2">
      <c r="A795" s="38" t="str">
        <f t="shared" si="312"/>
        <v xml:space="preserve"> </v>
      </c>
      <c r="B795" s="108"/>
      <c r="C795" s="38"/>
      <c r="D795" s="137"/>
      <c r="E795" s="137"/>
      <c r="F795" s="137"/>
      <c r="G795" s="122"/>
      <c r="H795" s="137"/>
      <c r="I795" s="50"/>
      <c r="J795" s="50"/>
      <c r="K795" s="50"/>
      <c r="L795" s="38"/>
      <c r="M795" s="38"/>
      <c r="N795" s="38"/>
      <c r="O795" s="50"/>
      <c r="P795" s="218"/>
      <c r="Q795" s="50"/>
      <c r="R795" s="50"/>
      <c r="S795" s="38"/>
      <c r="T795" s="51"/>
      <c r="U795" s="65"/>
      <c r="V795" s="105"/>
      <c r="W795" s="66"/>
      <c r="X795" s="66"/>
      <c r="Y795" s="38"/>
      <c r="Z795" s="66">
        <f t="shared" si="311"/>
        <v>0</v>
      </c>
      <c r="AC795" s="41" t="e">
        <f>VLOOKUP(A795,'Input Sheet'!$A$2:$B$232,2,0)</f>
        <v>#N/A</v>
      </c>
      <c r="AD795" s="70"/>
    </row>
    <row r="796" spans="1:30" x14ac:dyDescent="0.2">
      <c r="A796" s="38" t="str">
        <f t="shared" si="312"/>
        <v xml:space="preserve"> </v>
      </c>
      <c r="B796" s="108"/>
      <c r="C796" s="38"/>
      <c r="D796" s="137"/>
      <c r="E796" s="137"/>
      <c r="F796" s="137"/>
      <c r="G796" s="122"/>
      <c r="H796" s="137"/>
      <c r="I796" s="50"/>
      <c r="J796" s="50"/>
      <c r="K796" s="50"/>
      <c r="L796" s="38"/>
      <c r="M796" s="38"/>
      <c r="N796" s="38"/>
      <c r="O796" s="50"/>
      <c r="P796" s="218"/>
      <c r="Q796" s="50"/>
      <c r="R796" s="50"/>
      <c r="S796" s="38"/>
      <c r="T796" s="51"/>
      <c r="U796" s="65"/>
      <c r="V796" s="105"/>
      <c r="W796" s="66"/>
      <c r="X796" s="66"/>
      <c r="Y796" s="38"/>
      <c r="Z796" s="66">
        <f t="shared" si="311"/>
        <v>0</v>
      </c>
      <c r="AC796" s="41" t="e">
        <f>VLOOKUP(A796,'Input Sheet'!$A$2:$B$232,2,0)</f>
        <v>#N/A</v>
      </c>
      <c r="AD796" s="70"/>
    </row>
    <row r="797" spans="1:30" x14ac:dyDescent="0.2">
      <c r="A797" s="38" t="str">
        <f t="shared" si="312"/>
        <v xml:space="preserve"> </v>
      </c>
      <c r="B797" s="108"/>
      <c r="C797" s="38"/>
      <c r="D797" s="137"/>
      <c r="E797" s="137"/>
      <c r="F797" s="137"/>
      <c r="G797" s="122"/>
      <c r="H797" s="137"/>
      <c r="I797" s="50"/>
      <c r="J797" s="50"/>
      <c r="K797" s="50"/>
      <c r="L797" s="38"/>
      <c r="M797" s="38"/>
      <c r="N797" s="38"/>
      <c r="O797" s="50"/>
      <c r="P797" s="218"/>
      <c r="Q797" s="50"/>
      <c r="R797" s="50"/>
      <c r="S797" s="38"/>
      <c r="T797" s="51"/>
      <c r="U797" s="65"/>
      <c r="V797" s="105"/>
      <c r="W797" s="66"/>
      <c r="X797" s="66"/>
      <c r="Y797" s="38"/>
      <c r="Z797" s="66">
        <f t="shared" si="311"/>
        <v>0</v>
      </c>
      <c r="AC797" s="41" t="e">
        <f>VLOOKUP(A797,'Input Sheet'!$A$2:$B$232,2,0)</f>
        <v>#N/A</v>
      </c>
      <c r="AD797" s="70"/>
    </row>
    <row r="798" spans="1:30" x14ac:dyDescent="0.2">
      <c r="A798" s="38" t="str">
        <f t="shared" si="312"/>
        <v xml:space="preserve"> </v>
      </c>
      <c r="B798" s="108"/>
      <c r="C798" s="38"/>
      <c r="D798" s="137"/>
      <c r="E798" s="137"/>
      <c r="F798" s="137"/>
      <c r="G798" s="122"/>
      <c r="H798" s="137"/>
      <c r="I798" s="50"/>
      <c r="J798" s="50"/>
      <c r="K798" s="50"/>
      <c r="L798" s="38"/>
      <c r="M798" s="38"/>
      <c r="N798" s="38"/>
      <c r="O798" s="50"/>
      <c r="P798" s="218"/>
      <c r="Q798" s="50"/>
      <c r="R798" s="50"/>
      <c r="S798" s="38"/>
      <c r="T798" s="51"/>
      <c r="U798" s="65"/>
      <c r="V798" s="105"/>
      <c r="W798" s="66"/>
      <c r="X798" s="66"/>
      <c r="Y798" s="38"/>
      <c r="Z798" s="66">
        <f t="shared" si="311"/>
        <v>0</v>
      </c>
      <c r="AC798" s="41" t="e">
        <f>VLOOKUP(A798,'Input Sheet'!$A$2:$B$232,2,0)</f>
        <v>#N/A</v>
      </c>
      <c r="AD798" s="70"/>
    </row>
    <row r="799" spans="1:30" x14ac:dyDescent="0.2">
      <c r="A799" s="38" t="str">
        <f t="shared" si="312"/>
        <v xml:space="preserve"> </v>
      </c>
      <c r="B799" s="108"/>
      <c r="C799" s="38"/>
      <c r="D799" s="137"/>
      <c r="E799" s="137"/>
      <c r="F799" s="137"/>
      <c r="G799" s="122"/>
      <c r="H799" s="137"/>
      <c r="I799" s="50"/>
      <c r="J799" s="50"/>
      <c r="K799" s="50"/>
      <c r="L799" s="38"/>
      <c r="M799" s="38"/>
      <c r="N799" s="38"/>
      <c r="O799" s="50"/>
      <c r="P799" s="218"/>
      <c r="Q799" s="50"/>
      <c r="R799" s="50"/>
      <c r="S799" s="38"/>
      <c r="T799" s="51"/>
      <c r="U799" s="65"/>
      <c r="V799" s="105"/>
      <c r="W799" s="66"/>
      <c r="X799" s="66"/>
      <c r="Y799" s="38"/>
      <c r="Z799" s="66">
        <f t="shared" si="311"/>
        <v>0</v>
      </c>
      <c r="AC799" s="41" t="e">
        <f>VLOOKUP(A799,'Input Sheet'!$A$2:$B$232,2,0)</f>
        <v>#N/A</v>
      </c>
      <c r="AD799" s="70"/>
    </row>
    <row r="800" spans="1:30" x14ac:dyDescent="0.2">
      <c r="A800" s="38" t="str">
        <f t="shared" si="312"/>
        <v xml:space="preserve"> </v>
      </c>
      <c r="B800" s="108"/>
      <c r="C800" s="38"/>
      <c r="D800" s="137"/>
      <c r="E800" s="137"/>
      <c r="F800" s="137"/>
      <c r="G800" s="122"/>
      <c r="H800" s="137"/>
      <c r="I800" s="50"/>
      <c r="J800" s="50"/>
      <c r="K800" s="50"/>
      <c r="L800" s="38"/>
      <c r="M800" s="38"/>
      <c r="N800" s="38"/>
      <c r="O800" s="50"/>
      <c r="P800" s="218"/>
      <c r="Q800" s="50"/>
      <c r="R800" s="50"/>
      <c r="S800" s="38"/>
      <c r="T800" s="51"/>
      <c r="U800" s="65"/>
      <c r="V800" s="105"/>
      <c r="W800" s="66"/>
      <c r="X800" s="66"/>
      <c r="Y800" s="38"/>
      <c r="Z800" s="66">
        <f t="shared" si="311"/>
        <v>0</v>
      </c>
      <c r="AC800" s="41" t="e">
        <f>VLOOKUP(A800,'Input Sheet'!$A$2:$B$232,2,0)</f>
        <v>#N/A</v>
      </c>
      <c r="AD800" s="70"/>
    </row>
    <row r="801" spans="1:30" x14ac:dyDescent="0.2">
      <c r="A801" s="38" t="str">
        <f t="shared" si="312"/>
        <v xml:space="preserve"> </v>
      </c>
      <c r="B801" s="108"/>
      <c r="C801" s="38"/>
      <c r="D801" s="137"/>
      <c r="E801" s="137"/>
      <c r="F801" s="137"/>
      <c r="G801" s="122"/>
      <c r="H801" s="137"/>
      <c r="I801" s="50"/>
      <c r="J801" s="50"/>
      <c r="K801" s="50"/>
      <c r="L801" s="38"/>
      <c r="M801" s="38"/>
      <c r="N801" s="38"/>
      <c r="O801" s="50"/>
      <c r="P801" s="218"/>
      <c r="Q801" s="50"/>
      <c r="R801" s="50"/>
      <c r="S801" s="38"/>
      <c r="T801" s="51"/>
      <c r="U801" s="65"/>
      <c r="V801" s="105"/>
      <c r="W801" s="66"/>
      <c r="X801" s="66"/>
      <c r="Y801" s="38"/>
      <c r="Z801" s="66">
        <f t="shared" si="311"/>
        <v>0</v>
      </c>
      <c r="AC801" s="41" t="e">
        <f>VLOOKUP(A801,'Input Sheet'!$A$2:$B$232,2,0)</f>
        <v>#N/A</v>
      </c>
      <c r="AD801" s="70"/>
    </row>
    <row r="802" spans="1:30" x14ac:dyDescent="0.2">
      <c r="A802" s="38" t="str">
        <f t="shared" si="312"/>
        <v xml:space="preserve"> </v>
      </c>
      <c r="B802" s="108"/>
      <c r="C802" s="38"/>
      <c r="D802" s="137"/>
      <c r="E802" s="137"/>
      <c r="F802" s="137"/>
      <c r="G802" s="122"/>
      <c r="H802" s="137"/>
      <c r="I802" s="50"/>
      <c r="J802" s="50"/>
      <c r="K802" s="50"/>
      <c r="L802" s="38"/>
      <c r="M802" s="38"/>
      <c r="N802" s="38"/>
      <c r="O802" s="50"/>
      <c r="P802" s="218"/>
      <c r="Q802" s="50"/>
      <c r="R802" s="50"/>
      <c r="S802" s="38"/>
      <c r="T802" s="51"/>
      <c r="U802" s="65"/>
      <c r="V802" s="105"/>
      <c r="W802" s="66"/>
      <c r="X802" s="66"/>
      <c r="Y802" s="38"/>
      <c r="Z802" s="66">
        <f t="shared" si="311"/>
        <v>0</v>
      </c>
      <c r="AC802" s="41" t="e">
        <f>VLOOKUP(A802,'Input Sheet'!$A$2:$B$232,2,0)</f>
        <v>#N/A</v>
      </c>
      <c r="AD802" s="70"/>
    </row>
    <row r="803" spans="1:30" x14ac:dyDescent="0.2">
      <c r="A803" s="38" t="str">
        <f t="shared" si="312"/>
        <v xml:space="preserve"> </v>
      </c>
      <c r="B803" s="108"/>
      <c r="C803" s="38"/>
      <c r="D803" s="137"/>
      <c r="E803" s="137"/>
      <c r="F803" s="137"/>
      <c r="G803" s="122"/>
      <c r="H803" s="137"/>
      <c r="I803" s="50"/>
      <c r="J803" s="50"/>
      <c r="K803" s="50"/>
      <c r="L803" s="38"/>
      <c r="M803" s="38"/>
      <c r="N803" s="38"/>
      <c r="O803" s="50"/>
      <c r="P803" s="218"/>
      <c r="Q803" s="50"/>
      <c r="R803" s="50"/>
      <c r="S803" s="38"/>
      <c r="T803" s="51"/>
      <c r="U803" s="65"/>
      <c r="V803" s="105"/>
      <c r="W803" s="66"/>
      <c r="X803" s="66"/>
      <c r="Y803" s="38"/>
      <c r="Z803" s="66">
        <f t="shared" si="311"/>
        <v>0</v>
      </c>
      <c r="AC803" s="41" t="e">
        <f>VLOOKUP(A803,'Input Sheet'!$A$2:$B$232,2,0)</f>
        <v>#N/A</v>
      </c>
      <c r="AD803" s="70"/>
    </row>
    <row r="804" spans="1:30" x14ac:dyDescent="0.2">
      <c r="A804" s="38" t="str">
        <f t="shared" si="312"/>
        <v xml:space="preserve"> </v>
      </c>
      <c r="B804" s="108"/>
      <c r="C804" s="38"/>
      <c r="D804" s="137"/>
      <c r="E804" s="137"/>
      <c r="F804" s="137"/>
      <c r="G804" s="122"/>
      <c r="H804" s="137"/>
      <c r="I804" s="50"/>
      <c r="J804" s="50"/>
      <c r="K804" s="50"/>
      <c r="L804" s="38"/>
      <c r="M804" s="38"/>
      <c r="N804" s="38"/>
      <c r="O804" s="50"/>
      <c r="P804" s="218"/>
      <c r="Q804" s="50"/>
      <c r="R804" s="50"/>
      <c r="S804" s="38"/>
      <c r="T804" s="51"/>
      <c r="U804" s="65"/>
      <c r="V804" s="105"/>
      <c r="W804" s="66"/>
      <c r="X804" s="66"/>
      <c r="Y804" s="38"/>
      <c r="Z804" s="66">
        <f t="shared" si="311"/>
        <v>0</v>
      </c>
      <c r="AC804" s="41" t="e">
        <f>VLOOKUP(A804,'Input Sheet'!$A$2:$B$232,2,0)</f>
        <v>#N/A</v>
      </c>
      <c r="AD804" s="70"/>
    </row>
    <row r="805" spans="1:30" x14ac:dyDescent="0.2">
      <c r="A805" s="38" t="str">
        <f t="shared" si="312"/>
        <v xml:space="preserve"> </v>
      </c>
      <c r="B805" s="108"/>
      <c r="C805" s="38"/>
      <c r="D805" s="137"/>
      <c r="E805" s="137"/>
      <c r="F805" s="137"/>
      <c r="G805" s="122"/>
      <c r="H805" s="137"/>
      <c r="I805" s="50"/>
      <c r="J805" s="50"/>
      <c r="K805" s="50"/>
      <c r="L805" s="38"/>
      <c r="M805" s="38"/>
      <c r="N805" s="38"/>
      <c r="O805" s="50"/>
      <c r="P805" s="218"/>
      <c r="Q805" s="50"/>
      <c r="R805" s="50"/>
      <c r="S805" s="38"/>
      <c r="T805" s="51"/>
      <c r="U805" s="65"/>
      <c r="V805" s="105"/>
      <c r="W805" s="66"/>
      <c r="X805" s="66"/>
      <c r="Y805" s="38"/>
      <c r="Z805" s="66">
        <f t="shared" si="311"/>
        <v>0</v>
      </c>
      <c r="AC805" s="41" t="e">
        <f>VLOOKUP(A805,'Input Sheet'!$A$2:$B$232,2,0)</f>
        <v>#N/A</v>
      </c>
      <c r="AD805" s="70"/>
    </row>
    <row r="806" spans="1:30" x14ac:dyDescent="0.2">
      <c r="A806" s="38" t="str">
        <f t="shared" si="312"/>
        <v xml:space="preserve"> </v>
      </c>
      <c r="B806" s="108"/>
      <c r="C806" s="38"/>
      <c r="D806" s="137"/>
      <c r="E806" s="137"/>
      <c r="F806" s="137"/>
      <c r="G806" s="122"/>
      <c r="H806" s="137"/>
      <c r="I806" s="50"/>
      <c r="J806" s="50"/>
      <c r="K806" s="50"/>
      <c r="L806" s="38"/>
      <c r="M806" s="38"/>
      <c r="N806" s="38"/>
      <c r="O806" s="50"/>
      <c r="P806" s="218"/>
      <c r="Q806" s="50"/>
      <c r="R806" s="50"/>
      <c r="S806" s="38"/>
      <c r="T806" s="51"/>
      <c r="U806" s="65"/>
      <c r="V806" s="105"/>
      <c r="W806" s="66"/>
      <c r="X806" s="66"/>
      <c r="Y806" s="38"/>
      <c r="Z806" s="66">
        <f t="shared" si="311"/>
        <v>0</v>
      </c>
      <c r="AC806" s="41" t="e">
        <f>VLOOKUP(A806,'Input Sheet'!$A$2:$B$232,2,0)</f>
        <v>#N/A</v>
      </c>
      <c r="AD806" s="70"/>
    </row>
    <row r="807" spans="1:30" x14ac:dyDescent="0.2">
      <c r="A807" s="38" t="str">
        <f t="shared" si="312"/>
        <v xml:space="preserve"> </v>
      </c>
      <c r="B807" s="108"/>
      <c r="C807" s="38"/>
      <c r="D807" s="137"/>
      <c r="E807" s="137"/>
      <c r="F807" s="137"/>
      <c r="G807" s="122"/>
      <c r="H807" s="137"/>
      <c r="I807" s="50"/>
      <c r="J807" s="50"/>
      <c r="K807" s="50"/>
      <c r="L807" s="38"/>
      <c r="M807" s="38"/>
      <c r="N807" s="38"/>
      <c r="O807" s="50"/>
      <c r="P807" s="218"/>
      <c r="Q807" s="50"/>
      <c r="R807" s="50"/>
      <c r="S807" s="38"/>
      <c r="T807" s="51"/>
      <c r="U807" s="65"/>
      <c r="V807" s="105"/>
      <c r="W807" s="66"/>
      <c r="X807" s="66"/>
      <c r="Y807" s="38"/>
      <c r="Z807" s="66">
        <f t="shared" si="311"/>
        <v>0</v>
      </c>
      <c r="AC807" s="41" t="e">
        <f>VLOOKUP(A807,'Input Sheet'!$A$2:$B$232,2,0)</f>
        <v>#N/A</v>
      </c>
      <c r="AD807" s="70"/>
    </row>
    <row r="808" spans="1:30" x14ac:dyDescent="0.2">
      <c r="A808" s="38" t="str">
        <f t="shared" si="312"/>
        <v xml:space="preserve"> </v>
      </c>
      <c r="B808" s="108"/>
      <c r="C808" s="38"/>
      <c r="D808" s="137"/>
      <c r="E808" s="137"/>
      <c r="F808" s="137"/>
      <c r="G808" s="122"/>
      <c r="H808" s="137"/>
      <c r="I808" s="50"/>
      <c r="J808" s="50"/>
      <c r="K808" s="50"/>
      <c r="L808" s="38"/>
      <c r="M808" s="38"/>
      <c r="N808" s="38"/>
      <c r="O808" s="50"/>
      <c r="P808" s="218"/>
      <c r="Q808" s="50"/>
      <c r="R808" s="50"/>
      <c r="S808" s="38"/>
      <c r="T808" s="51"/>
      <c r="U808" s="65"/>
      <c r="V808" s="105"/>
      <c r="W808" s="66"/>
      <c r="X808" s="66"/>
      <c r="Y808" s="38"/>
      <c r="Z808" s="66">
        <f t="shared" si="311"/>
        <v>0</v>
      </c>
      <c r="AC808" s="41" t="e">
        <f>VLOOKUP(A808,'Input Sheet'!$A$2:$B$232,2,0)</f>
        <v>#N/A</v>
      </c>
      <c r="AD808" s="70"/>
    </row>
    <row r="809" spans="1:30" x14ac:dyDescent="0.2">
      <c r="A809" s="38" t="str">
        <f t="shared" si="312"/>
        <v xml:space="preserve"> </v>
      </c>
      <c r="B809" s="108"/>
      <c r="C809" s="38"/>
      <c r="D809" s="137"/>
      <c r="E809" s="137"/>
      <c r="F809" s="137"/>
      <c r="G809" s="122"/>
      <c r="H809" s="137"/>
      <c r="I809" s="50"/>
      <c r="J809" s="50"/>
      <c r="K809" s="50"/>
      <c r="L809" s="38"/>
      <c r="M809" s="38"/>
      <c r="N809" s="38"/>
      <c r="O809" s="50"/>
      <c r="P809" s="218"/>
      <c r="Q809" s="50"/>
      <c r="R809" s="50"/>
      <c r="S809" s="38"/>
      <c r="T809" s="51"/>
      <c r="U809" s="65"/>
      <c r="V809" s="105"/>
      <c r="W809" s="66"/>
      <c r="X809" s="66"/>
      <c r="Y809" s="38"/>
      <c r="Z809" s="66">
        <f t="shared" si="311"/>
        <v>0</v>
      </c>
      <c r="AC809" s="41" t="e">
        <f>VLOOKUP(A809,'Input Sheet'!$A$2:$B$232,2,0)</f>
        <v>#N/A</v>
      </c>
      <c r="AD809" s="70"/>
    </row>
    <row r="810" spans="1:30" x14ac:dyDescent="0.2">
      <c r="A810" s="38" t="str">
        <f t="shared" si="312"/>
        <v xml:space="preserve"> </v>
      </c>
      <c r="B810" s="108"/>
      <c r="C810" s="38"/>
      <c r="D810" s="137"/>
      <c r="E810" s="137"/>
      <c r="F810" s="137"/>
      <c r="G810" s="122"/>
      <c r="H810" s="137"/>
      <c r="I810" s="50"/>
      <c r="J810" s="50"/>
      <c r="K810" s="50"/>
      <c r="L810" s="38"/>
      <c r="M810" s="38"/>
      <c r="N810" s="38"/>
      <c r="O810" s="50"/>
      <c r="P810" s="218"/>
      <c r="Q810" s="50"/>
      <c r="R810" s="50"/>
      <c r="S810" s="38"/>
      <c r="T810" s="51"/>
      <c r="U810" s="65"/>
      <c r="V810" s="105"/>
      <c r="W810" s="66"/>
      <c r="X810" s="66"/>
      <c r="Y810" s="38"/>
      <c r="Z810" s="66">
        <f t="shared" si="311"/>
        <v>0</v>
      </c>
      <c r="AC810" s="41" t="e">
        <f>VLOOKUP(A810,'Input Sheet'!$A$2:$B$232,2,0)</f>
        <v>#N/A</v>
      </c>
      <c r="AD810" s="70"/>
    </row>
    <row r="811" spans="1:30" x14ac:dyDescent="0.2">
      <c r="A811" s="38" t="str">
        <f t="shared" si="312"/>
        <v xml:space="preserve"> </v>
      </c>
      <c r="B811" s="108"/>
      <c r="C811" s="38"/>
      <c r="D811" s="137"/>
      <c r="E811" s="137"/>
      <c r="F811" s="137"/>
      <c r="G811" s="122"/>
      <c r="H811" s="137"/>
      <c r="I811" s="50"/>
      <c r="J811" s="50"/>
      <c r="K811" s="50"/>
      <c r="L811" s="38"/>
      <c r="M811" s="38"/>
      <c r="N811" s="38"/>
      <c r="O811" s="50"/>
      <c r="P811" s="218"/>
      <c r="Q811" s="50"/>
      <c r="R811" s="50"/>
      <c r="S811" s="38"/>
      <c r="T811" s="51"/>
      <c r="U811" s="65"/>
      <c r="V811" s="105"/>
      <c r="W811" s="66"/>
      <c r="X811" s="66"/>
      <c r="Y811" s="38"/>
      <c r="Z811" s="66">
        <f t="shared" si="311"/>
        <v>0</v>
      </c>
      <c r="AC811" s="41" t="e">
        <f>VLOOKUP(A811,'Input Sheet'!$A$2:$B$232,2,0)</f>
        <v>#N/A</v>
      </c>
      <c r="AD811" s="70"/>
    </row>
    <row r="812" spans="1:30" x14ac:dyDescent="0.2">
      <c r="A812" s="38" t="str">
        <f t="shared" si="312"/>
        <v xml:space="preserve"> </v>
      </c>
      <c r="B812" s="108"/>
      <c r="C812" s="38"/>
      <c r="D812" s="137"/>
      <c r="E812" s="137"/>
      <c r="F812" s="137"/>
      <c r="G812" s="122"/>
      <c r="H812" s="137"/>
      <c r="I812" s="50"/>
      <c r="J812" s="50"/>
      <c r="K812" s="50"/>
      <c r="L812" s="38"/>
      <c r="M812" s="38"/>
      <c r="N812" s="38"/>
      <c r="O812" s="50"/>
      <c r="P812" s="218"/>
      <c r="Q812" s="50"/>
      <c r="R812" s="50"/>
      <c r="S812" s="38"/>
      <c r="T812" s="51"/>
      <c r="U812" s="65"/>
      <c r="V812" s="105"/>
      <c r="W812" s="66"/>
      <c r="X812" s="66"/>
      <c r="Y812" s="38"/>
      <c r="Z812" s="66">
        <f t="shared" si="311"/>
        <v>0</v>
      </c>
      <c r="AC812" s="41" t="e">
        <f>VLOOKUP(A812,'Input Sheet'!$A$2:$B$232,2,0)</f>
        <v>#N/A</v>
      </c>
      <c r="AD812" s="70"/>
    </row>
    <row r="813" spans="1:30" x14ac:dyDescent="0.2">
      <c r="A813" s="38" t="str">
        <f t="shared" si="312"/>
        <v xml:space="preserve"> </v>
      </c>
      <c r="B813" s="108"/>
      <c r="C813" s="38"/>
      <c r="D813" s="137"/>
      <c r="E813" s="137"/>
      <c r="F813" s="137"/>
      <c r="G813" s="122"/>
      <c r="H813" s="137"/>
      <c r="I813" s="50"/>
      <c r="J813" s="50"/>
      <c r="K813" s="50"/>
      <c r="L813" s="38"/>
      <c r="M813" s="38"/>
      <c r="N813" s="38"/>
      <c r="O813" s="50"/>
      <c r="P813" s="218"/>
      <c r="Q813" s="50"/>
      <c r="R813" s="50"/>
      <c r="S813" s="38"/>
      <c r="T813" s="51"/>
      <c r="U813" s="65"/>
      <c r="V813" s="105"/>
      <c r="W813" s="66"/>
      <c r="X813" s="66"/>
      <c r="Y813" s="38"/>
      <c r="Z813" s="66">
        <f t="shared" si="311"/>
        <v>0</v>
      </c>
      <c r="AC813" s="41" t="e">
        <f>VLOOKUP(A813,'Input Sheet'!$A$2:$B$232,2,0)</f>
        <v>#N/A</v>
      </c>
      <c r="AD813" s="70"/>
    </row>
    <row r="814" spans="1:30" x14ac:dyDescent="0.2">
      <c r="A814" s="38" t="str">
        <f t="shared" si="312"/>
        <v xml:space="preserve"> </v>
      </c>
      <c r="B814" s="108"/>
      <c r="C814" s="38"/>
      <c r="D814" s="137"/>
      <c r="E814" s="137"/>
      <c r="F814" s="137"/>
      <c r="G814" s="122"/>
      <c r="H814" s="137"/>
      <c r="I814" s="50"/>
      <c r="J814" s="50"/>
      <c r="K814" s="50"/>
      <c r="L814" s="38"/>
      <c r="M814" s="38"/>
      <c r="N814" s="38"/>
      <c r="O814" s="50"/>
      <c r="P814" s="218"/>
      <c r="Q814" s="50"/>
      <c r="R814" s="50"/>
      <c r="S814" s="38"/>
      <c r="T814" s="51"/>
      <c r="U814" s="65"/>
      <c r="V814" s="105"/>
      <c r="W814" s="66"/>
      <c r="X814" s="66"/>
      <c r="Y814" s="38"/>
      <c r="Z814" s="66">
        <f t="shared" si="311"/>
        <v>0</v>
      </c>
      <c r="AC814" s="41" t="e">
        <f>VLOOKUP(A814,'Input Sheet'!$A$2:$B$232,2,0)</f>
        <v>#N/A</v>
      </c>
      <c r="AD814" s="70"/>
    </row>
    <row r="815" spans="1:30" x14ac:dyDescent="0.2">
      <c r="A815" s="38" t="str">
        <f t="shared" si="312"/>
        <v xml:space="preserve"> </v>
      </c>
      <c r="B815" s="108"/>
      <c r="C815" s="38"/>
      <c r="D815" s="137"/>
      <c r="E815" s="137"/>
      <c r="F815" s="137"/>
      <c r="G815" s="122"/>
      <c r="H815" s="137"/>
      <c r="I815" s="50"/>
      <c r="J815" s="50"/>
      <c r="K815" s="50"/>
      <c r="L815" s="38"/>
      <c r="M815" s="38"/>
      <c r="N815" s="38"/>
      <c r="O815" s="50"/>
      <c r="P815" s="218"/>
      <c r="Q815" s="50"/>
      <c r="R815" s="50"/>
      <c r="S815" s="38"/>
      <c r="T815" s="51"/>
      <c r="U815" s="65"/>
      <c r="V815" s="105"/>
      <c r="W815" s="66"/>
      <c r="X815" s="66"/>
      <c r="Y815" s="38"/>
      <c r="Z815" s="66">
        <f t="shared" si="311"/>
        <v>0</v>
      </c>
      <c r="AC815" s="41" t="e">
        <f>VLOOKUP(A815,'Input Sheet'!$A$2:$B$232,2,0)</f>
        <v>#N/A</v>
      </c>
      <c r="AD815" s="70"/>
    </row>
    <row r="816" spans="1:30" x14ac:dyDescent="0.2">
      <c r="A816" s="38" t="str">
        <f t="shared" si="312"/>
        <v xml:space="preserve"> </v>
      </c>
      <c r="B816" s="108"/>
      <c r="C816" s="38"/>
      <c r="D816" s="137"/>
      <c r="E816" s="137"/>
      <c r="F816" s="137"/>
      <c r="G816" s="122"/>
      <c r="H816" s="137"/>
      <c r="I816" s="50"/>
      <c r="J816" s="50"/>
      <c r="K816" s="50"/>
      <c r="L816" s="38"/>
      <c r="M816" s="38"/>
      <c r="N816" s="38"/>
      <c r="O816" s="50"/>
      <c r="P816" s="218"/>
      <c r="Q816" s="50"/>
      <c r="R816" s="50"/>
      <c r="S816" s="38"/>
      <c r="T816" s="51"/>
      <c r="U816" s="65"/>
      <c r="V816" s="105"/>
      <c r="W816" s="66"/>
      <c r="X816" s="66"/>
      <c r="Y816" s="38"/>
      <c r="Z816" s="66">
        <f t="shared" si="311"/>
        <v>0</v>
      </c>
      <c r="AC816" s="41" t="e">
        <f>VLOOKUP(A816,'Input Sheet'!$A$2:$B$232,2,0)</f>
        <v>#N/A</v>
      </c>
      <c r="AD816" s="70"/>
    </row>
    <row r="817" spans="1:30" x14ac:dyDescent="0.2">
      <c r="A817" s="38" t="str">
        <f t="shared" si="312"/>
        <v xml:space="preserve"> </v>
      </c>
      <c r="B817" s="108"/>
      <c r="C817" s="38"/>
      <c r="D817" s="137"/>
      <c r="E817" s="137"/>
      <c r="F817" s="137"/>
      <c r="G817" s="122"/>
      <c r="H817" s="137"/>
      <c r="I817" s="50"/>
      <c r="J817" s="50"/>
      <c r="K817" s="50"/>
      <c r="L817" s="38"/>
      <c r="M817" s="38"/>
      <c r="N817" s="38"/>
      <c r="O817" s="50"/>
      <c r="P817" s="218"/>
      <c r="Q817" s="50"/>
      <c r="R817" s="50"/>
      <c r="S817" s="38"/>
      <c r="T817" s="51"/>
      <c r="U817" s="65"/>
      <c r="V817" s="105"/>
      <c r="W817" s="66"/>
      <c r="X817" s="66"/>
      <c r="Y817" s="38"/>
      <c r="Z817" s="66">
        <f t="shared" si="311"/>
        <v>0</v>
      </c>
      <c r="AC817" s="41" t="e">
        <f>VLOOKUP(A817,'Input Sheet'!$A$2:$B$232,2,0)</f>
        <v>#N/A</v>
      </c>
      <c r="AD817" s="70"/>
    </row>
    <row r="818" spans="1:30" x14ac:dyDescent="0.2">
      <c r="A818" s="38" t="str">
        <f t="shared" si="312"/>
        <v xml:space="preserve"> </v>
      </c>
      <c r="B818" s="108"/>
      <c r="C818" s="38"/>
      <c r="D818" s="137"/>
      <c r="E818" s="137"/>
      <c r="F818" s="137"/>
      <c r="G818" s="122"/>
      <c r="H818" s="137"/>
      <c r="I818" s="50"/>
      <c r="J818" s="50"/>
      <c r="K818" s="50"/>
      <c r="L818" s="38"/>
      <c r="M818" s="38"/>
      <c r="N818" s="38"/>
      <c r="O818" s="50"/>
      <c r="P818" s="218"/>
      <c r="Q818" s="50"/>
      <c r="R818" s="50"/>
      <c r="S818" s="38"/>
      <c r="T818" s="51"/>
      <c r="U818" s="65"/>
      <c r="V818" s="105"/>
      <c r="W818" s="66"/>
      <c r="X818" s="66"/>
      <c r="Y818" s="38"/>
      <c r="Z818" s="66">
        <f t="shared" si="311"/>
        <v>0</v>
      </c>
      <c r="AC818" s="41" t="e">
        <f>VLOOKUP(A818,'Input Sheet'!$A$2:$B$232,2,0)</f>
        <v>#N/A</v>
      </c>
      <c r="AD818" s="70"/>
    </row>
    <row r="819" spans="1:30" x14ac:dyDescent="0.2">
      <c r="A819" s="38" t="str">
        <f t="shared" si="312"/>
        <v xml:space="preserve"> </v>
      </c>
      <c r="B819" s="108"/>
      <c r="C819" s="38"/>
      <c r="D819" s="137"/>
      <c r="E819" s="137"/>
      <c r="F819" s="137"/>
      <c r="G819" s="122"/>
      <c r="H819" s="137"/>
      <c r="I819" s="50"/>
      <c r="J819" s="50"/>
      <c r="K819" s="50"/>
      <c r="L819" s="38"/>
      <c r="M819" s="38"/>
      <c r="N819" s="38"/>
      <c r="O819" s="50"/>
      <c r="P819" s="218"/>
      <c r="Q819" s="50"/>
      <c r="R819" s="50"/>
      <c r="S819" s="38"/>
      <c r="T819" s="51"/>
      <c r="U819" s="65"/>
      <c r="V819" s="105"/>
      <c r="W819" s="66"/>
      <c r="X819" s="66"/>
      <c r="Y819" s="38"/>
      <c r="Z819" s="66">
        <f t="shared" si="311"/>
        <v>0</v>
      </c>
      <c r="AC819" s="41" t="e">
        <f>VLOOKUP(A819,'Input Sheet'!$A$2:$B$232,2,0)</f>
        <v>#N/A</v>
      </c>
      <c r="AD819" s="70"/>
    </row>
    <row r="820" spans="1:30" x14ac:dyDescent="0.2">
      <c r="A820" s="38" t="str">
        <f t="shared" si="312"/>
        <v xml:space="preserve"> </v>
      </c>
      <c r="B820" s="108"/>
      <c r="C820" s="38"/>
      <c r="D820" s="137"/>
      <c r="E820" s="137"/>
      <c r="F820" s="137"/>
      <c r="G820" s="122"/>
      <c r="H820" s="137"/>
      <c r="I820" s="50"/>
      <c r="J820" s="50"/>
      <c r="K820" s="50"/>
      <c r="L820" s="38"/>
      <c r="M820" s="38"/>
      <c r="N820" s="38"/>
      <c r="O820" s="50"/>
      <c r="P820" s="218"/>
      <c r="Q820" s="50"/>
      <c r="R820" s="50"/>
      <c r="S820" s="38"/>
      <c r="T820" s="51"/>
      <c r="U820" s="65"/>
      <c r="V820" s="105"/>
      <c r="W820" s="66"/>
      <c r="X820" s="66"/>
      <c r="Y820" s="38"/>
      <c r="Z820" s="66">
        <f t="shared" si="311"/>
        <v>0</v>
      </c>
      <c r="AC820" s="41" t="e">
        <f>VLOOKUP(A820,'Input Sheet'!$A$2:$B$232,2,0)</f>
        <v>#N/A</v>
      </c>
      <c r="AD820" s="70"/>
    </row>
    <row r="821" spans="1:30" x14ac:dyDescent="0.2">
      <c r="A821" s="38" t="str">
        <f t="shared" si="312"/>
        <v xml:space="preserve"> </v>
      </c>
      <c r="B821" s="108"/>
      <c r="C821" s="38"/>
      <c r="D821" s="137"/>
      <c r="E821" s="137"/>
      <c r="F821" s="137"/>
      <c r="G821" s="122"/>
      <c r="H821" s="137"/>
      <c r="I821" s="50"/>
      <c r="J821" s="50"/>
      <c r="K821" s="50"/>
      <c r="L821" s="38"/>
      <c r="M821" s="38"/>
      <c r="N821" s="38"/>
      <c r="O821" s="50"/>
      <c r="P821" s="218"/>
      <c r="Q821" s="50"/>
      <c r="R821" s="50"/>
      <c r="S821" s="38"/>
      <c r="T821" s="51"/>
      <c r="U821" s="65"/>
      <c r="V821" s="105"/>
      <c r="W821" s="66"/>
      <c r="X821" s="66"/>
      <c r="Y821" s="38"/>
      <c r="Z821" s="66">
        <f t="shared" si="311"/>
        <v>0</v>
      </c>
      <c r="AC821" s="41" t="e">
        <f>VLOOKUP(A821,'Input Sheet'!$A$2:$B$232,2,0)</f>
        <v>#N/A</v>
      </c>
      <c r="AD821" s="70"/>
    </row>
    <row r="822" spans="1:30" x14ac:dyDescent="0.2">
      <c r="A822" s="38" t="str">
        <f t="shared" si="312"/>
        <v xml:space="preserve"> </v>
      </c>
      <c r="B822" s="108"/>
      <c r="C822" s="38"/>
      <c r="D822" s="137"/>
      <c r="E822" s="137"/>
      <c r="F822" s="137"/>
      <c r="G822" s="122"/>
      <c r="H822" s="137"/>
      <c r="I822" s="50"/>
      <c r="J822" s="50"/>
      <c r="K822" s="50"/>
      <c r="L822" s="38"/>
      <c r="M822" s="38"/>
      <c r="N822" s="38"/>
      <c r="O822" s="50"/>
      <c r="P822" s="218"/>
      <c r="Q822" s="50"/>
      <c r="R822" s="50"/>
      <c r="S822" s="38"/>
      <c r="T822" s="51"/>
      <c r="U822" s="65"/>
      <c r="V822" s="105"/>
      <c r="W822" s="66"/>
      <c r="X822" s="66"/>
      <c r="Y822" s="38"/>
      <c r="Z822" s="66">
        <f t="shared" si="311"/>
        <v>0</v>
      </c>
      <c r="AC822" s="41" t="e">
        <f>VLOOKUP(A822,'Input Sheet'!$A$2:$B$232,2,0)</f>
        <v>#N/A</v>
      </c>
      <c r="AD822" s="70"/>
    </row>
    <row r="823" spans="1:30" x14ac:dyDescent="0.2">
      <c r="A823" s="38" t="str">
        <f t="shared" si="312"/>
        <v xml:space="preserve"> </v>
      </c>
      <c r="B823" s="108"/>
      <c r="C823" s="38"/>
      <c r="D823" s="137"/>
      <c r="E823" s="137"/>
      <c r="F823" s="137"/>
      <c r="G823" s="122"/>
      <c r="H823" s="137"/>
      <c r="I823" s="50"/>
      <c r="J823" s="50"/>
      <c r="K823" s="50"/>
      <c r="L823" s="38"/>
      <c r="M823" s="38"/>
      <c r="N823" s="38"/>
      <c r="O823" s="50"/>
      <c r="P823" s="218"/>
      <c r="Q823" s="50"/>
      <c r="R823" s="50"/>
      <c r="S823" s="38"/>
      <c r="T823" s="51"/>
      <c r="U823" s="65"/>
      <c r="V823" s="105"/>
      <c r="W823" s="66"/>
      <c r="X823" s="66"/>
      <c r="Y823" s="38"/>
      <c r="Z823" s="66">
        <f t="shared" si="311"/>
        <v>0</v>
      </c>
      <c r="AC823" s="41" t="e">
        <f>VLOOKUP(A823,'Input Sheet'!$A$2:$B$232,2,0)</f>
        <v>#N/A</v>
      </c>
      <c r="AD823" s="70"/>
    </row>
    <row r="824" spans="1:30" x14ac:dyDescent="0.2">
      <c r="A824" s="38" t="str">
        <f t="shared" si="312"/>
        <v xml:space="preserve"> </v>
      </c>
      <c r="B824" s="108"/>
      <c r="C824" s="38"/>
      <c r="D824" s="137"/>
      <c r="E824" s="137"/>
      <c r="F824" s="137"/>
      <c r="G824" s="122"/>
      <c r="H824" s="137"/>
      <c r="I824" s="50"/>
      <c r="J824" s="50"/>
      <c r="K824" s="50"/>
      <c r="L824" s="38"/>
      <c r="M824" s="38"/>
      <c r="N824" s="38"/>
      <c r="O824" s="50"/>
      <c r="P824" s="218"/>
      <c r="Q824" s="50"/>
      <c r="R824" s="50"/>
      <c r="S824" s="38"/>
      <c r="T824" s="51"/>
      <c r="U824" s="65"/>
      <c r="V824" s="105"/>
      <c r="W824" s="66"/>
      <c r="X824" s="66"/>
      <c r="Y824" s="38"/>
      <c r="Z824" s="66">
        <f t="shared" si="311"/>
        <v>0</v>
      </c>
      <c r="AC824" s="41" t="e">
        <f>VLOOKUP(A824,'Input Sheet'!$A$2:$B$232,2,0)</f>
        <v>#N/A</v>
      </c>
      <c r="AD824" s="70"/>
    </row>
    <row r="825" spans="1:30" x14ac:dyDescent="0.2">
      <c r="A825" s="38" t="str">
        <f t="shared" si="312"/>
        <v xml:space="preserve"> </v>
      </c>
      <c r="B825" s="108"/>
      <c r="C825" s="38"/>
      <c r="D825" s="137"/>
      <c r="E825" s="137"/>
      <c r="F825" s="137"/>
      <c r="G825" s="122"/>
      <c r="H825" s="137"/>
      <c r="I825" s="50"/>
      <c r="J825" s="50"/>
      <c r="K825" s="50"/>
      <c r="L825" s="38"/>
      <c r="M825" s="38"/>
      <c r="N825" s="38"/>
      <c r="O825" s="50"/>
      <c r="P825" s="218"/>
      <c r="Q825" s="50"/>
      <c r="R825" s="50"/>
      <c r="S825" s="38"/>
      <c r="T825" s="51"/>
      <c r="U825" s="65"/>
      <c r="V825" s="105"/>
      <c r="W825" s="66"/>
      <c r="X825" s="66"/>
      <c r="Y825" s="38"/>
      <c r="Z825" s="66">
        <f t="shared" si="311"/>
        <v>0</v>
      </c>
      <c r="AC825" s="41" t="e">
        <f>VLOOKUP(A825,'Input Sheet'!$A$2:$B$232,2,0)</f>
        <v>#N/A</v>
      </c>
      <c r="AD825" s="70"/>
    </row>
    <row r="826" spans="1:30" x14ac:dyDescent="0.2">
      <c r="A826" s="38" t="str">
        <f t="shared" si="312"/>
        <v xml:space="preserve"> </v>
      </c>
      <c r="B826" s="108"/>
      <c r="C826" s="38"/>
      <c r="D826" s="137"/>
      <c r="E826" s="137"/>
      <c r="F826" s="137"/>
      <c r="G826" s="122"/>
      <c r="H826" s="137"/>
      <c r="I826" s="50"/>
      <c r="J826" s="50"/>
      <c r="K826" s="50"/>
      <c r="L826" s="38"/>
      <c r="M826" s="38"/>
      <c r="N826" s="38"/>
      <c r="O826" s="50"/>
      <c r="P826" s="218"/>
      <c r="Q826" s="50"/>
      <c r="R826" s="50"/>
      <c r="S826" s="38"/>
      <c r="T826" s="51"/>
      <c r="U826" s="65"/>
      <c r="V826" s="105"/>
      <c r="W826" s="66"/>
      <c r="X826" s="66"/>
      <c r="Y826" s="38"/>
      <c r="Z826" s="66">
        <f t="shared" si="311"/>
        <v>0</v>
      </c>
      <c r="AC826" s="41" t="e">
        <f>VLOOKUP(A826,'Input Sheet'!$A$2:$B$232,2,0)</f>
        <v>#N/A</v>
      </c>
      <c r="AD826" s="70"/>
    </row>
    <row r="827" spans="1:30" x14ac:dyDescent="0.2">
      <c r="A827" s="38" t="str">
        <f t="shared" si="312"/>
        <v xml:space="preserve"> </v>
      </c>
      <c r="B827" s="108"/>
      <c r="C827" s="38"/>
      <c r="D827" s="137"/>
      <c r="E827" s="137"/>
      <c r="F827" s="137"/>
      <c r="G827" s="122"/>
      <c r="H827" s="137"/>
      <c r="I827" s="50"/>
      <c r="J827" s="50"/>
      <c r="K827" s="50"/>
      <c r="L827" s="38"/>
      <c r="M827" s="38"/>
      <c r="N827" s="38"/>
      <c r="O827" s="50"/>
      <c r="P827" s="218"/>
      <c r="Q827" s="50"/>
      <c r="R827" s="50"/>
      <c r="S827" s="38"/>
      <c r="T827" s="51"/>
      <c r="U827" s="65"/>
      <c r="V827" s="105"/>
      <c r="W827" s="66"/>
      <c r="X827" s="66"/>
      <c r="Y827" s="38"/>
      <c r="Z827" s="66">
        <f t="shared" si="311"/>
        <v>0</v>
      </c>
      <c r="AC827" s="41" t="e">
        <f>VLOOKUP(A827,'Input Sheet'!$A$2:$B$232,2,0)</f>
        <v>#N/A</v>
      </c>
      <c r="AD827" s="70"/>
    </row>
    <row r="828" spans="1:30" x14ac:dyDescent="0.2">
      <c r="A828" s="38" t="str">
        <f t="shared" si="312"/>
        <v xml:space="preserve"> </v>
      </c>
      <c r="B828" s="108"/>
      <c r="C828" s="38"/>
      <c r="D828" s="137"/>
      <c r="E828" s="137"/>
      <c r="F828" s="137"/>
      <c r="G828" s="122"/>
      <c r="H828" s="137"/>
      <c r="I828" s="50"/>
      <c r="J828" s="50"/>
      <c r="K828" s="50"/>
      <c r="L828" s="38"/>
      <c r="M828" s="38"/>
      <c r="N828" s="38"/>
      <c r="O828" s="50"/>
      <c r="P828" s="218"/>
      <c r="Q828" s="50"/>
      <c r="R828" s="50"/>
      <c r="S828" s="38"/>
      <c r="T828" s="51"/>
      <c r="U828" s="65"/>
      <c r="V828" s="105"/>
      <c r="W828" s="66"/>
      <c r="X828" s="66"/>
      <c r="Y828" s="38"/>
      <c r="Z828" s="66">
        <f t="shared" si="311"/>
        <v>0</v>
      </c>
      <c r="AC828" s="41" t="e">
        <f>VLOOKUP(A828,'Input Sheet'!$A$2:$B$232,2,0)</f>
        <v>#N/A</v>
      </c>
      <c r="AD828" s="70"/>
    </row>
    <row r="829" spans="1:30" x14ac:dyDescent="0.2">
      <c r="A829" s="38" t="str">
        <f t="shared" si="312"/>
        <v xml:space="preserve"> </v>
      </c>
      <c r="B829" s="108"/>
      <c r="C829" s="38"/>
      <c r="D829" s="137"/>
      <c r="E829" s="137"/>
      <c r="F829" s="137"/>
      <c r="G829" s="122"/>
      <c r="H829" s="137"/>
      <c r="I829" s="50"/>
      <c r="J829" s="50"/>
      <c r="K829" s="50"/>
      <c r="L829" s="38"/>
      <c r="M829" s="38"/>
      <c r="N829" s="38"/>
      <c r="O829" s="50"/>
      <c r="P829" s="218"/>
      <c r="Q829" s="50"/>
      <c r="R829" s="50"/>
      <c r="S829" s="38"/>
      <c r="T829" s="51"/>
      <c r="U829" s="65"/>
      <c r="V829" s="105"/>
      <c r="W829" s="66"/>
      <c r="X829" s="66"/>
      <c r="Y829" s="38"/>
      <c r="Z829" s="66">
        <f t="shared" si="311"/>
        <v>0</v>
      </c>
      <c r="AC829" s="41" t="e">
        <f>VLOOKUP(A829,'Input Sheet'!$A$2:$B$232,2,0)</f>
        <v>#N/A</v>
      </c>
      <c r="AD829" s="70"/>
    </row>
    <row r="830" spans="1:30" x14ac:dyDescent="0.2">
      <c r="A830" s="38" t="str">
        <f t="shared" si="312"/>
        <v xml:space="preserve"> </v>
      </c>
      <c r="B830" s="108"/>
      <c r="C830" s="38"/>
      <c r="D830" s="137"/>
      <c r="E830" s="137"/>
      <c r="F830" s="137"/>
      <c r="G830" s="122"/>
      <c r="H830" s="137"/>
      <c r="I830" s="50"/>
      <c r="J830" s="50"/>
      <c r="K830" s="50"/>
      <c r="L830" s="38"/>
      <c r="M830" s="38"/>
      <c r="N830" s="38"/>
      <c r="O830" s="50"/>
      <c r="P830" s="218"/>
      <c r="Q830" s="50"/>
      <c r="R830" s="50"/>
      <c r="S830" s="38"/>
      <c r="T830" s="51"/>
      <c r="U830" s="65"/>
      <c r="V830" s="105"/>
      <c r="W830" s="66"/>
      <c r="X830" s="66"/>
      <c r="Y830" s="38"/>
      <c r="Z830" s="66">
        <f t="shared" si="311"/>
        <v>0</v>
      </c>
      <c r="AC830" s="41" t="e">
        <f>VLOOKUP(A830,'Input Sheet'!$A$2:$B$232,2,0)</f>
        <v>#N/A</v>
      </c>
      <c r="AD830" s="70"/>
    </row>
    <row r="831" spans="1:30" x14ac:dyDescent="0.2">
      <c r="A831" s="38" t="str">
        <f t="shared" si="312"/>
        <v xml:space="preserve"> </v>
      </c>
      <c r="B831" s="108"/>
      <c r="C831" s="38"/>
      <c r="D831" s="137"/>
      <c r="E831" s="137"/>
      <c r="F831" s="137"/>
      <c r="G831" s="122"/>
      <c r="H831" s="137"/>
      <c r="I831" s="50"/>
      <c r="J831" s="50"/>
      <c r="K831" s="50"/>
      <c r="L831" s="38"/>
      <c r="M831" s="38"/>
      <c r="N831" s="38"/>
      <c r="O831" s="50"/>
      <c r="P831" s="218"/>
      <c r="Q831" s="50"/>
      <c r="R831" s="50"/>
      <c r="S831" s="38"/>
      <c r="T831" s="51"/>
      <c r="U831" s="65"/>
      <c r="V831" s="105"/>
      <c r="W831" s="66"/>
      <c r="X831" s="66"/>
      <c r="Y831" s="38"/>
      <c r="Z831" s="66">
        <f t="shared" si="311"/>
        <v>0</v>
      </c>
      <c r="AC831" s="41" t="e">
        <f>VLOOKUP(A831,'Input Sheet'!$A$2:$B$232,2,0)</f>
        <v>#N/A</v>
      </c>
      <c r="AD831" s="70"/>
    </row>
    <row r="832" spans="1:30" x14ac:dyDescent="0.2">
      <c r="A832" s="38" t="str">
        <f t="shared" si="312"/>
        <v xml:space="preserve"> </v>
      </c>
      <c r="B832" s="108"/>
      <c r="C832" s="38"/>
      <c r="D832" s="137"/>
      <c r="E832" s="137"/>
      <c r="F832" s="137"/>
      <c r="G832" s="122"/>
      <c r="H832" s="137"/>
      <c r="I832" s="50"/>
      <c r="J832" s="50"/>
      <c r="K832" s="50"/>
      <c r="L832" s="38"/>
      <c r="M832" s="38"/>
      <c r="N832" s="38"/>
      <c r="O832" s="50"/>
      <c r="P832" s="218"/>
      <c r="Q832" s="50"/>
      <c r="R832" s="50"/>
      <c r="S832" s="38"/>
      <c r="T832" s="51"/>
      <c r="U832" s="65"/>
      <c r="V832" s="105"/>
      <c r="W832" s="66"/>
      <c r="X832" s="66"/>
      <c r="Y832" s="38"/>
      <c r="Z832" s="66">
        <f t="shared" si="311"/>
        <v>0</v>
      </c>
      <c r="AC832" s="41" t="e">
        <f>VLOOKUP(A832,'Input Sheet'!$A$2:$B$232,2,0)</f>
        <v>#N/A</v>
      </c>
      <c r="AD832" s="70"/>
    </row>
    <row r="833" spans="1:30" x14ac:dyDescent="0.2">
      <c r="A833" s="38" t="str">
        <f t="shared" si="312"/>
        <v xml:space="preserve"> </v>
      </c>
      <c r="B833" s="108"/>
      <c r="C833" s="38"/>
      <c r="D833" s="137"/>
      <c r="E833" s="137"/>
      <c r="F833" s="137"/>
      <c r="G833" s="122"/>
      <c r="H833" s="137"/>
      <c r="I833" s="50"/>
      <c r="J833" s="50"/>
      <c r="K833" s="50"/>
      <c r="L833" s="38"/>
      <c r="M833" s="38"/>
      <c r="N833" s="38"/>
      <c r="O833" s="50"/>
      <c r="P833" s="218"/>
      <c r="Q833" s="50"/>
      <c r="R833" s="50"/>
      <c r="S833" s="38"/>
      <c r="T833" s="51"/>
      <c r="U833" s="65"/>
      <c r="V833" s="105"/>
      <c r="W833" s="66"/>
      <c r="X833" s="66"/>
      <c r="Y833" s="38"/>
      <c r="Z833" s="66">
        <f t="shared" si="311"/>
        <v>0</v>
      </c>
      <c r="AC833" s="41" t="e">
        <f>VLOOKUP(A833,'Input Sheet'!$A$2:$B$232,2,0)</f>
        <v>#N/A</v>
      </c>
      <c r="AD833" s="70"/>
    </row>
    <row r="834" spans="1:30" x14ac:dyDescent="0.2">
      <c r="A834" s="38" t="str">
        <f t="shared" si="312"/>
        <v xml:space="preserve"> </v>
      </c>
      <c r="B834" s="108"/>
      <c r="C834" s="38"/>
      <c r="D834" s="137"/>
      <c r="E834" s="137"/>
      <c r="F834" s="137"/>
      <c r="G834" s="122"/>
      <c r="H834" s="137"/>
      <c r="I834" s="50"/>
      <c r="J834" s="50"/>
      <c r="K834" s="50"/>
      <c r="L834" s="38"/>
      <c r="M834" s="38"/>
      <c r="N834" s="38"/>
      <c r="O834" s="50"/>
      <c r="P834" s="218"/>
      <c r="Q834" s="50"/>
      <c r="R834" s="50"/>
      <c r="S834" s="38"/>
      <c r="T834" s="51"/>
      <c r="U834" s="65"/>
      <c r="V834" s="105"/>
      <c r="W834" s="66"/>
      <c r="X834" s="66"/>
      <c r="Y834" s="38"/>
      <c r="Z834" s="66">
        <f t="shared" si="311"/>
        <v>0</v>
      </c>
      <c r="AC834" s="41" t="e">
        <f>VLOOKUP(A834,'Input Sheet'!$A$2:$B$232,2,0)</f>
        <v>#N/A</v>
      </c>
      <c r="AD834" s="70"/>
    </row>
    <row r="835" spans="1:30" x14ac:dyDescent="0.2">
      <c r="A835" s="38" t="str">
        <f t="shared" si="312"/>
        <v xml:space="preserve"> </v>
      </c>
      <c r="B835" s="108"/>
      <c r="C835" s="38"/>
      <c r="D835" s="137"/>
      <c r="E835" s="137"/>
      <c r="F835" s="137"/>
      <c r="G835" s="122"/>
      <c r="H835" s="137"/>
      <c r="I835" s="50"/>
      <c r="J835" s="50"/>
      <c r="K835" s="50"/>
      <c r="L835" s="38"/>
      <c r="M835" s="38"/>
      <c r="N835" s="38"/>
      <c r="O835" s="50"/>
      <c r="P835" s="218"/>
      <c r="Q835" s="50"/>
      <c r="R835" s="50"/>
      <c r="S835" s="38"/>
      <c r="T835" s="51"/>
      <c r="U835" s="65"/>
      <c r="V835" s="105"/>
      <c r="W835" s="66"/>
      <c r="X835" s="66"/>
      <c r="Y835" s="38"/>
      <c r="Z835" s="66">
        <f t="shared" si="311"/>
        <v>0</v>
      </c>
      <c r="AC835" s="41" t="e">
        <f>VLOOKUP(A835,'Input Sheet'!$A$2:$B$232,2,0)</f>
        <v>#N/A</v>
      </c>
      <c r="AD835" s="70"/>
    </row>
    <row r="836" spans="1:30" x14ac:dyDescent="0.2">
      <c r="A836" s="38" t="str">
        <f t="shared" si="312"/>
        <v xml:space="preserve"> </v>
      </c>
      <c r="B836" s="108"/>
      <c r="C836" s="38"/>
      <c r="D836" s="137"/>
      <c r="E836" s="137"/>
      <c r="F836" s="137"/>
      <c r="G836" s="122"/>
      <c r="H836" s="137"/>
      <c r="I836" s="50"/>
      <c r="J836" s="50"/>
      <c r="K836" s="50"/>
      <c r="L836" s="38"/>
      <c r="M836" s="38"/>
      <c r="N836" s="38"/>
      <c r="O836" s="50"/>
      <c r="P836" s="218"/>
      <c r="Q836" s="50"/>
      <c r="R836" s="50"/>
      <c r="S836" s="38"/>
      <c r="T836" s="51"/>
      <c r="U836" s="65"/>
      <c r="V836" s="105"/>
      <c r="W836" s="66"/>
      <c r="X836" s="66"/>
      <c r="Y836" s="38"/>
      <c r="Z836" s="66">
        <f t="shared" si="311"/>
        <v>0</v>
      </c>
      <c r="AC836" s="41" t="e">
        <f>VLOOKUP(A836,'Input Sheet'!$A$2:$B$232,2,0)</f>
        <v>#N/A</v>
      </c>
      <c r="AD836" s="70"/>
    </row>
    <row r="837" spans="1:30" x14ac:dyDescent="0.2">
      <c r="A837" s="38" t="str">
        <f t="shared" si="312"/>
        <v xml:space="preserve"> </v>
      </c>
      <c r="B837" s="108"/>
      <c r="C837" s="38"/>
      <c r="D837" s="137"/>
      <c r="E837" s="137"/>
      <c r="F837" s="137"/>
      <c r="G837" s="122"/>
      <c r="H837" s="137"/>
      <c r="I837" s="50"/>
      <c r="J837" s="50"/>
      <c r="K837" s="50"/>
      <c r="L837" s="38"/>
      <c r="M837" s="38"/>
      <c r="N837" s="38"/>
      <c r="O837" s="50"/>
      <c r="P837" s="218"/>
      <c r="Q837" s="50"/>
      <c r="R837" s="50"/>
      <c r="S837" s="38"/>
      <c r="T837" s="51"/>
      <c r="U837" s="65"/>
      <c r="V837" s="105"/>
      <c r="W837" s="66"/>
      <c r="X837" s="66"/>
      <c r="Y837" s="38"/>
      <c r="Z837" s="66">
        <f t="shared" ref="Z837:Z900" si="313">IF(Y837="Stage 1",X837,IF(Y837="Stage 2",W837,O837))</f>
        <v>0</v>
      </c>
      <c r="AC837" s="41" t="e">
        <f>VLOOKUP(A837,'Input Sheet'!$A$2:$B$232,2,0)</f>
        <v>#N/A</v>
      </c>
      <c r="AD837" s="70"/>
    </row>
    <row r="838" spans="1:30" x14ac:dyDescent="0.2">
      <c r="A838" s="38" t="str">
        <f t="shared" si="312"/>
        <v xml:space="preserve"> </v>
      </c>
      <c r="B838" s="108"/>
      <c r="C838" s="38"/>
      <c r="D838" s="137"/>
      <c r="E838" s="137"/>
      <c r="F838" s="137"/>
      <c r="G838" s="122"/>
      <c r="H838" s="137"/>
      <c r="I838" s="50"/>
      <c r="J838" s="50"/>
      <c r="K838" s="50"/>
      <c r="L838" s="38"/>
      <c r="M838" s="38"/>
      <c r="N838" s="38"/>
      <c r="O838" s="50"/>
      <c r="P838" s="218"/>
      <c r="Q838" s="50"/>
      <c r="R838" s="50"/>
      <c r="S838" s="38"/>
      <c r="T838" s="51"/>
      <c r="U838" s="65"/>
      <c r="V838" s="105"/>
      <c r="W838" s="66"/>
      <c r="X838" s="66"/>
      <c r="Y838" s="38"/>
      <c r="Z838" s="66">
        <f t="shared" si="313"/>
        <v>0</v>
      </c>
      <c r="AC838" s="41" t="e">
        <f>VLOOKUP(A838,'Input Sheet'!$A$2:$B$232,2,0)</f>
        <v>#N/A</v>
      </c>
      <c r="AD838" s="70"/>
    </row>
    <row r="839" spans="1:30" x14ac:dyDescent="0.2">
      <c r="A839" s="38" t="str">
        <f t="shared" si="312"/>
        <v xml:space="preserve"> </v>
      </c>
      <c r="B839" s="108"/>
      <c r="C839" s="38"/>
      <c r="D839" s="137"/>
      <c r="E839" s="137"/>
      <c r="F839" s="137"/>
      <c r="G839" s="122"/>
      <c r="H839" s="137"/>
      <c r="I839" s="50"/>
      <c r="J839" s="50"/>
      <c r="K839" s="50"/>
      <c r="L839" s="38"/>
      <c r="M839" s="38"/>
      <c r="N839" s="38"/>
      <c r="O839" s="50"/>
      <c r="P839" s="218"/>
      <c r="Q839" s="50"/>
      <c r="R839" s="50"/>
      <c r="S839" s="38"/>
      <c r="T839" s="51"/>
      <c r="U839" s="65"/>
      <c r="V839" s="105"/>
      <c r="W839" s="66"/>
      <c r="X839" s="66"/>
      <c r="Y839" s="38"/>
      <c r="Z839" s="66">
        <f t="shared" si="313"/>
        <v>0</v>
      </c>
      <c r="AC839" s="41" t="e">
        <f>VLOOKUP(A839,'Input Sheet'!$A$2:$B$232,2,0)</f>
        <v>#N/A</v>
      </c>
      <c r="AD839" s="70"/>
    </row>
    <row r="840" spans="1:30" x14ac:dyDescent="0.2">
      <c r="A840" s="38" t="str">
        <f t="shared" si="312"/>
        <v xml:space="preserve"> </v>
      </c>
      <c r="B840" s="108"/>
      <c r="C840" s="38"/>
      <c r="D840" s="137"/>
      <c r="E840" s="137"/>
      <c r="F840" s="137"/>
      <c r="G840" s="122"/>
      <c r="H840" s="137"/>
      <c r="I840" s="50"/>
      <c r="J840" s="50"/>
      <c r="K840" s="50"/>
      <c r="L840" s="38"/>
      <c r="M840" s="38"/>
      <c r="N840" s="38"/>
      <c r="O840" s="50"/>
      <c r="P840" s="218"/>
      <c r="Q840" s="50"/>
      <c r="R840" s="50"/>
      <c r="S840" s="38"/>
      <c r="T840" s="51"/>
      <c r="U840" s="65"/>
      <c r="V840" s="105"/>
      <c r="W840" s="66"/>
      <c r="X840" s="66"/>
      <c r="Y840" s="38"/>
      <c r="Z840" s="66">
        <f t="shared" si="313"/>
        <v>0</v>
      </c>
      <c r="AC840" s="41" t="e">
        <f>VLOOKUP(A840,'Input Sheet'!$A$2:$B$232,2,0)</f>
        <v>#N/A</v>
      </c>
      <c r="AD840" s="70"/>
    </row>
    <row r="841" spans="1:30" x14ac:dyDescent="0.2">
      <c r="A841" s="38" t="str">
        <f t="shared" si="312"/>
        <v xml:space="preserve"> </v>
      </c>
      <c r="B841" s="108"/>
      <c r="C841" s="38"/>
      <c r="D841" s="137"/>
      <c r="E841" s="137"/>
      <c r="F841" s="137"/>
      <c r="G841" s="122"/>
      <c r="H841" s="137"/>
      <c r="I841" s="50"/>
      <c r="J841" s="50"/>
      <c r="K841" s="50"/>
      <c r="L841" s="38"/>
      <c r="M841" s="38"/>
      <c r="N841" s="38"/>
      <c r="O841" s="50"/>
      <c r="P841" s="218"/>
      <c r="Q841" s="50"/>
      <c r="R841" s="50"/>
      <c r="S841" s="38"/>
      <c r="T841" s="51"/>
      <c r="U841" s="65"/>
      <c r="V841" s="105"/>
      <c r="W841" s="66"/>
      <c r="X841" s="66"/>
      <c r="Y841" s="38"/>
      <c r="Z841" s="66">
        <f t="shared" si="313"/>
        <v>0</v>
      </c>
      <c r="AC841" s="41" t="e">
        <f>VLOOKUP(A841,'Input Sheet'!$A$2:$B$232,2,0)</f>
        <v>#N/A</v>
      </c>
      <c r="AD841" s="70"/>
    </row>
    <row r="842" spans="1:30" x14ac:dyDescent="0.2">
      <c r="A842" s="38" t="str">
        <f t="shared" ref="A842:A905" si="314">IF(B842=0," ",A841+1)</f>
        <v xml:space="preserve"> </v>
      </c>
      <c r="B842" s="108"/>
      <c r="C842" s="38"/>
      <c r="D842" s="137"/>
      <c r="E842" s="137"/>
      <c r="F842" s="137"/>
      <c r="G842" s="122"/>
      <c r="H842" s="137"/>
      <c r="I842" s="50"/>
      <c r="J842" s="50"/>
      <c r="K842" s="50"/>
      <c r="L842" s="38"/>
      <c r="M842" s="38"/>
      <c r="N842" s="38"/>
      <c r="O842" s="50"/>
      <c r="P842" s="218"/>
      <c r="Q842" s="50"/>
      <c r="R842" s="50"/>
      <c r="S842" s="38"/>
      <c r="T842" s="51"/>
      <c r="U842" s="65"/>
      <c r="V842" s="105"/>
      <c r="W842" s="66"/>
      <c r="X842" s="66"/>
      <c r="Y842" s="38"/>
      <c r="Z842" s="66">
        <f t="shared" si="313"/>
        <v>0</v>
      </c>
      <c r="AC842" s="41" t="e">
        <f>VLOOKUP(A842,'Input Sheet'!$A$2:$B$232,2,0)</f>
        <v>#N/A</v>
      </c>
      <c r="AD842" s="70"/>
    </row>
    <row r="843" spans="1:30" x14ac:dyDescent="0.2">
      <c r="A843" s="38" t="str">
        <f t="shared" si="314"/>
        <v xml:space="preserve"> </v>
      </c>
      <c r="B843" s="108"/>
      <c r="C843" s="38"/>
      <c r="D843" s="137"/>
      <c r="E843" s="137"/>
      <c r="F843" s="137"/>
      <c r="G843" s="122"/>
      <c r="H843" s="137"/>
      <c r="I843" s="50"/>
      <c r="J843" s="50"/>
      <c r="K843" s="50"/>
      <c r="L843" s="38"/>
      <c r="M843" s="38"/>
      <c r="N843" s="38"/>
      <c r="O843" s="50"/>
      <c r="P843" s="218"/>
      <c r="Q843" s="50"/>
      <c r="R843" s="50"/>
      <c r="S843" s="38"/>
      <c r="T843" s="51"/>
      <c r="U843" s="65"/>
      <c r="V843" s="105"/>
      <c r="W843" s="66"/>
      <c r="X843" s="66"/>
      <c r="Y843" s="38"/>
      <c r="Z843" s="66">
        <f t="shared" si="313"/>
        <v>0</v>
      </c>
      <c r="AC843" s="41" t="e">
        <f>VLOOKUP(A843,'Input Sheet'!$A$2:$B$232,2,0)</f>
        <v>#N/A</v>
      </c>
      <c r="AD843" s="70"/>
    </row>
    <row r="844" spans="1:30" x14ac:dyDescent="0.2">
      <c r="A844" s="38" t="str">
        <f t="shared" si="314"/>
        <v xml:space="preserve"> </v>
      </c>
      <c r="B844" s="108"/>
      <c r="C844" s="38"/>
      <c r="D844" s="137"/>
      <c r="E844" s="137"/>
      <c r="F844" s="137"/>
      <c r="G844" s="122"/>
      <c r="H844" s="137"/>
      <c r="I844" s="50"/>
      <c r="J844" s="50"/>
      <c r="K844" s="50"/>
      <c r="L844" s="38"/>
      <c r="M844" s="38"/>
      <c r="N844" s="38"/>
      <c r="O844" s="50"/>
      <c r="P844" s="218"/>
      <c r="Q844" s="50"/>
      <c r="R844" s="50"/>
      <c r="S844" s="38"/>
      <c r="T844" s="51"/>
      <c r="U844" s="65"/>
      <c r="V844" s="105"/>
      <c r="W844" s="66"/>
      <c r="X844" s="66"/>
      <c r="Y844" s="38"/>
      <c r="Z844" s="66">
        <f t="shared" si="313"/>
        <v>0</v>
      </c>
      <c r="AC844" s="41" t="e">
        <f>VLOOKUP(A844,'Input Sheet'!$A$2:$B$232,2,0)</f>
        <v>#N/A</v>
      </c>
      <c r="AD844" s="70"/>
    </row>
    <row r="845" spans="1:30" x14ac:dyDescent="0.2">
      <c r="A845" s="38" t="str">
        <f t="shared" si="314"/>
        <v xml:space="preserve"> </v>
      </c>
      <c r="B845" s="108"/>
      <c r="C845" s="38"/>
      <c r="D845" s="137"/>
      <c r="E845" s="137"/>
      <c r="F845" s="137"/>
      <c r="G845" s="122"/>
      <c r="H845" s="137"/>
      <c r="I845" s="50"/>
      <c r="J845" s="50"/>
      <c r="K845" s="50"/>
      <c r="L845" s="38"/>
      <c r="M845" s="38"/>
      <c r="N845" s="38"/>
      <c r="O845" s="50"/>
      <c r="P845" s="218"/>
      <c r="Q845" s="50"/>
      <c r="R845" s="50"/>
      <c r="S845" s="38"/>
      <c r="T845" s="51"/>
      <c r="U845" s="65"/>
      <c r="V845" s="105"/>
      <c r="W845" s="66"/>
      <c r="X845" s="66"/>
      <c r="Y845" s="38"/>
      <c r="Z845" s="66">
        <f t="shared" si="313"/>
        <v>0</v>
      </c>
      <c r="AC845" s="41" t="e">
        <f>VLOOKUP(A845,'Input Sheet'!$A$2:$B$232,2,0)</f>
        <v>#N/A</v>
      </c>
      <c r="AD845" s="70"/>
    </row>
    <row r="846" spans="1:30" x14ac:dyDescent="0.2">
      <c r="A846" s="38" t="str">
        <f t="shared" si="314"/>
        <v xml:space="preserve"> </v>
      </c>
      <c r="B846" s="108"/>
      <c r="C846" s="38"/>
      <c r="D846" s="137"/>
      <c r="E846" s="137"/>
      <c r="F846" s="137"/>
      <c r="G846" s="122"/>
      <c r="H846" s="137"/>
      <c r="I846" s="50"/>
      <c r="J846" s="50"/>
      <c r="K846" s="50"/>
      <c r="L846" s="38"/>
      <c r="M846" s="38"/>
      <c r="N846" s="38"/>
      <c r="O846" s="50"/>
      <c r="P846" s="218"/>
      <c r="Q846" s="50"/>
      <c r="R846" s="50"/>
      <c r="S846" s="38"/>
      <c r="T846" s="51"/>
      <c r="U846" s="65"/>
      <c r="V846" s="105"/>
      <c r="W846" s="66"/>
      <c r="X846" s="66"/>
      <c r="Y846" s="38"/>
      <c r="Z846" s="66">
        <f t="shared" si="313"/>
        <v>0</v>
      </c>
      <c r="AC846" s="41" t="e">
        <f>VLOOKUP(A846,'Input Sheet'!$A$2:$B$232,2,0)</f>
        <v>#N/A</v>
      </c>
      <c r="AD846" s="70"/>
    </row>
    <row r="847" spans="1:30" x14ac:dyDescent="0.2">
      <c r="A847" s="38" t="str">
        <f t="shared" si="314"/>
        <v xml:space="preserve"> </v>
      </c>
      <c r="B847" s="108"/>
      <c r="C847" s="38"/>
      <c r="D847" s="137"/>
      <c r="E847" s="137"/>
      <c r="F847" s="137"/>
      <c r="G847" s="122"/>
      <c r="H847" s="137"/>
      <c r="I847" s="50"/>
      <c r="J847" s="50"/>
      <c r="K847" s="50"/>
      <c r="L847" s="38"/>
      <c r="M847" s="38"/>
      <c r="N847" s="38"/>
      <c r="O847" s="50"/>
      <c r="P847" s="218"/>
      <c r="Q847" s="50"/>
      <c r="R847" s="50"/>
      <c r="S847" s="38"/>
      <c r="T847" s="51"/>
      <c r="U847" s="65"/>
      <c r="V847" s="105"/>
      <c r="W847" s="66"/>
      <c r="X847" s="66"/>
      <c r="Y847" s="38"/>
      <c r="Z847" s="66">
        <f t="shared" si="313"/>
        <v>0</v>
      </c>
      <c r="AC847" s="41" t="e">
        <f>VLOOKUP(A847,'Input Sheet'!$A$2:$B$232,2,0)</f>
        <v>#N/A</v>
      </c>
      <c r="AD847" s="70"/>
    </row>
    <row r="848" spans="1:30" x14ac:dyDescent="0.2">
      <c r="A848" s="38" t="str">
        <f t="shared" si="314"/>
        <v xml:space="preserve"> </v>
      </c>
      <c r="B848" s="108"/>
      <c r="C848" s="38"/>
      <c r="D848" s="137"/>
      <c r="E848" s="137"/>
      <c r="F848" s="137"/>
      <c r="G848" s="122"/>
      <c r="H848" s="137"/>
      <c r="I848" s="50"/>
      <c r="J848" s="50"/>
      <c r="K848" s="50"/>
      <c r="L848" s="38"/>
      <c r="M848" s="38"/>
      <c r="N848" s="38"/>
      <c r="O848" s="50"/>
      <c r="P848" s="218"/>
      <c r="Q848" s="50"/>
      <c r="R848" s="50"/>
      <c r="S848" s="38"/>
      <c r="T848" s="51"/>
      <c r="U848" s="65"/>
      <c r="V848" s="105"/>
      <c r="W848" s="66"/>
      <c r="X848" s="66"/>
      <c r="Y848" s="38"/>
      <c r="Z848" s="66">
        <f t="shared" si="313"/>
        <v>0</v>
      </c>
      <c r="AC848" s="41" t="e">
        <f>VLOOKUP(A848,'Input Sheet'!$A$2:$B$232,2,0)</f>
        <v>#N/A</v>
      </c>
      <c r="AD848" s="70"/>
    </row>
    <row r="849" spans="1:30" x14ac:dyDescent="0.2">
      <c r="A849" s="38" t="str">
        <f t="shared" si="314"/>
        <v xml:space="preserve"> </v>
      </c>
      <c r="B849" s="108"/>
      <c r="C849" s="38"/>
      <c r="D849" s="137"/>
      <c r="E849" s="137"/>
      <c r="F849" s="137"/>
      <c r="G849" s="122"/>
      <c r="H849" s="137"/>
      <c r="I849" s="50"/>
      <c r="J849" s="50"/>
      <c r="K849" s="50"/>
      <c r="L849" s="38"/>
      <c r="M849" s="38"/>
      <c r="N849" s="38"/>
      <c r="O849" s="50"/>
      <c r="P849" s="218"/>
      <c r="Q849" s="50"/>
      <c r="R849" s="50"/>
      <c r="S849" s="38"/>
      <c r="T849" s="51"/>
      <c r="U849" s="65"/>
      <c r="V849" s="105"/>
      <c r="W849" s="66"/>
      <c r="X849" s="66"/>
      <c r="Y849" s="38"/>
      <c r="Z849" s="66">
        <f t="shared" si="313"/>
        <v>0</v>
      </c>
      <c r="AC849" s="41" t="e">
        <f>VLOOKUP(A849,'Input Sheet'!$A$2:$B$232,2,0)</f>
        <v>#N/A</v>
      </c>
      <c r="AD849" s="70"/>
    </row>
    <row r="850" spans="1:30" x14ac:dyDescent="0.2">
      <c r="A850" s="38" t="str">
        <f t="shared" si="314"/>
        <v xml:space="preserve"> </v>
      </c>
      <c r="B850" s="108"/>
      <c r="C850" s="38"/>
      <c r="D850" s="137"/>
      <c r="E850" s="137"/>
      <c r="F850" s="137"/>
      <c r="G850" s="122"/>
      <c r="H850" s="137"/>
      <c r="I850" s="50"/>
      <c r="J850" s="50"/>
      <c r="K850" s="50"/>
      <c r="L850" s="38"/>
      <c r="M850" s="38"/>
      <c r="N850" s="38"/>
      <c r="O850" s="50"/>
      <c r="P850" s="218"/>
      <c r="Q850" s="50"/>
      <c r="R850" s="50"/>
      <c r="S850" s="38"/>
      <c r="T850" s="51"/>
      <c r="U850" s="65"/>
      <c r="V850" s="105"/>
      <c r="W850" s="66"/>
      <c r="X850" s="66"/>
      <c r="Y850" s="38"/>
      <c r="Z850" s="66">
        <f t="shared" si="313"/>
        <v>0</v>
      </c>
      <c r="AC850" s="41" t="e">
        <f>VLOOKUP(A850,'Input Sheet'!$A$2:$B$232,2,0)</f>
        <v>#N/A</v>
      </c>
      <c r="AD850" s="70"/>
    </row>
    <row r="851" spans="1:30" x14ac:dyDescent="0.2">
      <c r="A851" s="38" t="str">
        <f t="shared" si="314"/>
        <v xml:space="preserve"> </v>
      </c>
      <c r="B851" s="108"/>
      <c r="C851" s="38"/>
      <c r="D851" s="137"/>
      <c r="E851" s="137"/>
      <c r="F851" s="137"/>
      <c r="G851" s="122"/>
      <c r="H851" s="137"/>
      <c r="I851" s="50"/>
      <c r="J851" s="50"/>
      <c r="K851" s="50"/>
      <c r="L851" s="38"/>
      <c r="M851" s="38"/>
      <c r="N851" s="38"/>
      <c r="O851" s="50"/>
      <c r="P851" s="218"/>
      <c r="Q851" s="50"/>
      <c r="R851" s="50"/>
      <c r="S851" s="38"/>
      <c r="T851" s="51"/>
      <c r="U851" s="65"/>
      <c r="V851" s="105"/>
      <c r="W851" s="66"/>
      <c r="X851" s="66"/>
      <c r="Y851" s="38"/>
      <c r="Z851" s="66">
        <f t="shared" si="313"/>
        <v>0</v>
      </c>
      <c r="AC851" s="41" t="e">
        <f>VLOOKUP(A851,'Input Sheet'!$A$2:$B$232,2,0)</f>
        <v>#N/A</v>
      </c>
      <c r="AD851" s="70"/>
    </row>
    <row r="852" spans="1:30" x14ac:dyDescent="0.2">
      <c r="A852" s="38" t="str">
        <f t="shared" si="314"/>
        <v xml:space="preserve"> </v>
      </c>
      <c r="B852" s="108"/>
      <c r="C852" s="38"/>
      <c r="D852" s="137"/>
      <c r="E852" s="137"/>
      <c r="F852" s="137"/>
      <c r="G852" s="122"/>
      <c r="H852" s="137"/>
      <c r="I852" s="50"/>
      <c r="J852" s="50"/>
      <c r="K852" s="50"/>
      <c r="L852" s="38"/>
      <c r="M852" s="38"/>
      <c r="N852" s="38"/>
      <c r="O852" s="50"/>
      <c r="P852" s="218"/>
      <c r="Q852" s="50"/>
      <c r="R852" s="50"/>
      <c r="S852" s="38"/>
      <c r="T852" s="51"/>
      <c r="U852" s="65"/>
      <c r="V852" s="105"/>
      <c r="W852" s="66"/>
      <c r="X852" s="66"/>
      <c r="Y852" s="38"/>
      <c r="Z852" s="66">
        <f t="shared" si="313"/>
        <v>0</v>
      </c>
      <c r="AC852" s="41" t="e">
        <f>VLOOKUP(A852,'Input Sheet'!$A$2:$B$232,2,0)</f>
        <v>#N/A</v>
      </c>
      <c r="AD852" s="70"/>
    </row>
    <row r="853" spans="1:30" x14ac:dyDescent="0.2">
      <c r="A853" s="38" t="str">
        <f t="shared" si="314"/>
        <v xml:space="preserve"> </v>
      </c>
      <c r="B853" s="108"/>
      <c r="C853" s="38"/>
      <c r="D853" s="137"/>
      <c r="E853" s="137"/>
      <c r="F853" s="137"/>
      <c r="G853" s="122"/>
      <c r="H853" s="137"/>
      <c r="I853" s="50"/>
      <c r="J853" s="50"/>
      <c r="K853" s="50"/>
      <c r="L853" s="38"/>
      <c r="M853" s="38"/>
      <c r="N853" s="38"/>
      <c r="O853" s="50"/>
      <c r="P853" s="218"/>
      <c r="Q853" s="50"/>
      <c r="R853" s="50"/>
      <c r="S853" s="38"/>
      <c r="T853" s="51"/>
      <c r="U853" s="65"/>
      <c r="V853" s="105"/>
      <c r="W853" s="66"/>
      <c r="X853" s="66"/>
      <c r="Y853" s="38"/>
      <c r="Z853" s="66">
        <f t="shared" si="313"/>
        <v>0</v>
      </c>
      <c r="AC853" s="41" t="e">
        <f>VLOOKUP(A853,'Input Sheet'!$A$2:$B$232,2,0)</f>
        <v>#N/A</v>
      </c>
      <c r="AD853" s="70"/>
    </row>
    <row r="854" spans="1:30" x14ac:dyDescent="0.2">
      <c r="A854" s="38" t="str">
        <f t="shared" si="314"/>
        <v xml:space="preserve"> </v>
      </c>
      <c r="B854" s="108"/>
      <c r="C854" s="38"/>
      <c r="D854" s="137"/>
      <c r="E854" s="137"/>
      <c r="F854" s="137"/>
      <c r="G854" s="122"/>
      <c r="H854" s="137"/>
      <c r="I854" s="50"/>
      <c r="J854" s="50"/>
      <c r="K854" s="50"/>
      <c r="L854" s="38"/>
      <c r="M854" s="38"/>
      <c r="N854" s="38"/>
      <c r="O854" s="50"/>
      <c r="P854" s="218"/>
      <c r="Q854" s="50"/>
      <c r="R854" s="50"/>
      <c r="S854" s="38"/>
      <c r="T854" s="51"/>
      <c r="U854" s="65"/>
      <c r="V854" s="105"/>
      <c r="W854" s="66"/>
      <c r="X854" s="66"/>
      <c r="Y854" s="38"/>
      <c r="Z854" s="66">
        <f t="shared" si="313"/>
        <v>0</v>
      </c>
      <c r="AC854" s="41" t="e">
        <f>VLOOKUP(A854,'Input Sheet'!$A$2:$B$232,2,0)</f>
        <v>#N/A</v>
      </c>
      <c r="AD854" s="70"/>
    </row>
    <row r="855" spans="1:30" x14ac:dyDescent="0.2">
      <c r="A855" s="38" t="str">
        <f t="shared" si="314"/>
        <v xml:space="preserve"> </v>
      </c>
      <c r="B855" s="108"/>
      <c r="C855" s="38"/>
      <c r="D855" s="137"/>
      <c r="E855" s="137"/>
      <c r="F855" s="137"/>
      <c r="G855" s="122"/>
      <c r="H855" s="137"/>
      <c r="I855" s="50"/>
      <c r="J855" s="50"/>
      <c r="K855" s="50"/>
      <c r="L855" s="38"/>
      <c r="M855" s="38"/>
      <c r="N855" s="38"/>
      <c r="O855" s="50"/>
      <c r="P855" s="218"/>
      <c r="Q855" s="50"/>
      <c r="R855" s="50"/>
      <c r="S855" s="38"/>
      <c r="T855" s="51"/>
      <c r="U855" s="65"/>
      <c r="V855" s="105"/>
      <c r="W855" s="66"/>
      <c r="X855" s="66"/>
      <c r="Y855" s="38"/>
      <c r="Z855" s="66">
        <f t="shared" si="313"/>
        <v>0</v>
      </c>
      <c r="AC855" s="41" t="e">
        <f>VLOOKUP(A855,'Input Sheet'!$A$2:$B$232,2,0)</f>
        <v>#N/A</v>
      </c>
      <c r="AD855" s="70"/>
    </row>
    <row r="856" spans="1:30" x14ac:dyDescent="0.2">
      <c r="A856" s="38" t="str">
        <f t="shared" si="314"/>
        <v xml:space="preserve"> </v>
      </c>
      <c r="B856" s="108"/>
      <c r="C856" s="38"/>
      <c r="D856" s="137"/>
      <c r="E856" s="137"/>
      <c r="F856" s="137"/>
      <c r="G856" s="122"/>
      <c r="H856" s="137"/>
      <c r="I856" s="50"/>
      <c r="J856" s="50"/>
      <c r="K856" s="50"/>
      <c r="L856" s="38"/>
      <c r="M856" s="38"/>
      <c r="N856" s="38"/>
      <c r="O856" s="50"/>
      <c r="P856" s="218"/>
      <c r="Q856" s="50"/>
      <c r="R856" s="50"/>
      <c r="S856" s="38"/>
      <c r="T856" s="51"/>
      <c r="U856" s="65"/>
      <c r="V856" s="105"/>
      <c r="W856" s="66"/>
      <c r="X856" s="66"/>
      <c r="Y856" s="38"/>
      <c r="Z856" s="66">
        <f t="shared" si="313"/>
        <v>0</v>
      </c>
      <c r="AC856" s="41" t="e">
        <f>VLOOKUP(A856,'Input Sheet'!$A$2:$B$232,2,0)</f>
        <v>#N/A</v>
      </c>
      <c r="AD856" s="70"/>
    </row>
    <row r="857" spans="1:30" x14ac:dyDescent="0.2">
      <c r="A857" s="38" t="str">
        <f t="shared" si="314"/>
        <v xml:space="preserve"> </v>
      </c>
      <c r="B857" s="108"/>
      <c r="C857" s="38"/>
      <c r="D857" s="137"/>
      <c r="E857" s="137"/>
      <c r="F857" s="137"/>
      <c r="G857" s="122"/>
      <c r="H857" s="137"/>
      <c r="I857" s="50"/>
      <c r="J857" s="50"/>
      <c r="K857" s="50"/>
      <c r="L857" s="38"/>
      <c r="M857" s="38"/>
      <c r="N857" s="38"/>
      <c r="O857" s="50"/>
      <c r="P857" s="218"/>
      <c r="Q857" s="50"/>
      <c r="R857" s="50"/>
      <c r="S857" s="38"/>
      <c r="T857" s="51"/>
      <c r="U857" s="65"/>
      <c r="V857" s="105"/>
      <c r="W857" s="66"/>
      <c r="X857" s="66"/>
      <c r="Y857" s="38"/>
      <c r="Z857" s="66">
        <f t="shared" si="313"/>
        <v>0</v>
      </c>
      <c r="AC857" s="41" t="e">
        <f>VLOOKUP(A857,'Input Sheet'!$A$2:$B$232,2,0)</f>
        <v>#N/A</v>
      </c>
      <c r="AD857" s="70"/>
    </row>
    <row r="858" spans="1:30" x14ac:dyDescent="0.2">
      <c r="A858" s="38" t="str">
        <f t="shared" si="314"/>
        <v xml:space="preserve"> </v>
      </c>
      <c r="B858" s="108"/>
      <c r="C858" s="38"/>
      <c r="D858" s="137"/>
      <c r="E858" s="137"/>
      <c r="F858" s="137"/>
      <c r="G858" s="122"/>
      <c r="H858" s="137"/>
      <c r="I858" s="50"/>
      <c r="J858" s="50"/>
      <c r="K858" s="50"/>
      <c r="L858" s="38"/>
      <c r="M858" s="38"/>
      <c r="N858" s="38"/>
      <c r="O858" s="50"/>
      <c r="P858" s="218"/>
      <c r="Q858" s="50"/>
      <c r="R858" s="50"/>
      <c r="S858" s="38"/>
      <c r="T858" s="51"/>
      <c r="U858" s="65"/>
      <c r="V858" s="105"/>
      <c r="W858" s="66"/>
      <c r="X858" s="66"/>
      <c r="Y858" s="38"/>
      <c r="Z858" s="66">
        <f t="shared" si="313"/>
        <v>0</v>
      </c>
      <c r="AC858" s="41" t="e">
        <f>VLOOKUP(A858,'Input Sheet'!$A$2:$B$232,2,0)</f>
        <v>#N/A</v>
      </c>
      <c r="AD858" s="70"/>
    </row>
    <row r="859" spans="1:30" x14ac:dyDescent="0.2">
      <c r="A859" s="38" t="str">
        <f t="shared" si="314"/>
        <v xml:space="preserve"> </v>
      </c>
      <c r="B859" s="108"/>
      <c r="C859" s="38"/>
      <c r="D859" s="137"/>
      <c r="E859" s="137"/>
      <c r="F859" s="137"/>
      <c r="G859" s="122"/>
      <c r="H859" s="137"/>
      <c r="I859" s="50"/>
      <c r="J859" s="50"/>
      <c r="K859" s="50"/>
      <c r="L859" s="38"/>
      <c r="M859" s="38"/>
      <c r="N859" s="38"/>
      <c r="O859" s="50"/>
      <c r="P859" s="218"/>
      <c r="Q859" s="50"/>
      <c r="R859" s="50"/>
      <c r="S859" s="38"/>
      <c r="T859" s="51"/>
      <c r="U859" s="65"/>
      <c r="V859" s="105"/>
      <c r="W859" s="66"/>
      <c r="X859" s="66"/>
      <c r="Y859" s="38"/>
      <c r="Z859" s="66">
        <f t="shared" si="313"/>
        <v>0</v>
      </c>
      <c r="AC859" s="41" t="e">
        <f>VLOOKUP(A859,'Input Sheet'!$A$2:$B$232,2,0)</f>
        <v>#N/A</v>
      </c>
      <c r="AD859" s="70"/>
    </row>
    <row r="860" spans="1:30" x14ac:dyDescent="0.2">
      <c r="A860" s="38" t="str">
        <f t="shared" si="314"/>
        <v xml:space="preserve"> </v>
      </c>
      <c r="B860" s="108"/>
      <c r="C860" s="38"/>
      <c r="D860" s="137"/>
      <c r="E860" s="137"/>
      <c r="F860" s="137"/>
      <c r="G860" s="122"/>
      <c r="H860" s="137"/>
      <c r="I860" s="50"/>
      <c r="J860" s="50"/>
      <c r="K860" s="50"/>
      <c r="L860" s="38"/>
      <c r="M860" s="38"/>
      <c r="N860" s="38"/>
      <c r="O860" s="50"/>
      <c r="P860" s="218"/>
      <c r="Q860" s="50"/>
      <c r="R860" s="50"/>
      <c r="S860" s="38"/>
      <c r="T860" s="51"/>
      <c r="U860" s="65"/>
      <c r="V860" s="105"/>
      <c r="W860" s="66"/>
      <c r="X860" s="66"/>
      <c r="Y860" s="38"/>
      <c r="Z860" s="66">
        <f t="shared" si="313"/>
        <v>0</v>
      </c>
      <c r="AC860" s="41" t="e">
        <f>VLOOKUP(A860,'Input Sheet'!$A$2:$B$232,2,0)</f>
        <v>#N/A</v>
      </c>
      <c r="AD860" s="70"/>
    </row>
    <row r="861" spans="1:30" x14ac:dyDescent="0.2">
      <c r="A861" s="38" t="str">
        <f t="shared" si="314"/>
        <v xml:space="preserve"> </v>
      </c>
      <c r="B861" s="108"/>
      <c r="C861" s="38"/>
      <c r="D861" s="137"/>
      <c r="E861" s="137"/>
      <c r="F861" s="137"/>
      <c r="G861" s="122"/>
      <c r="H861" s="137"/>
      <c r="I861" s="50"/>
      <c r="J861" s="50"/>
      <c r="K861" s="50"/>
      <c r="L861" s="38"/>
      <c r="M861" s="38"/>
      <c r="N861" s="38"/>
      <c r="O861" s="50"/>
      <c r="P861" s="218"/>
      <c r="Q861" s="50"/>
      <c r="R861" s="50"/>
      <c r="S861" s="38"/>
      <c r="T861" s="51"/>
      <c r="U861" s="65"/>
      <c r="V861" s="105"/>
      <c r="W861" s="66"/>
      <c r="X861" s="66"/>
      <c r="Y861" s="38"/>
      <c r="Z861" s="66">
        <f t="shared" si="313"/>
        <v>0</v>
      </c>
      <c r="AC861" s="41" t="e">
        <f>VLOOKUP(A861,'Input Sheet'!$A$2:$B$232,2,0)</f>
        <v>#N/A</v>
      </c>
      <c r="AD861" s="70"/>
    </row>
    <row r="862" spans="1:30" x14ac:dyDescent="0.2">
      <c r="A862" s="38" t="str">
        <f t="shared" si="314"/>
        <v xml:space="preserve"> </v>
      </c>
      <c r="B862" s="108"/>
      <c r="C862" s="38"/>
      <c r="D862" s="137"/>
      <c r="E862" s="137"/>
      <c r="F862" s="137"/>
      <c r="G862" s="122"/>
      <c r="H862" s="137"/>
      <c r="I862" s="50"/>
      <c r="J862" s="50"/>
      <c r="K862" s="50"/>
      <c r="L862" s="38"/>
      <c r="M862" s="38"/>
      <c r="N862" s="38"/>
      <c r="O862" s="50"/>
      <c r="P862" s="218"/>
      <c r="Q862" s="50"/>
      <c r="R862" s="50"/>
      <c r="S862" s="38"/>
      <c r="T862" s="51"/>
      <c r="U862" s="65"/>
      <c r="V862" s="105"/>
      <c r="W862" s="66"/>
      <c r="X862" s="66"/>
      <c r="Y862" s="38"/>
      <c r="Z862" s="66">
        <f t="shared" si="313"/>
        <v>0</v>
      </c>
      <c r="AC862" s="41" t="e">
        <f>VLOOKUP(A862,'Input Sheet'!$A$2:$B$232,2,0)</f>
        <v>#N/A</v>
      </c>
      <c r="AD862" s="70"/>
    </row>
    <row r="863" spans="1:30" x14ac:dyDescent="0.2">
      <c r="A863" s="38" t="str">
        <f t="shared" si="314"/>
        <v xml:space="preserve"> </v>
      </c>
      <c r="B863" s="108"/>
      <c r="C863" s="38"/>
      <c r="D863" s="137"/>
      <c r="E863" s="137"/>
      <c r="F863" s="137"/>
      <c r="G863" s="122"/>
      <c r="H863" s="137"/>
      <c r="I863" s="50"/>
      <c r="J863" s="50"/>
      <c r="K863" s="50"/>
      <c r="L863" s="38"/>
      <c r="M863" s="38"/>
      <c r="N863" s="38"/>
      <c r="O863" s="50"/>
      <c r="P863" s="218"/>
      <c r="Q863" s="50"/>
      <c r="R863" s="50"/>
      <c r="S863" s="38"/>
      <c r="T863" s="51"/>
      <c r="U863" s="65"/>
      <c r="V863" s="105"/>
      <c r="W863" s="66"/>
      <c r="X863" s="66"/>
      <c r="Y863" s="38"/>
      <c r="Z863" s="66">
        <f t="shared" si="313"/>
        <v>0</v>
      </c>
      <c r="AC863" s="41" t="e">
        <f>VLOOKUP(A863,'Input Sheet'!$A$2:$B$232,2,0)</f>
        <v>#N/A</v>
      </c>
      <c r="AD863" s="70"/>
    </row>
    <row r="864" spans="1:30" x14ac:dyDescent="0.2">
      <c r="A864" s="38" t="str">
        <f t="shared" si="314"/>
        <v xml:space="preserve"> </v>
      </c>
      <c r="B864" s="108"/>
      <c r="C864" s="38"/>
      <c r="D864" s="137"/>
      <c r="E864" s="137"/>
      <c r="F864" s="137"/>
      <c r="G864" s="122"/>
      <c r="H864" s="137"/>
      <c r="I864" s="50"/>
      <c r="J864" s="50"/>
      <c r="K864" s="50"/>
      <c r="L864" s="38"/>
      <c r="M864" s="38"/>
      <c r="N864" s="38"/>
      <c r="O864" s="50"/>
      <c r="P864" s="218"/>
      <c r="Q864" s="50"/>
      <c r="R864" s="50"/>
      <c r="S864" s="38"/>
      <c r="T864" s="51"/>
      <c r="U864" s="65"/>
      <c r="V864" s="105"/>
      <c r="W864" s="66"/>
      <c r="X864" s="66"/>
      <c r="Y864" s="38"/>
      <c r="Z864" s="66">
        <f t="shared" si="313"/>
        <v>0</v>
      </c>
      <c r="AC864" s="41" t="e">
        <f>VLOOKUP(A864,'Input Sheet'!$A$2:$B$232,2,0)</f>
        <v>#N/A</v>
      </c>
      <c r="AD864" s="70"/>
    </row>
    <row r="865" spans="1:30" x14ac:dyDescent="0.2">
      <c r="A865" s="38" t="str">
        <f t="shared" si="314"/>
        <v xml:space="preserve"> </v>
      </c>
      <c r="B865" s="108"/>
      <c r="C865" s="38"/>
      <c r="D865" s="137"/>
      <c r="E865" s="137"/>
      <c r="F865" s="137"/>
      <c r="G865" s="122"/>
      <c r="H865" s="137"/>
      <c r="I865" s="50"/>
      <c r="J865" s="50"/>
      <c r="K865" s="50"/>
      <c r="L865" s="38"/>
      <c r="M865" s="38"/>
      <c r="N865" s="38"/>
      <c r="O865" s="50"/>
      <c r="P865" s="218"/>
      <c r="Q865" s="50"/>
      <c r="R865" s="50"/>
      <c r="S865" s="38"/>
      <c r="T865" s="51"/>
      <c r="U865" s="65"/>
      <c r="V865" s="105"/>
      <c r="W865" s="66"/>
      <c r="X865" s="66"/>
      <c r="Y865" s="38"/>
      <c r="Z865" s="66">
        <f t="shared" si="313"/>
        <v>0</v>
      </c>
      <c r="AC865" s="41" t="e">
        <f>VLOOKUP(A865,'Input Sheet'!$A$2:$B$232,2,0)</f>
        <v>#N/A</v>
      </c>
      <c r="AD865" s="70"/>
    </row>
    <row r="866" spans="1:30" x14ac:dyDescent="0.2">
      <c r="A866" s="38" t="str">
        <f t="shared" si="314"/>
        <v xml:space="preserve"> </v>
      </c>
      <c r="B866" s="108"/>
      <c r="C866" s="38"/>
      <c r="D866" s="137"/>
      <c r="E866" s="137"/>
      <c r="F866" s="137"/>
      <c r="G866" s="122"/>
      <c r="H866" s="137"/>
      <c r="I866" s="50"/>
      <c r="J866" s="50"/>
      <c r="K866" s="50"/>
      <c r="L866" s="38"/>
      <c r="M866" s="38"/>
      <c r="N866" s="38"/>
      <c r="O866" s="50"/>
      <c r="P866" s="218"/>
      <c r="Q866" s="50"/>
      <c r="R866" s="50"/>
      <c r="S866" s="38"/>
      <c r="T866" s="51"/>
      <c r="U866" s="65"/>
      <c r="V866" s="105"/>
      <c r="W866" s="66"/>
      <c r="X866" s="66"/>
      <c r="Y866" s="38"/>
      <c r="Z866" s="66">
        <f t="shared" si="313"/>
        <v>0</v>
      </c>
      <c r="AC866" s="41" t="e">
        <f>VLOOKUP(A866,'Input Sheet'!$A$2:$B$232,2,0)</f>
        <v>#N/A</v>
      </c>
      <c r="AD866" s="70"/>
    </row>
    <row r="867" spans="1:30" x14ac:dyDescent="0.2">
      <c r="A867" s="38" t="str">
        <f t="shared" si="314"/>
        <v xml:space="preserve"> </v>
      </c>
      <c r="B867" s="108"/>
      <c r="C867" s="38"/>
      <c r="D867" s="137"/>
      <c r="E867" s="137"/>
      <c r="F867" s="137"/>
      <c r="G867" s="122"/>
      <c r="H867" s="137"/>
      <c r="I867" s="50"/>
      <c r="J867" s="50"/>
      <c r="K867" s="50"/>
      <c r="L867" s="38"/>
      <c r="M867" s="38"/>
      <c r="N867" s="38"/>
      <c r="O867" s="50"/>
      <c r="P867" s="218"/>
      <c r="Q867" s="50"/>
      <c r="R867" s="50"/>
      <c r="S867" s="38"/>
      <c r="T867" s="51"/>
      <c r="U867" s="65"/>
      <c r="V867" s="105"/>
      <c r="W867" s="66"/>
      <c r="X867" s="66"/>
      <c r="Y867" s="38"/>
      <c r="Z867" s="66">
        <f t="shared" si="313"/>
        <v>0</v>
      </c>
      <c r="AC867" s="41" t="e">
        <f>VLOOKUP(A867,'Input Sheet'!$A$2:$B$232,2,0)</f>
        <v>#N/A</v>
      </c>
      <c r="AD867" s="70"/>
    </row>
    <row r="868" spans="1:30" x14ac:dyDescent="0.2">
      <c r="A868" s="38" t="str">
        <f t="shared" si="314"/>
        <v xml:space="preserve"> </v>
      </c>
      <c r="B868" s="108"/>
      <c r="C868" s="38"/>
      <c r="D868" s="137"/>
      <c r="E868" s="137"/>
      <c r="F868" s="137"/>
      <c r="G868" s="122"/>
      <c r="H868" s="137"/>
      <c r="I868" s="50"/>
      <c r="J868" s="50"/>
      <c r="K868" s="50"/>
      <c r="L868" s="38"/>
      <c r="M868" s="38"/>
      <c r="N868" s="38"/>
      <c r="O868" s="50"/>
      <c r="P868" s="218"/>
      <c r="Q868" s="50"/>
      <c r="R868" s="50"/>
      <c r="S868" s="38"/>
      <c r="T868" s="51"/>
      <c r="U868" s="65"/>
      <c r="V868" s="105"/>
      <c r="W868" s="66"/>
      <c r="X868" s="66"/>
      <c r="Y868" s="38"/>
      <c r="Z868" s="66">
        <f t="shared" si="313"/>
        <v>0</v>
      </c>
      <c r="AC868" s="41" t="e">
        <f>VLOOKUP(A868,'Input Sheet'!$A$2:$B$232,2,0)</f>
        <v>#N/A</v>
      </c>
      <c r="AD868" s="70"/>
    </row>
    <row r="869" spans="1:30" x14ac:dyDescent="0.2">
      <c r="A869" s="38" t="str">
        <f t="shared" si="314"/>
        <v xml:space="preserve"> </v>
      </c>
      <c r="B869" s="108"/>
      <c r="C869" s="38"/>
      <c r="D869" s="137"/>
      <c r="E869" s="137"/>
      <c r="F869" s="137"/>
      <c r="G869" s="122"/>
      <c r="H869" s="137"/>
      <c r="I869" s="50"/>
      <c r="J869" s="50"/>
      <c r="K869" s="50"/>
      <c r="L869" s="38"/>
      <c r="M869" s="38"/>
      <c r="N869" s="38"/>
      <c r="O869" s="50"/>
      <c r="P869" s="218"/>
      <c r="Q869" s="50"/>
      <c r="R869" s="50"/>
      <c r="S869" s="38"/>
      <c r="T869" s="51"/>
      <c r="U869" s="65"/>
      <c r="V869" s="105"/>
      <c r="W869" s="66"/>
      <c r="X869" s="66"/>
      <c r="Y869" s="38"/>
      <c r="Z869" s="66">
        <f t="shared" si="313"/>
        <v>0</v>
      </c>
      <c r="AC869" s="41" t="e">
        <f>VLOOKUP(A869,'Input Sheet'!$A$2:$B$232,2,0)</f>
        <v>#N/A</v>
      </c>
      <c r="AD869" s="70"/>
    </row>
    <row r="870" spans="1:30" x14ac:dyDescent="0.2">
      <c r="A870" s="38" t="str">
        <f t="shared" si="314"/>
        <v xml:space="preserve"> </v>
      </c>
      <c r="B870" s="108"/>
      <c r="C870" s="38"/>
      <c r="D870" s="137"/>
      <c r="E870" s="137"/>
      <c r="F870" s="137"/>
      <c r="G870" s="122"/>
      <c r="H870" s="137"/>
      <c r="I870" s="50"/>
      <c r="J870" s="50"/>
      <c r="K870" s="50"/>
      <c r="L870" s="38"/>
      <c r="M870" s="38"/>
      <c r="N870" s="38"/>
      <c r="O870" s="50"/>
      <c r="P870" s="218"/>
      <c r="Q870" s="50"/>
      <c r="R870" s="50"/>
      <c r="S870" s="38"/>
      <c r="T870" s="51"/>
      <c r="U870" s="65"/>
      <c r="V870" s="105"/>
      <c r="W870" s="66"/>
      <c r="X870" s="66"/>
      <c r="Y870" s="38"/>
      <c r="Z870" s="66">
        <f t="shared" si="313"/>
        <v>0</v>
      </c>
      <c r="AC870" s="41" t="e">
        <f>VLOOKUP(A870,'Input Sheet'!$A$2:$B$232,2,0)</f>
        <v>#N/A</v>
      </c>
      <c r="AD870" s="70"/>
    </row>
    <row r="871" spans="1:30" x14ac:dyDescent="0.2">
      <c r="A871" s="38" t="str">
        <f t="shared" si="314"/>
        <v xml:space="preserve"> </v>
      </c>
      <c r="B871" s="108"/>
      <c r="C871" s="38"/>
      <c r="D871" s="137"/>
      <c r="E871" s="137"/>
      <c r="F871" s="137"/>
      <c r="G871" s="122"/>
      <c r="H871" s="137"/>
      <c r="I871" s="50"/>
      <c r="J871" s="50"/>
      <c r="K871" s="50"/>
      <c r="L871" s="38"/>
      <c r="M871" s="38"/>
      <c r="N871" s="38"/>
      <c r="O871" s="50"/>
      <c r="P871" s="218"/>
      <c r="Q871" s="50"/>
      <c r="R871" s="50"/>
      <c r="S871" s="38"/>
      <c r="T871" s="51"/>
      <c r="U871" s="65"/>
      <c r="V871" s="105"/>
      <c r="W871" s="66"/>
      <c r="X871" s="66"/>
      <c r="Y871" s="38"/>
      <c r="Z871" s="66">
        <f t="shared" si="313"/>
        <v>0</v>
      </c>
      <c r="AC871" s="41" t="e">
        <f>VLOOKUP(A871,'Input Sheet'!$A$2:$B$232,2,0)</f>
        <v>#N/A</v>
      </c>
      <c r="AD871" s="70"/>
    </row>
    <row r="872" spans="1:30" x14ac:dyDescent="0.2">
      <c r="A872" s="38" t="str">
        <f t="shared" si="314"/>
        <v xml:space="preserve"> </v>
      </c>
      <c r="B872" s="108"/>
      <c r="C872" s="38"/>
      <c r="D872" s="137"/>
      <c r="E872" s="137"/>
      <c r="F872" s="137"/>
      <c r="G872" s="122"/>
      <c r="H872" s="137"/>
      <c r="I872" s="50"/>
      <c r="J872" s="50"/>
      <c r="K872" s="50"/>
      <c r="L872" s="38"/>
      <c r="M872" s="38"/>
      <c r="N872" s="38"/>
      <c r="O872" s="50"/>
      <c r="P872" s="218"/>
      <c r="Q872" s="50"/>
      <c r="R872" s="50"/>
      <c r="S872" s="38"/>
      <c r="T872" s="51"/>
      <c r="U872" s="65"/>
      <c r="V872" s="105"/>
      <c r="W872" s="66"/>
      <c r="X872" s="66"/>
      <c r="Y872" s="38"/>
      <c r="Z872" s="66">
        <f t="shared" si="313"/>
        <v>0</v>
      </c>
      <c r="AC872" s="41" t="e">
        <f>VLOOKUP(A872,'Input Sheet'!$A$2:$B$232,2,0)</f>
        <v>#N/A</v>
      </c>
      <c r="AD872" s="70"/>
    </row>
    <row r="873" spans="1:30" x14ac:dyDescent="0.2">
      <c r="A873" s="38" t="str">
        <f t="shared" si="314"/>
        <v xml:space="preserve"> </v>
      </c>
      <c r="B873" s="108"/>
      <c r="C873" s="38"/>
      <c r="D873" s="137"/>
      <c r="E873" s="137"/>
      <c r="F873" s="137"/>
      <c r="G873" s="122"/>
      <c r="H873" s="137"/>
      <c r="I873" s="50"/>
      <c r="J873" s="50"/>
      <c r="K873" s="50"/>
      <c r="L873" s="38"/>
      <c r="M873" s="38"/>
      <c r="N873" s="38"/>
      <c r="O873" s="50"/>
      <c r="P873" s="218"/>
      <c r="Q873" s="50"/>
      <c r="R873" s="50"/>
      <c r="S873" s="38"/>
      <c r="T873" s="51"/>
      <c r="U873" s="65"/>
      <c r="V873" s="105"/>
      <c r="W873" s="66"/>
      <c r="X873" s="66"/>
      <c r="Y873" s="38"/>
      <c r="Z873" s="66">
        <f t="shared" si="313"/>
        <v>0</v>
      </c>
      <c r="AC873" s="41" t="e">
        <f>VLOOKUP(A873,'Input Sheet'!$A$2:$B$232,2,0)</f>
        <v>#N/A</v>
      </c>
      <c r="AD873" s="70"/>
    </row>
    <row r="874" spans="1:30" x14ac:dyDescent="0.2">
      <c r="A874" s="38" t="str">
        <f t="shared" si="314"/>
        <v xml:space="preserve"> </v>
      </c>
      <c r="B874" s="108"/>
      <c r="C874" s="38"/>
      <c r="D874" s="137"/>
      <c r="E874" s="137"/>
      <c r="F874" s="137"/>
      <c r="G874" s="122"/>
      <c r="H874" s="137"/>
      <c r="I874" s="50"/>
      <c r="J874" s="50"/>
      <c r="K874" s="50"/>
      <c r="L874" s="38"/>
      <c r="M874" s="38"/>
      <c r="N874" s="38"/>
      <c r="O874" s="50"/>
      <c r="P874" s="218"/>
      <c r="Q874" s="50"/>
      <c r="R874" s="50"/>
      <c r="S874" s="38"/>
      <c r="T874" s="51"/>
      <c r="U874" s="65"/>
      <c r="V874" s="105"/>
      <c r="W874" s="66"/>
      <c r="X874" s="66"/>
      <c r="Y874" s="38"/>
      <c r="Z874" s="66">
        <f t="shared" si="313"/>
        <v>0</v>
      </c>
      <c r="AC874" s="41" t="e">
        <f>VLOOKUP(A874,'Input Sheet'!$A$2:$B$232,2,0)</f>
        <v>#N/A</v>
      </c>
      <c r="AD874" s="70"/>
    </row>
    <row r="875" spans="1:30" x14ac:dyDescent="0.2">
      <c r="A875" s="38" t="str">
        <f t="shared" si="314"/>
        <v xml:space="preserve"> </v>
      </c>
      <c r="B875" s="108"/>
      <c r="C875" s="38"/>
      <c r="D875" s="137"/>
      <c r="E875" s="137"/>
      <c r="F875" s="137"/>
      <c r="G875" s="122"/>
      <c r="H875" s="137"/>
      <c r="I875" s="50"/>
      <c r="J875" s="50"/>
      <c r="K875" s="50"/>
      <c r="L875" s="38"/>
      <c r="M875" s="38"/>
      <c r="N875" s="38"/>
      <c r="O875" s="50"/>
      <c r="P875" s="218"/>
      <c r="Q875" s="50"/>
      <c r="R875" s="50"/>
      <c r="S875" s="38"/>
      <c r="T875" s="51"/>
      <c r="U875" s="65"/>
      <c r="V875" s="105"/>
      <c r="W875" s="66"/>
      <c r="X875" s="66"/>
      <c r="Y875" s="38"/>
      <c r="Z875" s="66">
        <f t="shared" si="313"/>
        <v>0</v>
      </c>
      <c r="AC875" s="41" t="e">
        <f>VLOOKUP(A875,'Input Sheet'!$A$2:$B$232,2,0)</f>
        <v>#N/A</v>
      </c>
      <c r="AD875" s="70"/>
    </row>
    <row r="876" spans="1:30" x14ac:dyDescent="0.2">
      <c r="A876" s="38" t="str">
        <f t="shared" si="314"/>
        <v xml:space="preserve"> </v>
      </c>
      <c r="B876" s="108"/>
      <c r="C876" s="38"/>
      <c r="D876" s="137"/>
      <c r="E876" s="137"/>
      <c r="F876" s="137"/>
      <c r="G876" s="122"/>
      <c r="H876" s="137"/>
      <c r="I876" s="50"/>
      <c r="J876" s="50"/>
      <c r="K876" s="50"/>
      <c r="L876" s="38"/>
      <c r="M876" s="38"/>
      <c r="N876" s="38"/>
      <c r="O876" s="50"/>
      <c r="P876" s="218"/>
      <c r="Q876" s="50"/>
      <c r="R876" s="50"/>
      <c r="S876" s="38"/>
      <c r="T876" s="51"/>
      <c r="U876" s="65"/>
      <c r="V876" s="105"/>
      <c r="W876" s="66"/>
      <c r="X876" s="66"/>
      <c r="Y876" s="38"/>
      <c r="Z876" s="66">
        <f t="shared" si="313"/>
        <v>0</v>
      </c>
      <c r="AC876" s="41" t="e">
        <f>VLOOKUP(A876,'Input Sheet'!$A$2:$B$232,2,0)</f>
        <v>#N/A</v>
      </c>
      <c r="AD876" s="70"/>
    </row>
    <row r="877" spans="1:30" x14ac:dyDescent="0.2">
      <c r="A877" s="38" t="str">
        <f t="shared" si="314"/>
        <v xml:space="preserve"> </v>
      </c>
      <c r="B877" s="108"/>
      <c r="C877" s="38"/>
      <c r="D877" s="137"/>
      <c r="E877" s="137"/>
      <c r="F877" s="137"/>
      <c r="G877" s="122"/>
      <c r="H877" s="137"/>
      <c r="I877" s="50"/>
      <c r="J877" s="50"/>
      <c r="K877" s="50"/>
      <c r="L877" s="38"/>
      <c r="M877" s="38"/>
      <c r="N877" s="38"/>
      <c r="O877" s="50"/>
      <c r="P877" s="218"/>
      <c r="Q877" s="50"/>
      <c r="R877" s="50"/>
      <c r="S877" s="38"/>
      <c r="T877" s="51"/>
      <c r="U877" s="65"/>
      <c r="V877" s="105"/>
      <c r="W877" s="66"/>
      <c r="X877" s="66"/>
      <c r="Y877" s="38"/>
      <c r="Z877" s="66">
        <f t="shared" si="313"/>
        <v>0</v>
      </c>
      <c r="AC877" s="41" t="e">
        <f>VLOOKUP(A877,'Input Sheet'!$A$2:$B$232,2,0)</f>
        <v>#N/A</v>
      </c>
      <c r="AD877" s="70"/>
    </row>
    <row r="878" spans="1:30" x14ac:dyDescent="0.2">
      <c r="A878" s="38" t="str">
        <f t="shared" si="314"/>
        <v xml:space="preserve"> </v>
      </c>
      <c r="B878" s="108"/>
      <c r="C878" s="38"/>
      <c r="D878" s="137"/>
      <c r="E878" s="137"/>
      <c r="F878" s="137"/>
      <c r="G878" s="122"/>
      <c r="H878" s="137"/>
      <c r="I878" s="50"/>
      <c r="J878" s="50"/>
      <c r="K878" s="50"/>
      <c r="L878" s="38"/>
      <c r="M878" s="38"/>
      <c r="N878" s="38"/>
      <c r="O878" s="50"/>
      <c r="P878" s="218"/>
      <c r="Q878" s="50"/>
      <c r="R878" s="50"/>
      <c r="S878" s="38"/>
      <c r="T878" s="51"/>
      <c r="U878" s="65"/>
      <c r="V878" s="105"/>
      <c r="W878" s="66"/>
      <c r="X878" s="66"/>
      <c r="Y878" s="38"/>
      <c r="Z878" s="66">
        <f t="shared" si="313"/>
        <v>0</v>
      </c>
      <c r="AC878" s="41" t="e">
        <f>VLOOKUP(A878,'Input Sheet'!$A$2:$B$232,2,0)</f>
        <v>#N/A</v>
      </c>
      <c r="AD878" s="70"/>
    </row>
    <row r="879" spans="1:30" x14ac:dyDescent="0.2">
      <c r="A879" s="38" t="str">
        <f t="shared" si="314"/>
        <v xml:space="preserve"> </v>
      </c>
      <c r="B879" s="108"/>
      <c r="C879" s="38"/>
      <c r="D879" s="137"/>
      <c r="E879" s="137"/>
      <c r="F879" s="137"/>
      <c r="G879" s="122"/>
      <c r="H879" s="137"/>
      <c r="I879" s="50"/>
      <c r="J879" s="50"/>
      <c r="K879" s="50"/>
      <c r="L879" s="38"/>
      <c r="M879" s="38"/>
      <c r="N879" s="38"/>
      <c r="O879" s="50"/>
      <c r="P879" s="218"/>
      <c r="Q879" s="50"/>
      <c r="R879" s="50"/>
      <c r="S879" s="38"/>
      <c r="T879" s="51"/>
      <c r="U879" s="65"/>
      <c r="V879" s="105"/>
      <c r="W879" s="66"/>
      <c r="X879" s="66"/>
      <c r="Y879" s="38"/>
      <c r="Z879" s="66">
        <f t="shared" si="313"/>
        <v>0</v>
      </c>
      <c r="AC879" s="41" t="e">
        <f>VLOOKUP(A879,'Input Sheet'!$A$2:$B$232,2,0)</f>
        <v>#N/A</v>
      </c>
      <c r="AD879" s="70"/>
    </row>
    <row r="880" spans="1:30" x14ac:dyDescent="0.2">
      <c r="A880" s="38" t="str">
        <f t="shared" si="314"/>
        <v xml:space="preserve"> </v>
      </c>
      <c r="B880" s="108"/>
      <c r="C880" s="38"/>
      <c r="D880" s="137"/>
      <c r="E880" s="137"/>
      <c r="F880" s="137"/>
      <c r="G880" s="122"/>
      <c r="H880" s="137"/>
      <c r="I880" s="50"/>
      <c r="J880" s="50"/>
      <c r="K880" s="50"/>
      <c r="L880" s="38"/>
      <c r="M880" s="38"/>
      <c r="N880" s="38"/>
      <c r="O880" s="50"/>
      <c r="P880" s="218"/>
      <c r="Q880" s="50"/>
      <c r="R880" s="50"/>
      <c r="S880" s="38"/>
      <c r="T880" s="51"/>
      <c r="U880" s="65"/>
      <c r="V880" s="105"/>
      <c r="W880" s="66"/>
      <c r="X880" s="66"/>
      <c r="Y880" s="38"/>
      <c r="Z880" s="66">
        <f t="shared" si="313"/>
        <v>0</v>
      </c>
      <c r="AC880" s="41" t="e">
        <f>VLOOKUP(A880,'Input Sheet'!$A$2:$B$232,2,0)</f>
        <v>#N/A</v>
      </c>
      <c r="AD880" s="70"/>
    </row>
    <row r="881" spans="1:30" x14ac:dyDescent="0.2">
      <c r="A881" s="38" t="str">
        <f t="shared" si="314"/>
        <v xml:space="preserve"> </v>
      </c>
      <c r="B881" s="108"/>
      <c r="C881" s="38"/>
      <c r="D881" s="137"/>
      <c r="E881" s="137"/>
      <c r="F881" s="137"/>
      <c r="G881" s="122"/>
      <c r="H881" s="137"/>
      <c r="I881" s="50"/>
      <c r="J881" s="50"/>
      <c r="K881" s="50"/>
      <c r="L881" s="38"/>
      <c r="M881" s="38"/>
      <c r="N881" s="38"/>
      <c r="O881" s="50"/>
      <c r="P881" s="218"/>
      <c r="Q881" s="50"/>
      <c r="R881" s="50"/>
      <c r="S881" s="38"/>
      <c r="T881" s="51"/>
      <c r="U881" s="65"/>
      <c r="V881" s="105"/>
      <c r="W881" s="66"/>
      <c r="X881" s="66"/>
      <c r="Y881" s="38"/>
      <c r="Z881" s="66">
        <f t="shared" si="313"/>
        <v>0</v>
      </c>
      <c r="AC881" s="41" t="e">
        <f>VLOOKUP(A881,'Input Sheet'!$A$2:$B$232,2,0)</f>
        <v>#N/A</v>
      </c>
      <c r="AD881" s="70"/>
    </row>
    <row r="882" spans="1:30" x14ac:dyDescent="0.2">
      <c r="A882" s="38" t="str">
        <f t="shared" si="314"/>
        <v xml:space="preserve"> </v>
      </c>
      <c r="B882" s="108"/>
      <c r="C882" s="38"/>
      <c r="D882" s="137"/>
      <c r="E882" s="137"/>
      <c r="F882" s="137"/>
      <c r="G882" s="122"/>
      <c r="H882" s="137"/>
      <c r="I882" s="50"/>
      <c r="J882" s="50"/>
      <c r="K882" s="50"/>
      <c r="L882" s="38"/>
      <c r="M882" s="38"/>
      <c r="N882" s="38"/>
      <c r="O882" s="50"/>
      <c r="P882" s="218"/>
      <c r="Q882" s="50"/>
      <c r="R882" s="50"/>
      <c r="S882" s="38"/>
      <c r="T882" s="51"/>
      <c r="U882" s="65"/>
      <c r="V882" s="105"/>
      <c r="W882" s="66"/>
      <c r="X882" s="66"/>
      <c r="Y882" s="38"/>
      <c r="Z882" s="66">
        <f t="shared" si="313"/>
        <v>0</v>
      </c>
      <c r="AC882" s="41" t="e">
        <f>VLOOKUP(A882,'Input Sheet'!$A$2:$B$232,2,0)</f>
        <v>#N/A</v>
      </c>
      <c r="AD882" s="70"/>
    </row>
    <row r="883" spans="1:30" x14ac:dyDescent="0.2">
      <c r="A883" s="38" t="str">
        <f t="shared" si="314"/>
        <v xml:space="preserve"> </v>
      </c>
      <c r="B883" s="108"/>
      <c r="C883" s="38"/>
      <c r="D883" s="137"/>
      <c r="E883" s="137"/>
      <c r="F883" s="137"/>
      <c r="G883" s="122"/>
      <c r="H883" s="137"/>
      <c r="I883" s="50"/>
      <c r="J883" s="50"/>
      <c r="K883" s="50"/>
      <c r="L883" s="38"/>
      <c r="M883" s="38"/>
      <c r="N883" s="38"/>
      <c r="O883" s="50"/>
      <c r="P883" s="218"/>
      <c r="Q883" s="50"/>
      <c r="R883" s="50"/>
      <c r="S883" s="38"/>
      <c r="T883" s="51"/>
      <c r="U883" s="65"/>
      <c r="V883" s="105"/>
      <c r="W883" s="66"/>
      <c r="X883" s="66"/>
      <c r="Y883" s="38"/>
      <c r="Z883" s="66">
        <f t="shared" si="313"/>
        <v>0</v>
      </c>
      <c r="AC883" s="41" t="e">
        <f>VLOOKUP(A883,'Input Sheet'!$A$2:$B$232,2,0)</f>
        <v>#N/A</v>
      </c>
      <c r="AD883" s="70"/>
    </row>
    <row r="884" spans="1:30" x14ac:dyDescent="0.2">
      <c r="A884" s="38" t="str">
        <f t="shared" si="314"/>
        <v xml:space="preserve"> </v>
      </c>
      <c r="B884" s="108"/>
      <c r="C884" s="38"/>
      <c r="D884" s="137"/>
      <c r="E884" s="137"/>
      <c r="F884" s="137"/>
      <c r="G884" s="122"/>
      <c r="H884" s="137"/>
      <c r="I884" s="50"/>
      <c r="J884" s="50"/>
      <c r="K884" s="50"/>
      <c r="L884" s="38"/>
      <c r="M884" s="38"/>
      <c r="N884" s="38"/>
      <c r="O884" s="50"/>
      <c r="P884" s="218"/>
      <c r="Q884" s="50"/>
      <c r="R884" s="50"/>
      <c r="S884" s="38"/>
      <c r="T884" s="51"/>
      <c r="U884" s="65"/>
      <c r="V884" s="105"/>
      <c r="W884" s="66"/>
      <c r="X884" s="66"/>
      <c r="Y884" s="38"/>
      <c r="Z884" s="66">
        <f t="shared" si="313"/>
        <v>0</v>
      </c>
      <c r="AC884" s="41" t="e">
        <f>VLOOKUP(A884,'Input Sheet'!$A$2:$B$232,2,0)</f>
        <v>#N/A</v>
      </c>
      <c r="AD884" s="70"/>
    </row>
    <row r="885" spans="1:30" x14ac:dyDescent="0.2">
      <c r="A885" s="38" t="str">
        <f t="shared" si="314"/>
        <v xml:space="preserve"> </v>
      </c>
      <c r="B885" s="108"/>
      <c r="C885" s="38"/>
      <c r="D885" s="137"/>
      <c r="E885" s="137"/>
      <c r="F885" s="137"/>
      <c r="G885" s="122"/>
      <c r="H885" s="137"/>
      <c r="I885" s="50"/>
      <c r="J885" s="50"/>
      <c r="K885" s="50"/>
      <c r="L885" s="38"/>
      <c r="M885" s="38"/>
      <c r="N885" s="38"/>
      <c r="O885" s="50"/>
      <c r="P885" s="218"/>
      <c r="Q885" s="50"/>
      <c r="R885" s="50"/>
      <c r="S885" s="38"/>
      <c r="T885" s="51"/>
      <c r="U885" s="65"/>
      <c r="V885" s="105"/>
      <c r="W885" s="66"/>
      <c r="X885" s="66"/>
      <c r="Y885" s="38"/>
      <c r="Z885" s="66">
        <f t="shared" si="313"/>
        <v>0</v>
      </c>
      <c r="AC885" s="41" t="e">
        <f>VLOOKUP(A885,'Input Sheet'!$A$2:$B$232,2,0)</f>
        <v>#N/A</v>
      </c>
      <c r="AD885" s="70"/>
    </row>
    <row r="886" spans="1:30" x14ac:dyDescent="0.2">
      <c r="A886" s="38" t="str">
        <f t="shared" si="314"/>
        <v xml:space="preserve"> </v>
      </c>
      <c r="B886" s="108"/>
      <c r="C886" s="38"/>
      <c r="D886" s="137"/>
      <c r="E886" s="137"/>
      <c r="F886" s="137"/>
      <c r="G886" s="122"/>
      <c r="H886" s="137"/>
      <c r="I886" s="50"/>
      <c r="J886" s="50"/>
      <c r="K886" s="50"/>
      <c r="L886" s="38"/>
      <c r="M886" s="38"/>
      <c r="N886" s="38"/>
      <c r="O886" s="50"/>
      <c r="P886" s="218"/>
      <c r="Q886" s="50"/>
      <c r="R886" s="50"/>
      <c r="S886" s="38"/>
      <c r="T886" s="51"/>
      <c r="U886" s="65"/>
      <c r="V886" s="105"/>
      <c r="W886" s="66"/>
      <c r="X886" s="66"/>
      <c r="Y886" s="38"/>
      <c r="Z886" s="66">
        <f t="shared" si="313"/>
        <v>0</v>
      </c>
      <c r="AC886" s="41" t="e">
        <f>VLOOKUP(A886,'Input Sheet'!$A$2:$B$232,2,0)</f>
        <v>#N/A</v>
      </c>
      <c r="AD886" s="70"/>
    </row>
    <row r="887" spans="1:30" x14ac:dyDescent="0.2">
      <c r="A887" s="38" t="str">
        <f t="shared" si="314"/>
        <v xml:space="preserve"> </v>
      </c>
      <c r="B887" s="108"/>
      <c r="C887" s="38"/>
      <c r="D887" s="137"/>
      <c r="E887" s="137"/>
      <c r="F887" s="137"/>
      <c r="G887" s="122"/>
      <c r="H887" s="137"/>
      <c r="I887" s="50"/>
      <c r="J887" s="50"/>
      <c r="K887" s="50"/>
      <c r="L887" s="38"/>
      <c r="M887" s="38"/>
      <c r="N887" s="38"/>
      <c r="O887" s="50"/>
      <c r="P887" s="218"/>
      <c r="Q887" s="50"/>
      <c r="R887" s="50"/>
      <c r="S887" s="38"/>
      <c r="T887" s="51"/>
      <c r="U887" s="65"/>
      <c r="V887" s="105"/>
      <c r="W887" s="66"/>
      <c r="X887" s="66"/>
      <c r="Y887" s="38"/>
      <c r="Z887" s="66">
        <f t="shared" si="313"/>
        <v>0</v>
      </c>
      <c r="AC887" s="41" t="e">
        <f>VLOOKUP(A887,'Input Sheet'!$A$2:$B$232,2,0)</f>
        <v>#N/A</v>
      </c>
      <c r="AD887" s="70"/>
    </row>
    <row r="888" spans="1:30" x14ac:dyDescent="0.2">
      <c r="A888" s="38" t="str">
        <f t="shared" si="314"/>
        <v xml:space="preserve"> </v>
      </c>
      <c r="B888" s="108"/>
      <c r="C888" s="38"/>
      <c r="D888" s="137"/>
      <c r="E888" s="137"/>
      <c r="F888" s="137"/>
      <c r="G888" s="122"/>
      <c r="H888" s="137"/>
      <c r="I888" s="50"/>
      <c r="J888" s="50"/>
      <c r="K888" s="50"/>
      <c r="L888" s="38"/>
      <c r="M888" s="38"/>
      <c r="N888" s="38"/>
      <c r="O888" s="50"/>
      <c r="P888" s="218"/>
      <c r="Q888" s="50"/>
      <c r="R888" s="50"/>
      <c r="S888" s="38"/>
      <c r="T888" s="51"/>
      <c r="U888" s="65"/>
      <c r="V888" s="105"/>
      <c r="W888" s="66"/>
      <c r="X888" s="66"/>
      <c r="Y888" s="38"/>
      <c r="Z888" s="66">
        <f t="shared" si="313"/>
        <v>0</v>
      </c>
      <c r="AC888" s="41" t="e">
        <f>VLOOKUP(A888,'Input Sheet'!$A$2:$B$232,2,0)</f>
        <v>#N/A</v>
      </c>
      <c r="AD888" s="70"/>
    </row>
    <row r="889" spans="1:30" x14ac:dyDescent="0.2">
      <c r="A889" s="38" t="str">
        <f t="shared" si="314"/>
        <v xml:space="preserve"> </v>
      </c>
      <c r="B889" s="108"/>
      <c r="C889" s="38"/>
      <c r="D889" s="137"/>
      <c r="E889" s="137"/>
      <c r="F889" s="137"/>
      <c r="G889" s="122"/>
      <c r="H889" s="137"/>
      <c r="I889" s="50"/>
      <c r="J889" s="50"/>
      <c r="K889" s="50"/>
      <c r="L889" s="38"/>
      <c r="M889" s="38"/>
      <c r="N889" s="38"/>
      <c r="O889" s="50"/>
      <c r="P889" s="218"/>
      <c r="Q889" s="50"/>
      <c r="R889" s="50"/>
      <c r="S889" s="38"/>
      <c r="T889" s="51"/>
      <c r="U889" s="65"/>
      <c r="V889" s="105"/>
      <c r="W889" s="66"/>
      <c r="X889" s="66"/>
      <c r="Y889" s="38"/>
      <c r="Z889" s="66">
        <f t="shared" si="313"/>
        <v>0</v>
      </c>
      <c r="AC889" s="41" t="e">
        <f>VLOOKUP(A889,'Input Sheet'!$A$2:$B$232,2,0)</f>
        <v>#N/A</v>
      </c>
      <c r="AD889" s="70"/>
    </row>
    <row r="890" spans="1:30" x14ac:dyDescent="0.2">
      <c r="A890" s="38" t="str">
        <f t="shared" si="314"/>
        <v xml:space="preserve"> </v>
      </c>
      <c r="B890" s="108"/>
      <c r="C890" s="38"/>
      <c r="D890" s="137"/>
      <c r="E890" s="137"/>
      <c r="F890" s="137"/>
      <c r="G890" s="122"/>
      <c r="H890" s="137"/>
      <c r="I890" s="50"/>
      <c r="J890" s="50"/>
      <c r="K890" s="50"/>
      <c r="L890" s="38"/>
      <c r="M890" s="38"/>
      <c r="N890" s="38"/>
      <c r="O890" s="50"/>
      <c r="P890" s="218"/>
      <c r="Q890" s="50"/>
      <c r="R890" s="50"/>
      <c r="S890" s="38"/>
      <c r="T890" s="51"/>
      <c r="U890" s="65"/>
      <c r="V890" s="105"/>
      <c r="W890" s="66"/>
      <c r="X890" s="66"/>
      <c r="Y890" s="38"/>
      <c r="Z890" s="66">
        <f t="shared" si="313"/>
        <v>0</v>
      </c>
      <c r="AC890" s="41" t="e">
        <f>VLOOKUP(A890,'Input Sheet'!$A$2:$B$232,2,0)</f>
        <v>#N/A</v>
      </c>
      <c r="AD890" s="70"/>
    </row>
    <row r="891" spans="1:30" x14ac:dyDescent="0.2">
      <c r="A891" s="38" t="str">
        <f t="shared" si="314"/>
        <v xml:space="preserve"> </v>
      </c>
      <c r="B891" s="108"/>
      <c r="C891" s="38"/>
      <c r="D891" s="137"/>
      <c r="E891" s="137"/>
      <c r="F891" s="137"/>
      <c r="G891" s="122"/>
      <c r="H891" s="137"/>
      <c r="I891" s="50"/>
      <c r="J891" s="50"/>
      <c r="K891" s="50"/>
      <c r="L891" s="38"/>
      <c r="M891" s="38"/>
      <c r="N891" s="38"/>
      <c r="O891" s="50"/>
      <c r="P891" s="218"/>
      <c r="Q891" s="50"/>
      <c r="R891" s="50"/>
      <c r="S891" s="38"/>
      <c r="T891" s="51"/>
      <c r="U891" s="65"/>
      <c r="V891" s="105"/>
      <c r="W891" s="66"/>
      <c r="X891" s="66"/>
      <c r="Y891" s="38"/>
      <c r="Z891" s="66">
        <f t="shared" si="313"/>
        <v>0</v>
      </c>
      <c r="AC891" s="41" t="e">
        <f>VLOOKUP(A891,'Input Sheet'!$A$2:$B$232,2,0)</f>
        <v>#N/A</v>
      </c>
      <c r="AD891" s="70"/>
    </row>
    <row r="892" spans="1:30" x14ac:dyDescent="0.2">
      <c r="A892" s="38" t="str">
        <f t="shared" si="314"/>
        <v xml:space="preserve"> </v>
      </c>
      <c r="B892" s="108"/>
      <c r="C892" s="38"/>
      <c r="D892" s="137"/>
      <c r="E892" s="137"/>
      <c r="F892" s="137"/>
      <c r="G892" s="122"/>
      <c r="H892" s="137"/>
      <c r="I892" s="50"/>
      <c r="J892" s="50"/>
      <c r="K892" s="50"/>
      <c r="L892" s="38"/>
      <c r="M892" s="38"/>
      <c r="N892" s="38"/>
      <c r="O892" s="50"/>
      <c r="P892" s="218"/>
      <c r="Q892" s="50"/>
      <c r="R892" s="50"/>
      <c r="S892" s="38"/>
      <c r="T892" s="51"/>
      <c r="U892" s="65"/>
      <c r="V892" s="105"/>
      <c r="W892" s="66"/>
      <c r="X892" s="66"/>
      <c r="Y892" s="38"/>
      <c r="Z892" s="66">
        <f t="shared" si="313"/>
        <v>0</v>
      </c>
      <c r="AC892" s="41" t="e">
        <f>VLOOKUP(A892,'Input Sheet'!$A$2:$B$232,2,0)</f>
        <v>#N/A</v>
      </c>
      <c r="AD892" s="70"/>
    </row>
    <row r="893" spans="1:30" x14ac:dyDescent="0.2">
      <c r="A893" s="38" t="str">
        <f t="shared" si="314"/>
        <v xml:space="preserve"> </v>
      </c>
      <c r="B893" s="108"/>
      <c r="C893" s="38"/>
      <c r="D893" s="137"/>
      <c r="E893" s="137"/>
      <c r="F893" s="137"/>
      <c r="G893" s="122"/>
      <c r="H893" s="137"/>
      <c r="I893" s="50"/>
      <c r="J893" s="50"/>
      <c r="K893" s="50"/>
      <c r="L893" s="38"/>
      <c r="M893" s="38"/>
      <c r="N893" s="38"/>
      <c r="O893" s="50"/>
      <c r="P893" s="218"/>
      <c r="Q893" s="50"/>
      <c r="R893" s="50"/>
      <c r="S893" s="38"/>
      <c r="T893" s="51"/>
      <c r="U893" s="65"/>
      <c r="V893" s="105"/>
      <c r="W893" s="66"/>
      <c r="X893" s="66"/>
      <c r="Y893" s="38"/>
      <c r="Z893" s="66">
        <f t="shared" si="313"/>
        <v>0</v>
      </c>
      <c r="AC893" s="41" t="e">
        <f>VLOOKUP(A893,'Input Sheet'!$A$2:$B$232,2,0)</f>
        <v>#N/A</v>
      </c>
      <c r="AD893" s="70"/>
    </row>
    <row r="894" spans="1:30" x14ac:dyDescent="0.2">
      <c r="A894" s="38" t="str">
        <f t="shared" si="314"/>
        <v xml:space="preserve"> </v>
      </c>
      <c r="B894" s="108"/>
      <c r="C894" s="38"/>
      <c r="D894" s="137"/>
      <c r="E894" s="137"/>
      <c r="F894" s="137"/>
      <c r="G894" s="122"/>
      <c r="H894" s="137"/>
      <c r="I894" s="50"/>
      <c r="J894" s="50"/>
      <c r="K894" s="50"/>
      <c r="L894" s="38"/>
      <c r="M894" s="38"/>
      <c r="N894" s="38"/>
      <c r="O894" s="50"/>
      <c r="P894" s="218"/>
      <c r="Q894" s="50"/>
      <c r="R894" s="50"/>
      <c r="S894" s="38"/>
      <c r="T894" s="51"/>
      <c r="U894" s="65"/>
      <c r="V894" s="105"/>
      <c r="W894" s="66"/>
      <c r="X894" s="66"/>
      <c r="Y894" s="38"/>
      <c r="Z894" s="66">
        <f t="shared" si="313"/>
        <v>0</v>
      </c>
      <c r="AC894" s="41" t="e">
        <f>VLOOKUP(A894,'Input Sheet'!$A$2:$B$232,2,0)</f>
        <v>#N/A</v>
      </c>
      <c r="AD894" s="70"/>
    </row>
    <row r="895" spans="1:30" x14ac:dyDescent="0.2">
      <c r="A895" s="38" t="str">
        <f t="shared" si="314"/>
        <v xml:space="preserve"> </v>
      </c>
      <c r="B895" s="108"/>
      <c r="C895" s="38"/>
      <c r="D895" s="137"/>
      <c r="E895" s="137"/>
      <c r="F895" s="137"/>
      <c r="G895" s="122"/>
      <c r="H895" s="137"/>
      <c r="I895" s="50"/>
      <c r="J895" s="50"/>
      <c r="K895" s="50"/>
      <c r="L895" s="38"/>
      <c r="M895" s="38"/>
      <c r="N895" s="38"/>
      <c r="O895" s="50"/>
      <c r="P895" s="218"/>
      <c r="Q895" s="50"/>
      <c r="R895" s="50"/>
      <c r="S895" s="38"/>
      <c r="T895" s="51"/>
      <c r="U895" s="65"/>
      <c r="V895" s="105"/>
      <c r="W895" s="66"/>
      <c r="X895" s="66"/>
      <c r="Y895" s="38"/>
      <c r="Z895" s="66">
        <f t="shared" si="313"/>
        <v>0</v>
      </c>
      <c r="AC895" s="41" t="e">
        <f>VLOOKUP(A895,'Input Sheet'!$A$2:$B$232,2,0)</f>
        <v>#N/A</v>
      </c>
      <c r="AD895" s="70"/>
    </row>
    <row r="896" spans="1:30" x14ac:dyDescent="0.2">
      <c r="A896" s="38" t="str">
        <f t="shared" si="314"/>
        <v xml:space="preserve"> </v>
      </c>
      <c r="B896" s="108"/>
      <c r="C896" s="38"/>
      <c r="D896" s="137"/>
      <c r="E896" s="137"/>
      <c r="F896" s="137"/>
      <c r="G896" s="122"/>
      <c r="H896" s="137"/>
      <c r="I896" s="50"/>
      <c r="J896" s="50"/>
      <c r="K896" s="50"/>
      <c r="L896" s="38"/>
      <c r="M896" s="38"/>
      <c r="N896" s="38"/>
      <c r="O896" s="50"/>
      <c r="P896" s="218"/>
      <c r="Q896" s="50"/>
      <c r="R896" s="50"/>
      <c r="S896" s="38"/>
      <c r="T896" s="51"/>
      <c r="U896" s="65"/>
      <c r="V896" s="105"/>
      <c r="W896" s="66"/>
      <c r="X896" s="66"/>
      <c r="Y896" s="38"/>
      <c r="Z896" s="66">
        <f t="shared" si="313"/>
        <v>0</v>
      </c>
      <c r="AC896" s="41" t="e">
        <f>VLOOKUP(A896,'Input Sheet'!$A$2:$B$232,2,0)</f>
        <v>#N/A</v>
      </c>
      <c r="AD896" s="70"/>
    </row>
    <row r="897" spans="1:30" x14ac:dyDescent="0.2">
      <c r="A897" s="38" t="str">
        <f t="shared" si="314"/>
        <v xml:space="preserve"> </v>
      </c>
      <c r="B897" s="108"/>
      <c r="C897" s="38"/>
      <c r="D897" s="137"/>
      <c r="E897" s="137"/>
      <c r="F897" s="137"/>
      <c r="G897" s="122"/>
      <c r="H897" s="137"/>
      <c r="I897" s="50"/>
      <c r="J897" s="50"/>
      <c r="K897" s="50"/>
      <c r="L897" s="38"/>
      <c r="M897" s="38"/>
      <c r="N897" s="38"/>
      <c r="O897" s="50"/>
      <c r="P897" s="218"/>
      <c r="Q897" s="50"/>
      <c r="R897" s="50"/>
      <c r="S897" s="38"/>
      <c r="T897" s="51"/>
      <c r="U897" s="65"/>
      <c r="V897" s="105"/>
      <c r="W897" s="66"/>
      <c r="X897" s="66"/>
      <c r="Y897" s="38"/>
      <c r="Z897" s="66">
        <f t="shared" si="313"/>
        <v>0</v>
      </c>
      <c r="AC897" s="41" t="e">
        <f>VLOOKUP(A897,'Input Sheet'!$A$2:$B$232,2,0)</f>
        <v>#N/A</v>
      </c>
      <c r="AD897" s="70"/>
    </row>
    <row r="898" spans="1:30" x14ac:dyDescent="0.2">
      <c r="A898" s="38" t="str">
        <f t="shared" si="314"/>
        <v xml:space="preserve"> </v>
      </c>
      <c r="B898" s="108"/>
      <c r="C898" s="38"/>
      <c r="D898" s="137"/>
      <c r="E898" s="137"/>
      <c r="F898" s="137"/>
      <c r="G898" s="122"/>
      <c r="H898" s="137"/>
      <c r="I898" s="50"/>
      <c r="J898" s="50"/>
      <c r="K898" s="50"/>
      <c r="L898" s="38"/>
      <c r="M898" s="38"/>
      <c r="N898" s="38"/>
      <c r="O898" s="50"/>
      <c r="P898" s="218"/>
      <c r="Q898" s="50"/>
      <c r="R898" s="50"/>
      <c r="S898" s="38"/>
      <c r="T898" s="51"/>
      <c r="U898" s="65"/>
      <c r="V898" s="105"/>
      <c r="W898" s="66"/>
      <c r="X898" s="66"/>
      <c r="Y898" s="38"/>
      <c r="Z898" s="66">
        <f t="shared" si="313"/>
        <v>0</v>
      </c>
      <c r="AC898" s="41" t="e">
        <f>VLOOKUP(A898,'Input Sheet'!$A$2:$B$232,2,0)</f>
        <v>#N/A</v>
      </c>
      <c r="AD898" s="70"/>
    </row>
    <row r="899" spans="1:30" x14ac:dyDescent="0.2">
      <c r="A899" s="38" t="str">
        <f t="shared" si="314"/>
        <v xml:space="preserve"> </v>
      </c>
      <c r="B899" s="108"/>
      <c r="C899" s="38"/>
      <c r="D899" s="137"/>
      <c r="E899" s="137"/>
      <c r="F899" s="137"/>
      <c r="G899" s="122"/>
      <c r="H899" s="137"/>
      <c r="I899" s="50"/>
      <c r="J899" s="50"/>
      <c r="K899" s="50"/>
      <c r="L899" s="38"/>
      <c r="M899" s="38"/>
      <c r="N899" s="38"/>
      <c r="O899" s="50"/>
      <c r="P899" s="218"/>
      <c r="Q899" s="50"/>
      <c r="R899" s="50"/>
      <c r="S899" s="38"/>
      <c r="T899" s="51"/>
      <c r="U899" s="65"/>
      <c r="V899" s="105"/>
      <c r="W899" s="66"/>
      <c r="X899" s="66"/>
      <c r="Y899" s="38"/>
      <c r="Z899" s="66">
        <f t="shared" si="313"/>
        <v>0</v>
      </c>
      <c r="AC899" s="41" t="e">
        <f>VLOOKUP(A899,'Input Sheet'!$A$2:$B$232,2,0)</f>
        <v>#N/A</v>
      </c>
      <c r="AD899" s="70"/>
    </row>
    <row r="900" spans="1:30" x14ac:dyDescent="0.2">
      <c r="A900" s="38" t="str">
        <f t="shared" si="314"/>
        <v xml:space="preserve"> </v>
      </c>
      <c r="B900" s="108"/>
      <c r="C900" s="38"/>
      <c r="D900" s="137"/>
      <c r="E900" s="137"/>
      <c r="F900" s="137"/>
      <c r="G900" s="122"/>
      <c r="H900" s="137"/>
      <c r="I900" s="50"/>
      <c r="J900" s="50"/>
      <c r="K900" s="50"/>
      <c r="L900" s="38"/>
      <c r="M900" s="38"/>
      <c r="N900" s="38"/>
      <c r="O900" s="50"/>
      <c r="P900" s="218"/>
      <c r="Q900" s="50"/>
      <c r="R900" s="50"/>
      <c r="S900" s="38"/>
      <c r="T900" s="51"/>
      <c r="U900" s="65"/>
      <c r="V900" s="105"/>
      <c r="W900" s="66"/>
      <c r="X900" s="66"/>
      <c r="Y900" s="38"/>
      <c r="Z900" s="66">
        <f t="shared" si="313"/>
        <v>0</v>
      </c>
      <c r="AC900" s="41" t="e">
        <f>VLOOKUP(A900,'Input Sheet'!$A$2:$B$232,2,0)</f>
        <v>#N/A</v>
      </c>
      <c r="AD900" s="70"/>
    </row>
    <row r="901" spans="1:30" x14ac:dyDescent="0.2">
      <c r="A901" s="38" t="str">
        <f t="shared" si="314"/>
        <v xml:space="preserve"> </v>
      </c>
      <c r="B901" s="108"/>
      <c r="C901" s="38"/>
      <c r="D901" s="137"/>
      <c r="E901" s="137"/>
      <c r="F901" s="137"/>
      <c r="G901" s="122"/>
      <c r="H901" s="137"/>
      <c r="I901" s="50"/>
      <c r="J901" s="50"/>
      <c r="K901" s="50"/>
      <c r="L901" s="38"/>
      <c r="M901" s="38"/>
      <c r="N901" s="38"/>
      <c r="O901" s="50"/>
      <c r="P901" s="218"/>
      <c r="Q901" s="50"/>
      <c r="R901" s="50"/>
      <c r="S901" s="38"/>
      <c r="T901" s="51"/>
      <c r="U901" s="65"/>
      <c r="V901" s="105"/>
      <c r="W901" s="66"/>
      <c r="X901" s="66"/>
      <c r="Y901" s="38"/>
      <c r="Z901" s="66">
        <f t="shared" ref="Z901:Z964" si="315">IF(Y901="Stage 1",X901,IF(Y901="Stage 2",W901,O901))</f>
        <v>0</v>
      </c>
      <c r="AC901" s="41" t="e">
        <f>VLOOKUP(A901,'Input Sheet'!$A$2:$B$232,2,0)</f>
        <v>#N/A</v>
      </c>
      <c r="AD901" s="70"/>
    </row>
    <row r="902" spans="1:30" x14ac:dyDescent="0.2">
      <c r="A902" s="38" t="str">
        <f t="shared" si="314"/>
        <v xml:space="preserve"> </v>
      </c>
      <c r="B902" s="108"/>
      <c r="C902" s="38"/>
      <c r="D902" s="137"/>
      <c r="E902" s="137"/>
      <c r="F902" s="137"/>
      <c r="G902" s="122"/>
      <c r="H902" s="137"/>
      <c r="I902" s="50"/>
      <c r="J902" s="50"/>
      <c r="K902" s="50"/>
      <c r="L902" s="38"/>
      <c r="M902" s="38"/>
      <c r="N902" s="38"/>
      <c r="O902" s="50"/>
      <c r="P902" s="218"/>
      <c r="Q902" s="50"/>
      <c r="R902" s="50"/>
      <c r="S902" s="38"/>
      <c r="T902" s="51"/>
      <c r="U902" s="65"/>
      <c r="V902" s="105"/>
      <c r="W902" s="66"/>
      <c r="X902" s="66"/>
      <c r="Y902" s="38"/>
      <c r="Z902" s="66">
        <f t="shared" si="315"/>
        <v>0</v>
      </c>
      <c r="AC902" s="41" t="e">
        <f>VLOOKUP(A902,'Input Sheet'!$A$2:$B$232,2,0)</f>
        <v>#N/A</v>
      </c>
      <c r="AD902" s="70"/>
    </row>
    <row r="903" spans="1:30" x14ac:dyDescent="0.2">
      <c r="A903" s="38" t="str">
        <f t="shared" si="314"/>
        <v xml:space="preserve"> </v>
      </c>
      <c r="B903" s="108"/>
      <c r="C903" s="38"/>
      <c r="D903" s="137"/>
      <c r="E903" s="137"/>
      <c r="F903" s="137"/>
      <c r="G903" s="122"/>
      <c r="H903" s="137"/>
      <c r="I903" s="50"/>
      <c r="J903" s="50"/>
      <c r="K903" s="50"/>
      <c r="L903" s="38"/>
      <c r="M903" s="38"/>
      <c r="N903" s="38"/>
      <c r="O903" s="50"/>
      <c r="P903" s="218"/>
      <c r="Q903" s="50"/>
      <c r="R903" s="50"/>
      <c r="S903" s="38"/>
      <c r="T903" s="51"/>
      <c r="U903" s="65"/>
      <c r="V903" s="105"/>
      <c r="W903" s="66"/>
      <c r="X903" s="66"/>
      <c r="Y903" s="38"/>
      <c r="Z903" s="66">
        <f t="shared" si="315"/>
        <v>0</v>
      </c>
      <c r="AC903" s="41" t="e">
        <f>VLOOKUP(A903,'Input Sheet'!$A$2:$B$232,2,0)</f>
        <v>#N/A</v>
      </c>
      <c r="AD903" s="70"/>
    </row>
    <row r="904" spans="1:30" x14ac:dyDescent="0.2">
      <c r="A904" s="38" t="str">
        <f t="shared" si="314"/>
        <v xml:space="preserve"> </v>
      </c>
      <c r="B904" s="108"/>
      <c r="C904" s="38"/>
      <c r="D904" s="137"/>
      <c r="E904" s="137"/>
      <c r="F904" s="137"/>
      <c r="G904" s="122"/>
      <c r="H904" s="137"/>
      <c r="I904" s="50"/>
      <c r="J904" s="50"/>
      <c r="K904" s="50"/>
      <c r="L904" s="38"/>
      <c r="M904" s="38"/>
      <c r="N904" s="38"/>
      <c r="O904" s="50"/>
      <c r="P904" s="218"/>
      <c r="Q904" s="50"/>
      <c r="R904" s="50"/>
      <c r="S904" s="38"/>
      <c r="T904" s="51"/>
      <c r="U904" s="65"/>
      <c r="V904" s="105"/>
      <c r="W904" s="66"/>
      <c r="X904" s="66"/>
      <c r="Y904" s="38"/>
      <c r="Z904" s="66">
        <f t="shared" si="315"/>
        <v>0</v>
      </c>
      <c r="AC904" s="41" t="e">
        <f>VLOOKUP(A904,'Input Sheet'!$A$2:$B$232,2,0)</f>
        <v>#N/A</v>
      </c>
      <c r="AD904" s="70"/>
    </row>
    <row r="905" spans="1:30" x14ac:dyDescent="0.2">
      <c r="A905" s="38" t="str">
        <f t="shared" si="314"/>
        <v xml:space="preserve"> </v>
      </c>
      <c r="B905" s="108"/>
      <c r="C905" s="38"/>
      <c r="D905" s="137"/>
      <c r="E905" s="137"/>
      <c r="F905" s="137"/>
      <c r="G905" s="122"/>
      <c r="H905" s="137"/>
      <c r="I905" s="50"/>
      <c r="J905" s="50"/>
      <c r="K905" s="50"/>
      <c r="L905" s="38"/>
      <c r="M905" s="38"/>
      <c r="N905" s="38"/>
      <c r="O905" s="50"/>
      <c r="P905" s="218"/>
      <c r="Q905" s="50"/>
      <c r="R905" s="50"/>
      <c r="S905" s="38"/>
      <c r="T905" s="51"/>
      <c r="U905" s="65"/>
      <c r="V905" s="105"/>
      <c r="W905" s="66"/>
      <c r="X905" s="66"/>
      <c r="Y905" s="38"/>
      <c r="Z905" s="66">
        <f t="shared" si="315"/>
        <v>0</v>
      </c>
      <c r="AC905" s="41" t="e">
        <f>VLOOKUP(A905,'Input Sheet'!$A$2:$B$232,2,0)</f>
        <v>#N/A</v>
      </c>
      <c r="AD905" s="70"/>
    </row>
    <row r="906" spans="1:30" x14ac:dyDescent="0.2">
      <c r="A906" s="38" t="str">
        <f t="shared" ref="A906:A969" si="316">IF(B906=0," ",A905+1)</f>
        <v xml:space="preserve"> </v>
      </c>
      <c r="B906" s="108"/>
      <c r="C906" s="38"/>
      <c r="D906" s="137"/>
      <c r="E906" s="137"/>
      <c r="F906" s="137"/>
      <c r="G906" s="122"/>
      <c r="H906" s="137"/>
      <c r="I906" s="50"/>
      <c r="J906" s="50"/>
      <c r="K906" s="50"/>
      <c r="L906" s="38"/>
      <c r="M906" s="38"/>
      <c r="N906" s="38"/>
      <c r="O906" s="50"/>
      <c r="P906" s="218"/>
      <c r="Q906" s="50"/>
      <c r="R906" s="50"/>
      <c r="S906" s="38"/>
      <c r="T906" s="51"/>
      <c r="U906" s="65"/>
      <c r="V906" s="105"/>
      <c r="W906" s="66"/>
      <c r="X906" s="66"/>
      <c r="Y906" s="38"/>
      <c r="Z906" s="66">
        <f t="shared" si="315"/>
        <v>0</v>
      </c>
      <c r="AC906" s="41" t="e">
        <f>VLOOKUP(A906,'Input Sheet'!$A$2:$B$232,2,0)</f>
        <v>#N/A</v>
      </c>
      <c r="AD906" s="70"/>
    </row>
    <row r="907" spans="1:30" x14ac:dyDescent="0.2">
      <c r="A907" s="38" t="str">
        <f t="shared" si="316"/>
        <v xml:space="preserve"> </v>
      </c>
      <c r="B907" s="108"/>
      <c r="C907" s="38"/>
      <c r="D907" s="137"/>
      <c r="E907" s="137"/>
      <c r="F907" s="137"/>
      <c r="G907" s="122"/>
      <c r="H907" s="137"/>
      <c r="I907" s="50"/>
      <c r="J907" s="50"/>
      <c r="K907" s="50"/>
      <c r="L907" s="38"/>
      <c r="M907" s="38"/>
      <c r="N907" s="38"/>
      <c r="O907" s="50"/>
      <c r="P907" s="218"/>
      <c r="Q907" s="50"/>
      <c r="R907" s="50"/>
      <c r="S907" s="38"/>
      <c r="T907" s="51"/>
      <c r="U907" s="65"/>
      <c r="V907" s="105"/>
      <c r="W907" s="66"/>
      <c r="X907" s="66"/>
      <c r="Y907" s="38"/>
      <c r="Z907" s="66">
        <f t="shared" si="315"/>
        <v>0</v>
      </c>
      <c r="AC907" s="41" t="e">
        <f>VLOOKUP(A907,'Input Sheet'!$A$2:$B$232,2,0)</f>
        <v>#N/A</v>
      </c>
      <c r="AD907" s="70"/>
    </row>
    <row r="908" spans="1:30" x14ac:dyDescent="0.2">
      <c r="A908" s="38" t="str">
        <f t="shared" si="316"/>
        <v xml:space="preserve"> </v>
      </c>
      <c r="B908" s="108"/>
      <c r="C908" s="38"/>
      <c r="D908" s="137"/>
      <c r="E908" s="137"/>
      <c r="F908" s="137"/>
      <c r="G908" s="122"/>
      <c r="H908" s="137"/>
      <c r="I908" s="50"/>
      <c r="J908" s="50"/>
      <c r="K908" s="50"/>
      <c r="L908" s="38"/>
      <c r="M908" s="38"/>
      <c r="N908" s="38"/>
      <c r="O908" s="50"/>
      <c r="P908" s="218"/>
      <c r="Q908" s="50"/>
      <c r="R908" s="50"/>
      <c r="S908" s="38"/>
      <c r="T908" s="51"/>
      <c r="U908" s="65"/>
      <c r="V908" s="105"/>
      <c r="W908" s="66"/>
      <c r="X908" s="66"/>
      <c r="Y908" s="38"/>
      <c r="Z908" s="66">
        <f t="shared" si="315"/>
        <v>0</v>
      </c>
      <c r="AC908" s="41" t="e">
        <f>VLOOKUP(A908,'Input Sheet'!$A$2:$B$232,2,0)</f>
        <v>#N/A</v>
      </c>
      <c r="AD908" s="70"/>
    </row>
    <row r="909" spans="1:30" x14ac:dyDescent="0.2">
      <c r="A909" s="38" t="str">
        <f t="shared" si="316"/>
        <v xml:space="preserve"> </v>
      </c>
      <c r="B909" s="108"/>
      <c r="C909" s="38"/>
      <c r="D909" s="137"/>
      <c r="E909" s="137"/>
      <c r="F909" s="137"/>
      <c r="G909" s="122"/>
      <c r="H909" s="137"/>
      <c r="I909" s="50"/>
      <c r="J909" s="50"/>
      <c r="K909" s="50"/>
      <c r="L909" s="38"/>
      <c r="M909" s="38"/>
      <c r="N909" s="38"/>
      <c r="O909" s="50"/>
      <c r="P909" s="218"/>
      <c r="Q909" s="50"/>
      <c r="R909" s="50"/>
      <c r="S909" s="38"/>
      <c r="T909" s="51"/>
      <c r="U909" s="65"/>
      <c r="V909" s="105"/>
      <c r="W909" s="66"/>
      <c r="X909" s="66"/>
      <c r="Y909" s="38"/>
      <c r="Z909" s="66">
        <f t="shared" si="315"/>
        <v>0</v>
      </c>
      <c r="AC909" s="41" t="e">
        <f>VLOOKUP(A909,'Input Sheet'!$A$2:$B$232,2,0)</f>
        <v>#N/A</v>
      </c>
      <c r="AD909" s="70"/>
    </row>
    <row r="910" spans="1:30" x14ac:dyDescent="0.2">
      <c r="A910" s="38" t="str">
        <f t="shared" si="316"/>
        <v xml:space="preserve"> </v>
      </c>
      <c r="B910" s="108"/>
      <c r="C910" s="38"/>
      <c r="D910" s="137"/>
      <c r="E910" s="137"/>
      <c r="F910" s="137"/>
      <c r="G910" s="122"/>
      <c r="H910" s="137"/>
      <c r="I910" s="50"/>
      <c r="J910" s="50"/>
      <c r="K910" s="50"/>
      <c r="L910" s="38"/>
      <c r="M910" s="38"/>
      <c r="N910" s="38"/>
      <c r="O910" s="50"/>
      <c r="P910" s="218"/>
      <c r="Q910" s="50"/>
      <c r="R910" s="50"/>
      <c r="S910" s="38"/>
      <c r="T910" s="51"/>
      <c r="U910" s="65"/>
      <c r="V910" s="105"/>
      <c r="W910" s="66"/>
      <c r="X910" s="66"/>
      <c r="Y910" s="38"/>
      <c r="Z910" s="66">
        <f t="shared" si="315"/>
        <v>0</v>
      </c>
      <c r="AC910" s="41" t="e">
        <f>VLOOKUP(A910,'Input Sheet'!$A$2:$B$232,2,0)</f>
        <v>#N/A</v>
      </c>
      <c r="AD910" s="70"/>
    </row>
    <row r="911" spans="1:30" x14ac:dyDescent="0.2">
      <c r="A911" s="38" t="str">
        <f t="shared" si="316"/>
        <v xml:space="preserve"> </v>
      </c>
      <c r="B911" s="108"/>
      <c r="C911" s="38"/>
      <c r="D911" s="137"/>
      <c r="E911" s="137"/>
      <c r="F911" s="137"/>
      <c r="G911" s="122"/>
      <c r="H911" s="137"/>
      <c r="I911" s="50"/>
      <c r="J911" s="50"/>
      <c r="K911" s="50"/>
      <c r="L911" s="38"/>
      <c r="M911" s="38"/>
      <c r="N911" s="38"/>
      <c r="O911" s="50"/>
      <c r="P911" s="218"/>
      <c r="Q911" s="50"/>
      <c r="R911" s="50"/>
      <c r="S911" s="38"/>
      <c r="T911" s="51"/>
      <c r="U911" s="65"/>
      <c r="V911" s="105"/>
      <c r="W911" s="66"/>
      <c r="X911" s="66"/>
      <c r="Y911" s="38"/>
      <c r="Z911" s="66">
        <f t="shared" si="315"/>
        <v>0</v>
      </c>
      <c r="AC911" s="41" t="e">
        <f>VLOOKUP(A911,'Input Sheet'!$A$2:$B$232,2,0)</f>
        <v>#N/A</v>
      </c>
      <c r="AD911" s="70"/>
    </row>
    <row r="912" spans="1:30" x14ac:dyDescent="0.2">
      <c r="A912" s="38" t="str">
        <f t="shared" si="316"/>
        <v xml:space="preserve"> </v>
      </c>
      <c r="B912" s="108"/>
      <c r="C912" s="38"/>
      <c r="D912" s="137"/>
      <c r="E912" s="137"/>
      <c r="F912" s="137"/>
      <c r="G912" s="122"/>
      <c r="H912" s="137"/>
      <c r="I912" s="50"/>
      <c r="J912" s="50"/>
      <c r="K912" s="50"/>
      <c r="L912" s="38"/>
      <c r="M912" s="38"/>
      <c r="N912" s="38"/>
      <c r="O912" s="50"/>
      <c r="P912" s="218"/>
      <c r="Q912" s="50"/>
      <c r="R912" s="50"/>
      <c r="S912" s="38"/>
      <c r="T912" s="51"/>
      <c r="U912" s="65"/>
      <c r="V912" s="105"/>
      <c r="W912" s="66"/>
      <c r="X912" s="66"/>
      <c r="Y912" s="38"/>
      <c r="Z912" s="66">
        <f t="shared" si="315"/>
        <v>0</v>
      </c>
      <c r="AC912" s="41" t="e">
        <f>VLOOKUP(A912,'Input Sheet'!$A$2:$B$232,2,0)</f>
        <v>#N/A</v>
      </c>
      <c r="AD912" s="70"/>
    </row>
    <row r="913" spans="1:30" x14ac:dyDescent="0.2">
      <c r="A913" s="38" t="str">
        <f t="shared" si="316"/>
        <v xml:space="preserve"> </v>
      </c>
      <c r="B913" s="108"/>
      <c r="C913" s="38"/>
      <c r="D913" s="137"/>
      <c r="E913" s="137"/>
      <c r="F913" s="137"/>
      <c r="G913" s="122"/>
      <c r="H913" s="137"/>
      <c r="I913" s="50"/>
      <c r="J913" s="50"/>
      <c r="K913" s="50"/>
      <c r="L913" s="38"/>
      <c r="M913" s="38"/>
      <c r="N913" s="38"/>
      <c r="O913" s="50"/>
      <c r="P913" s="218"/>
      <c r="Q913" s="50"/>
      <c r="R913" s="50"/>
      <c r="S913" s="38"/>
      <c r="T913" s="51"/>
      <c r="U913" s="65"/>
      <c r="V913" s="105"/>
      <c r="W913" s="66"/>
      <c r="X913" s="66"/>
      <c r="Y913" s="38"/>
      <c r="Z913" s="66">
        <f t="shared" si="315"/>
        <v>0</v>
      </c>
      <c r="AC913" s="41" t="e">
        <f>VLOOKUP(A913,'Input Sheet'!$A$2:$B$232,2,0)</f>
        <v>#N/A</v>
      </c>
      <c r="AD913" s="70"/>
    </row>
    <row r="914" spans="1:30" x14ac:dyDescent="0.2">
      <c r="A914" s="38" t="str">
        <f t="shared" si="316"/>
        <v xml:space="preserve"> </v>
      </c>
      <c r="B914" s="108"/>
      <c r="C914" s="38"/>
      <c r="D914" s="137"/>
      <c r="E914" s="137"/>
      <c r="F914" s="137"/>
      <c r="G914" s="122"/>
      <c r="H914" s="137"/>
      <c r="I914" s="50"/>
      <c r="J914" s="50"/>
      <c r="K914" s="50"/>
      <c r="L914" s="38"/>
      <c r="M914" s="38"/>
      <c r="N914" s="38"/>
      <c r="O914" s="50"/>
      <c r="P914" s="218"/>
      <c r="Q914" s="50"/>
      <c r="R914" s="50"/>
      <c r="S914" s="38"/>
      <c r="T914" s="51"/>
      <c r="U914" s="65"/>
      <c r="V914" s="105"/>
      <c r="W914" s="66"/>
      <c r="X914" s="66"/>
      <c r="Y914" s="38"/>
      <c r="Z914" s="66">
        <f t="shared" si="315"/>
        <v>0</v>
      </c>
      <c r="AC914" s="41" t="e">
        <f>VLOOKUP(A914,'Input Sheet'!$A$2:$B$232,2,0)</f>
        <v>#N/A</v>
      </c>
      <c r="AD914" s="70"/>
    </row>
    <row r="915" spans="1:30" x14ac:dyDescent="0.2">
      <c r="A915" s="38" t="str">
        <f t="shared" si="316"/>
        <v xml:space="preserve"> </v>
      </c>
      <c r="B915" s="108"/>
      <c r="C915" s="38"/>
      <c r="D915" s="137"/>
      <c r="E915" s="137"/>
      <c r="F915" s="137"/>
      <c r="G915" s="122"/>
      <c r="H915" s="137"/>
      <c r="I915" s="50"/>
      <c r="J915" s="50"/>
      <c r="K915" s="50"/>
      <c r="L915" s="38"/>
      <c r="M915" s="38"/>
      <c r="N915" s="38"/>
      <c r="O915" s="50"/>
      <c r="P915" s="218"/>
      <c r="Q915" s="50"/>
      <c r="R915" s="50"/>
      <c r="S915" s="38"/>
      <c r="T915" s="51"/>
      <c r="U915" s="65"/>
      <c r="V915" s="105"/>
      <c r="W915" s="66"/>
      <c r="X915" s="66"/>
      <c r="Y915" s="38"/>
      <c r="Z915" s="66">
        <f t="shared" si="315"/>
        <v>0</v>
      </c>
      <c r="AC915" s="41" t="e">
        <f>VLOOKUP(A915,'Input Sheet'!$A$2:$B$232,2,0)</f>
        <v>#N/A</v>
      </c>
      <c r="AD915" s="70"/>
    </row>
    <row r="916" spans="1:30" x14ac:dyDescent="0.2">
      <c r="A916" s="38" t="str">
        <f t="shared" si="316"/>
        <v xml:space="preserve"> </v>
      </c>
      <c r="B916" s="108"/>
      <c r="C916" s="38"/>
      <c r="D916" s="137"/>
      <c r="E916" s="137"/>
      <c r="F916" s="137"/>
      <c r="G916" s="122"/>
      <c r="H916" s="137"/>
      <c r="I916" s="50"/>
      <c r="J916" s="50"/>
      <c r="K916" s="50"/>
      <c r="L916" s="38"/>
      <c r="M916" s="38"/>
      <c r="N916" s="38"/>
      <c r="O916" s="50"/>
      <c r="P916" s="218"/>
      <c r="Q916" s="50"/>
      <c r="R916" s="50"/>
      <c r="S916" s="38"/>
      <c r="T916" s="51"/>
      <c r="U916" s="65"/>
      <c r="V916" s="105"/>
      <c r="W916" s="66"/>
      <c r="X916" s="66"/>
      <c r="Y916" s="38"/>
      <c r="Z916" s="66">
        <f t="shared" si="315"/>
        <v>0</v>
      </c>
      <c r="AC916" s="41" t="e">
        <f>VLOOKUP(A916,'Input Sheet'!$A$2:$B$232,2,0)</f>
        <v>#N/A</v>
      </c>
      <c r="AD916" s="70"/>
    </row>
    <row r="917" spans="1:30" x14ac:dyDescent="0.2">
      <c r="A917" s="38" t="str">
        <f t="shared" si="316"/>
        <v xml:space="preserve"> </v>
      </c>
      <c r="B917" s="108"/>
      <c r="C917" s="38"/>
      <c r="D917" s="137"/>
      <c r="E917" s="137"/>
      <c r="F917" s="137"/>
      <c r="G917" s="122"/>
      <c r="H917" s="137"/>
      <c r="I917" s="50"/>
      <c r="J917" s="50"/>
      <c r="K917" s="50"/>
      <c r="L917" s="38"/>
      <c r="M917" s="38"/>
      <c r="N917" s="38"/>
      <c r="O917" s="50"/>
      <c r="P917" s="218"/>
      <c r="Q917" s="50"/>
      <c r="R917" s="50"/>
      <c r="S917" s="38"/>
      <c r="T917" s="51"/>
      <c r="U917" s="65"/>
      <c r="V917" s="105"/>
      <c r="W917" s="66"/>
      <c r="X917" s="66"/>
      <c r="Y917" s="38"/>
      <c r="Z917" s="66">
        <f t="shared" si="315"/>
        <v>0</v>
      </c>
      <c r="AC917" s="41" t="e">
        <f>VLOOKUP(A917,'Input Sheet'!$A$2:$B$232,2,0)</f>
        <v>#N/A</v>
      </c>
      <c r="AD917" s="70"/>
    </row>
    <row r="918" spans="1:30" x14ac:dyDescent="0.2">
      <c r="A918" s="38" t="str">
        <f t="shared" si="316"/>
        <v xml:space="preserve"> </v>
      </c>
      <c r="B918" s="108"/>
      <c r="C918" s="38"/>
      <c r="D918" s="137"/>
      <c r="E918" s="137"/>
      <c r="F918" s="137"/>
      <c r="G918" s="122"/>
      <c r="H918" s="137"/>
      <c r="I918" s="50"/>
      <c r="J918" s="50"/>
      <c r="K918" s="50"/>
      <c r="L918" s="38"/>
      <c r="M918" s="38"/>
      <c r="N918" s="38"/>
      <c r="O918" s="50"/>
      <c r="P918" s="218"/>
      <c r="Q918" s="50"/>
      <c r="R918" s="50"/>
      <c r="S918" s="38"/>
      <c r="T918" s="51"/>
      <c r="U918" s="65"/>
      <c r="V918" s="105"/>
      <c r="W918" s="66"/>
      <c r="X918" s="66"/>
      <c r="Y918" s="38"/>
      <c r="Z918" s="66">
        <f t="shared" si="315"/>
        <v>0</v>
      </c>
      <c r="AC918" s="41" t="e">
        <f>VLOOKUP(A918,'Input Sheet'!$A$2:$B$232,2,0)</f>
        <v>#N/A</v>
      </c>
      <c r="AD918" s="70"/>
    </row>
    <row r="919" spans="1:30" x14ac:dyDescent="0.2">
      <c r="A919" s="38" t="str">
        <f t="shared" si="316"/>
        <v xml:space="preserve"> </v>
      </c>
      <c r="B919" s="108"/>
      <c r="C919" s="38"/>
      <c r="D919" s="137"/>
      <c r="E919" s="137"/>
      <c r="F919" s="137"/>
      <c r="G919" s="122"/>
      <c r="H919" s="137"/>
      <c r="I919" s="50"/>
      <c r="J919" s="50"/>
      <c r="K919" s="50"/>
      <c r="L919" s="38"/>
      <c r="M919" s="38"/>
      <c r="N919" s="38"/>
      <c r="O919" s="50"/>
      <c r="P919" s="218"/>
      <c r="Q919" s="50"/>
      <c r="R919" s="50"/>
      <c r="S919" s="38"/>
      <c r="T919" s="51"/>
      <c r="U919" s="65"/>
      <c r="V919" s="105"/>
      <c r="W919" s="66"/>
      <c r="X919" s="66"/>
      <c r="Y919" s="38"/>
      <c r="Z919" s="66">
        <f t="shared" si="315"/>
        <v>0</v>
      </c>
      <c r="AC919" s="41" t="e">
        <f>VLOOKUP(A919,'Input Sheet'!$A$2:$B$232,2,0)</f>
        <v>#N/A</v>
      </c>
      <c r="AD919" s="70"/>
    </row>
    <row r="920" spans="1:30" x14ac:dyDescent="0.2">
      <c r="A920" s="38" t="str">
        <f t="shared" si="316"/>
        <v xml:space="preserve"> </v>
      </c>
      <c r="B920" s="108"/>
      <c r="C920" s="38"/>
      <c r="D920" s="137"/>
      <c r="E920" s="137"/>
      <c r="F920" s="137"/>
      <c r="G920" s="122"/>
      <c r="H920" s="137"/>
      <c r="I920" s="50"/>
      <c r="J920" s="50"/>
      <c r="K920" s="50"/>
      <c r="L920" s="38"/>
      <c r="M920" s="38"/>
      <c r="N920" s="38"/>
      <c r="O920" s="50"/>
      <c r="P920" s="218"/>
      <c r="Q920" s="50"/>
      <c r="R920" s="50"/>
      <c r="S920" s="38"/>
      <c r="T920" s="51"/>
      <c r="U920" s="65"/>
      <c r="V920" s="105"/>
      <c r="W920" s="66"/>
      <c r="X920" s="66"/>
      <c r="Y920" s="38"/>
      <c r="Z920" s="66">
        <f t="shared" si="315"/>
        <v>0</v>
      </c>
      <c r="AC920" s="41" t="e">
        <f>VLOOKUP(A920,'Input Sheet'!$A$2:$B$232,2,0)</f>
        <v>#N/A</v>
      </c>
      <c r="AD920" s="70"/>
    </row>
    <row r="921" spans="1:30" x14ac:dyDescent="0.2">
      <c r="A921" s="38" t="str">
        <f t="shared" si="316"/>
        <v xml:space="preserve"> </v>
      </c>
      <c r="B921" s="108"/>
      <c r="C921" s="38"/>
      <c r="D921" s="137"/>
      <c r="E921" s="137"/>
      <c r="F921" s="137"/>
      <c r="G921" s="122"/>
      <c r="H921" s="137"/>
      <c r="I921" s="50"/>
      <c r="J921" s="50"/>
      <c r="K921" s="50"/>
      <c r="L921" s="38"/>
      <c r="M921" s="38"/>
      <c r="N921" s="38"/>
      <c r="O921" s="50"/>
      <c r="P921" s="218"/>
      <c r="Q921" s="50"/>
      <c r="R921" s="50"/>
      <c r="S921" s="38"/>
      <c r="T921" s="51"/>
      <c r="U921" s="65"/>
      <c r="V921" s="105"/>
      <c r="W921" s="66"/>
      <c r="X921" s="66"/>
      <c r="Y921" s="38"/>
      <c r="Z921" s="66">
        <f t="shared" si="315"/>
        <v>0</v>
      </c>
      <c r="AC921" s="41" t="e">
        <f>VLOOKUP(A921,'Input Sheet'!$A$2:$B$232,2,0)</f>
        <v>#N/A</v>
      </c>
      <c r="AD921" s="70"/>
    </row>
    <row r="922" spans="1:30" x14ac:dyDescent="0.2">
      <c r="A922" s="38" t="str">
        <f t="shared" si="316"/>
        <v xml:space="preserve"> </v>
      </c>
      <c r="B922" s="108"/>
      <c r="C922" s="38"/>
      <c r="D922" s="137"/>
      <c r="E922" s="137"/>
      <c r="F922" s="137"/>
      <c r="G922" s="122"/>
      <c r="H922" s="137"/>
      <c r="I922" s="50"/>
      <c r="J922" s="50"/>
      <c r="K922" s="50"/>
      <c r="L922" s="38"/>
      <c r="M922" s="38"/>
      <c r="N922" s="38"/>
      <c r="O922" s="50"/>
      <c r="P922" s="218"/>
      <c r="Q922" s="50"/>
      <c r="R922" s="50"/>
      <c r="S922" s="38"/>
      <c r="T922" s="51"/>
      <c r="U922" s="65"/>
      <c r="V922" s="105"/>
      <c r="W922" s="66"/>
      <c r="X922" s="66"/>
      <c r="Y922" s="38"/>
      <c r="Z922" s="66">
        <f t="shared" si="315"/>
        <v>0</v>
      </c>
      <c r="AC922" s="41" t="e">
        <f>VLOOKUP(A922,'Input Sheet'!$A$2:$B$232,2,0)</f>
        <v>#N/A</v>
      </c>
      <c r="AD922" s="70"/>
    </row>
    <row r="923" spans="1:30" x14ac:dyDescent="0.2">
      <c r="A923" s="38" t="str">
        <f t="shared" si="316"/>
        <v xml:space="preserve"> </v>
      </c>
      <c r="B923" s="108"/>
      <c r="C923" s="38"/>
      <c r="D923" s="137"/>
      <c r="E923" s="137"/>
      <c r="F923" s="137"/>
      <c r="G923" s="122"/>
      <c r="H923" s="137"/>
      <c r="I923" s="50"/>
      <c r="J923" s="50"/>
      <c r="K923" s="50"/>
      <c r="L923" s="38"/>
      <c r="M923" s="38"/>
      <c r="N923" s="38"/>
      <c r="O923" s="50"/>
      <c r="P923" s="218"/>
      <c r="Q923" s="50"/>
      <c r="R923" s="50"/>
      <c r="S923" s="38"/>
      <c r="T923" s="51"/>
      <c r="U923" s="65"/>
      <c r="V923" s="105"/>
      <c r="W923" s="66"/>
      <c r="X923" s="66"/>
      <c r="Y923" s="38"/>
      <c r="Z923" s="66">
        <f t="shared" si="315"/>
        <v>0</v>
      </c>
      <c r="AC923" s="41" t="e">
        <f>VLOOKUP(A923,'Input Sheet'!$A$2:$B$232,2,0)</f>
        <v>#N/A</v>
      </c>
      <c r="AD923" s="70"/>
    </row>
    <row r="924" spans="1:30" x14ac:dyDescent="0.2">
      <c r="A924" s="38" t="str">
        <f t="shared" si="316"/>
        <v xml:space="preserve"> </v>
      </c>
      <c r="B924" s="108"/>
      <c r="C924" s="38"/>
      <c r="D924" s="137"/>
      <c r="E924" s="137"/>
      <c r="F924" s="137"/>
      <c r="G924" s="122"/>
      <c r="H924" s="137"/>
      <c r="I924" s="50"/>
      <c r="J924" s="50"/>
      <c r="K924" s="50"/>
      <c r="L924" s="38"/>
      <c r="M924" s="38"/>
      <c r="N924" s="38"/>
      <c r="O924" s="50"/>
      <c r="P924" s="218"/>
      <c r="Q924" s="50"/>
      <c r="R924" s="50"/>
      <c r="S924" s="38"/>
      <c r="T924" s="51"/>
      <c r="U924" s="65"/>
      <c r="V924" s="105"/>
      <c r="W924" s="66"/>
      <c r="X924" s="66"/>
      <c r="Y924" s="38"/>
      <c r="Z924" s="66">
        <f t="shared" si="315"/>
        <v>0</v>
      </c>
      <c r="AC924" s="41" t="e">
        <f>VLOOKUP(A924,'Input Sheet'!$A$2:$B$232,2,0)</f>
        <v>#N/A</v>
      </c>
      <c r="AD924" s="70"/>
    </row>
    <row r="925" spans="1:30" x14ac:dyDescent="0.2">
      <c r="A925" s="38" t="str">
        <f t="shared" si="316"/>
        <v xml:space="preserve"> </v>
      </c>
      <c r="B925" s="108"/>
      <c r="C925" s="38"/>
      <c r="D925" s="137"/>
      <c r="E925" s="137"/>
      <c r="F925" s="137"/>
      <c r="G925" s="122"/>
      <c r="H925" s="137"/>
      <c r="I925" s="50"/>
      <c r="J925" s="50"/>
      <c r="K925" s="50"/>
      <c r="L925" s="38"/>
      <c r="M925" s="38"/>
      <c r="N925" s="38"/>
      <c r="O925" s="50"/>
      <c r="P925" s="218"/>
      <c r="Q925" s="50"/>
      <c r="R925" s="50"/>
      <c r="S925" s="38"/>
      <c r="T925" s="51"/>
      <c r="U925" s="65"/>
      <c r="V925" s="105"/>
      <c r="W925" s="66"/>
      <c r="X925" s="66"/>
      <c r="Y925" s="38"/>
      <c r="Z925" s="66">
        <f t="shared" si="315"/>
        <v>0</v>
      </c>
      <c r="AC925" s="41" t="e">
        <f>VLOOKUP(A925,'Input Sheet'!$A$2:$B$232,2,0)</f>
        <v>#N/A</v>
      </c>
      <c r="AD925" s="70"/>
    </row>
    <row r="926" spans="1:30" x14ac:dyDescent="0.2">
      <c r="A926" s="38" t="str">
        <f t="shared" si="316"/>
        <v xml:space="preserve"> </v>
      </c>
      <c r="B926" s="108"/>
      <c r="C926" s="38"/>
      <c r="D926" s="137"/>
      <c r="E926" s="137"/>
      <c r="F926" s="137"/>
      <c r="G926" s="122"/>
      <c r="H926" s="137"/>
      <c r="I926" s="50"/>
      <c r="J926" s="50"/>
      <c r="K926" s="50"/>
      <c r="L926" s="38"/>
      <c r="M926" s="38"/>
      <c r="N926" s="38"/>
      <c r="O926" s="50"/>
      <c r="P926" s="218"/>
      <c r="Q926" s="50"/>
      <c r="R926" s="50"/>
      <c r="S926" s="38"/>
      <c r="T926" s="51"/>
      <c r="U926" s="65"/>
      <c r="V926" s="105"/>
      <c r="W926" s="66"/>
      <c r="X926" s="66"/>
      <c r="Y926" s="38"/>
      <c r="Z926" s="66">
        <f t="shared" si="315"/>
        <v>0</v>
      </c>
      <c r="AC926" s="41" t="e">
        <f>VLOOKUP(A926,'Input Sheet'!$A$2:$B$232,2,0)</f>
        <v>#N/A</v>
      </c>
      <c r="AD926" s="70"/>
    </row>
    <row r="927" spans="1:30" x14ac:dyDescent="0.2">
      <c r="A927" s="38" t="str">
        <f t="shared" si="316"/>
        <v xml:space="preserve"> </v>
      </c>
      <c r="B927" s="108"/>
      <c r="C927" s="38"/>
      <c r="D927" s="137"/>
      <c r="E927" s="137"/>
      <c r="F927" s="137"/>
      <c r="G927" s="122"/>
      <c r="H927" s="137"/>
      <c r="I927" s="50"/>
      <c r="J927" s="50"/>
      <c r="K927" s="50"/>
      <c r="L927" s="38"/>
      <c r="M927" s="38"/>
      <c r="N927" s="38"/>
      <c r="O927" s="50"/>
      <c r="P927" s="218"/>
      <c r="Q927" s="50"/>
      <c r="R927" s="50"/>
      <c r="S927" s="38"/>
      <c r="T927" s="51"/>
      <c r="U927" s="65"/>
      <c r="V927" s="105"/>
      <c r="W927" s="66"/>
      <c r="X927" s="66"/>
      <c r="Y927" s="38"/>
      <c r="Z927" s="66">
        <f t="shared" si="315"/>
        <v>0</v>
      </c>
      <c r="AC927" s="41" t="e">
        <f>VLOOKUP(A927,'Input Sheet'!$A$2:$B$232,2,0)</f>
        <v>#N/A</v>
      </c>
      <c r="AD927" s="70"/>
    </row>
    <row r="928" spans="1:30" x14ac:dyDescent="0.2">
      <c r="A928" s="38" t="str">
        <f t="shared" si="316"/>
        <v xml:space="preserve"> </v>
      </c>
      <c r="B928" s="108"/>
      <c r="C928" s="38"/>
      <c r="D928" s="137"/>
      <c r="E928" s="137"/>
      <c r="F928" s="137"/>
      <c r="G928" s="122"/>
      <c r="H928" s="137"/>
      <c r="I928" s="50"/>
      <c r="J928" s="50"/>
      <c r="K928" s="50"/>
      <c r="L928" s="38"/>
      <c r="M928" s="38"/>
      <c r="N928" s="38"/>
      <c r="O928" s="50"/>
      <c r="P928" s="218"/>
      <c r="Q928" s="50"/>
      <c r="R928" s="50"/>
      <c r="S928" s="38"/>
      <c r="T928" s="51"/>
      <c r="U928" s="65"/>
      <c r="V928" s="105"/>
      <c r="W928" s="66"/>
      <c r="X928" s="66"/>
      <c r="Y928" s="38"/>
      <c r="Z928" s="66">
        <f t="shared" si="315"/>
        <v>0</v>
      </c>
      <c r="AC928" s="41" t="e">
        <f>VLOOKUP(A928,'Input Sheet'!$A$2:$B$232,2,0)</f>
        <v>#N/A</v>
      </c>
      <c r="AD928" s="70"/>
    </row>
    <row r="929" spans="1:30" x14ac:dyDescent="0.2">
      <c r="A929" s="38" t="str">
        <f t="shared" si="316"/>
        <v xml:space="preserve"> </v>
      </c>
      <c r="B929" s="108"/>
      <c r="C929" s="38"/>
      <c r="D929" s="137"/>
      <c r="E929" s="137"/>
      <c r="F929" s="137"/>
      <c r="G929" s="122"/>
      <c r="H929" s="137"/>
      <c r="I929" s="50"/>
      <c r="J929" s="50"/>
      <c r="K929" s="50"/>
      <c r="L929" s="38"/>
      <c r="M929" s="38"/>
      <c r="N929" s="38"/>
      <c r="O929" s="50"/>
      <c r="P929" s="218"/>
      <c r="Q929" s="50"/>
      <c r="R929" s="50"/>
      <c r="S929" s="38"/>
      <c r="T929" s="51"/>
      <c r="U929" s="65"/>
      <c r="V929" s="105"/>
      <c r="W929" s="66"/>
      <c r="X929" s="66"/>
      <c r="Y929" s="38"/>
      <c r="Z929" s="66">
        <f t="shared" si="315"/>
        <v>0</v>
      </c>
      <c r="AC929" s="41" t="e">
        <f>VLOOKUP(A929,'Input Sheet'!$A$2:$B$232,2,0)</f>
        <v>#N/A</v>
      </c>
      <c r="AD929" s="70"/>
    </row>
    <row r="930" spans="1:30" x14ac:dyDescent="0.2">
      <c r="A930" s="38" t="str">
        <f t="shared" si="316"/>
        <v xml:space="preserve"> </v>
      </c>
      <c r="B930" s="108"/>
      <c r="C930" s="38"/>
      <c r="D930" s="137"/>
      <c r="E930" s="137"/>
      <c r="F930" s="137"/>
      <c r="G930" s="122"/>
      <c r="H930" s="137"/>
      <c r="I930" s="50"/>
      <c r="J930" s="50"/>
      <c r="K930" s="50"/>
      <c r="L930" s="38"/>
      <c r="M930" s="38"/>
      <c r="N930" s="38"/>
      <c r="O930" s="50"/>
      <c r="P930" s="218"/>
      <c r="Q930" s="50"/>
      <c r="R930" s="50"/>
      <c r="S930" s="38"/>
      <c r="T930" s="51"/>
      <c r="U930" s="65"/>
      <c r="V930" s="105"/>
      <c r="W930" s="66"/>
      <c r="X930" s="66"/>
      <c r="Y930" s="38"/>
      <c r="Z930" s="66">
        <f t="shared" si="315"/>
        <v>0</v>
      </c>
      <c r="AC930" s="41" t="e">
        <f>VLOOKUP(A930,'Input Sheet'!$A$2:$B$232,2,0)</f>
        <v>#N/A</v>
      </c>
      <c r="AD930" s="70"/>
    </row>
    <row r="931" spans="1:30" x14ac:dyDescent="0.2">
      <c r="A931" s="38" t="str">
        <f t="shared" si="316"/>
        <v xml:space="preserve"> </v>
      </c>
      <c r="B931" s="108"/>
      <c r="C931" s="38"/>
      <c r="D931" s="137"/>
      <c r="E931" s="137"/>
      <c r="F931" s="137"/>
      <c r="G931" s="122"/>
      <c r="H931" s="137"/>
      <c r="I931" s="50"/>
      <c r="J931" s="50"/>
      <c r="K931" s="50"/>
      <c r="L931" s="38"/>
      <c r="M931" s="38"/>
      <c r="N931" s="38"/>
      <c r="O931" s="50"/>
      <c r="P931" s="218"/>
      <c r="Q931" s="50"/>
      <c r="R931" s="50"/>
      <c r="S931" s="38"/>
      <c r="T931" s="51"/>
      <c r="U931" s="65"/>
      <c r="V931" s="105"/>
      <c r="W931" s="66"/>
      <c r="X931" s="66"/>
      <c r="Y931" s="38"/>
      <c r="Z931" s="66">
        <f t="shared" si="315"/>
        <v>0</v>
      </c>
      <c r="AC931" s="41" t="e">
        <f>VLOOKUP(A931,'Input Sheet'!$A$2:$B$232,2,0)</f>
        <v>#N/A</v>
      </c>
      <c r="AD931" s="70"/>
    </row>
    <row r="932" spans="1:30" x14ac:dyDescent="0.2">
      <c r="A932" s="38" t="str">
        <f t="shared" si="316"/>
        <v xml:space="preserve"> </v>
      </c>
      <c r="B932" s="108"/>
      <c r="C932" s="38"/>
      <c r="D932" s="137"/>
      <c r="E932" s="137"/>
      <c r="F932" s="137"/>
      <c r="G932" s="122"/>
      <c r="H932" s="137"/>
      <c r="I932" s="50"/>
      <c r="J932" s="50"/>
      <c r="K932" s="50"/>
      <c r="L932" s="38"/>
      <c r="M932" s="38"/>
      <c r="N932" s="38"/>
      <c r="O932" s="50"/>
      <c r="P932" s="218"/>
      <c r="Q932" s="50"/>
      <c r="R932" s="50"/>
      <c r="S932" s="38"/>
      <c r="T932" s="51"/>
      <c r="U932" s="65"/>
      <c r="V932" s="105"/>
      <c r="W932" s="66"/>
      <c r="X932" s="66"/>
      <c r="Y932" s="38"/>
      <c r="Z932" s="66">
        <f t="shared" si="315"/>
        <v>0</v>
      </c>
      <c r="AC932" s="41" t="e">
        <f>VLOOKUP(A932,'Input Sheet'!$A$2:$B$232,2,0)</f>
        <v>#N/A</v>
      </c>
      <c r="AD932" s="70"/>
    </row>
    <row r="933" spans="1:30" x14ac:dyDescent="0.2">
      <c r="A933" s="38" t="str">
        <f t="shared" si="316"/>
        <v xml:space="preserve"> </v>
      </c>
      <c r="B933" s="108"/>
      <c r="C933" s="38"/>
      <c r="D933" s="137"/>
      <c r="E933" s="137"/>
      <c r="F933" s="137"/>
      <c r="G933" s="122"/>
      <c r="H933" s="137"/>
      <c r="I933" s="50"/>
      <c r="J933" s="50"/>
      <c r="K933" s="50"/>
      <c r="L933" s="38"/>
      <c r="M933" s="38"/>
      <c r="N933" s="38"/>
      <c r="O933" s="50"/>
      <c r="P933" s="218"/>
      <c r="Q933" s="50"/>
      <c r="R933" s="50"/>
      <c r="S933" s="38"/>
      <c r="T933" s="51"/>
      <c r="U933" s="65"/>
      <c r="V933" s="105"/>
      <c r="W933" s="66"/>
      <c r="X933" s="66"/>
      <c r="Y933" s="38"/>
      <c r="Z933" s="66">
        <f t="shared" si="315"/>
        <v>0</v>
      </c>
      <c r="AC933" s="41" t="e">
        <f>VLOOKUP(A933,'Input Sheet'!$A$2:$B$232,2,0)</f>
        <v>#N/A</v>
      </c>
      <c r="AD933" s="70"/>
    </row>
    <row r="934" spans="1:30" x14ac:dyDescent="0.2">
      <c r="A934" s="38" t="str">
        <f t="shared" si="316"/>
        <v xml:space="preserve"> </v>
      </c>
      <c r="B934" s="108"/>
      <c r="C934" s="38"/>
      <c r="D934" s="137"/>
      <c r="E934" s="137"/>
      <c r="F934" s="137"/>
      <c r="G934" s="122"/>
      <c r="H934" s="137"/>
      <c r="I934" s="50"/>
      <c r="J934" s="50"/>
      <c r="K934" s="50"/>
      <c r="L934" s="38"/>
      <c r="M934" s="38"/>
      <c r="N934" s="38"/>
      <c r="O934" s="50"/>
      <c r="P934" s="218"/>
      <c r="Q934" s="50"/>
      <c r="R934" s="50"/>
      <c r="S934" s="38"/>
      <c r="T934" s="51"/>
      <c r="U934" s="65"/>
      <c r="V934" s="105"/>
      <c r="W934" s="66"/>
      <c r="X934" s="66"/>
      <c r="Y934" s="38"/>
      <c r="Z934" s="66">
        <f t="shared" si="315"/>
        <v>0</v>
      </c>
      <c r="AC934" s="41" t="e">
        <f>VLOOKUP(A934,'Input Sheet'!$A$2:$B$232,2,0)</f>
        <v>#N/A</v>
      </c>
      <c r="AD934" s="70"/>
    </row>
    <row r="935" spans="1:30" x14ac:dyDescent="0.2">
      <c r="A935" s="38" t="str">
        <f t="shared" si="316"/>
        <v xml:space="preserve"> </v>
      </c>
      <c r="B935" s="108"/>
      <c r="C935" s="38"/>
      <c r="D935" s="137"/>
      <c r="E935" s="137"/>
      <c r="F935" s="137"/>
      <c r="G935" s="122"/>
      <c r="H935" s="137"/>
      <c r="I935" s="50"/>
      <c r="J935" s="50"/>
      <c r="K935" s="50"/>
      <c r="L935" s="38"/>
      <c r="M935" s="38"/>
      <c r="N935" s="38"/>
      <c r="O935" s="50"/>
      <c r="P935" s="218"/>
      <c r="Q935" s="50"/>
      <c r="R935" s="50"/>
      <c r="S935" s="38"/>
      <c r="T935" s="51"/>
      <c r="U935" s="65"/>
      <c r="V935" s="105"/>
      <c r="W935" s="66"/>
      <c r="X935" s="66"/>
      <c r="Y935" s="38"/>
      <c r="Z935" s="66">
        <f t="shared" si="315"/>
        <v>0</v>
      </c>
      <c r="AC935" s="41" t="e">
        <f>VLOOKUP(A935,'Input Sheet'!$A$2:$B$232,2,0)</f>
        <v>#N/A</v>
      </c>
      <c r="AD935" s="70"/>
    </row>
    <row r="936" spans="1:30" x14ac:dyDescent="0.2">
      <c r="A936" s="38" t="str">
        <f t="shared" si="316"/>
        <v xml:space="preserve"> </v>
      </c>
      <c r="B936" s="108"/>
      <c r="C936" s="38"/>
      <c r="D936" s="137"/>
      <c r="E936" s="137"/>
      <c r="F936" s="137"/>
      <c r="G936" s="122"/>
      <c r="H936" s="137"/>
      <c r="I936" s="50"/>
      <c r="J936" s="50"/>
      <c r="K936" s="50"/>
      <c r="L936" s="38"/>
      <c r="M936" s="38"/>
      <c r="N936" s="38"/>
      <c r="O936" s="50"/>
      <c r="P936" s="218"/>
      <c r="Q936" s="50"/>
      <c r="R936" s="50"/>
      <c r="S936" s="38"/>
      <c r="T936" s="51"/>
      <c r="U936" s="65"/>
      <c r="V936" s="105"/>
      <c r="W936" s="66"/>
      <c r="X936" s="66"/>
      <c r="Y936" s="38"/>
      <c r="Z936" s="66">
        <f t="shared" si="315"/>
        <v>0</v>
      </c>
      <c r="AC936" s="41" t="e">
        <f>VLOOKUP(A936,'Input Sheet'!$A$2:$B$232,2,0)</f>
        <v>#N/A</v>
      </c>
      <c r="AD936" s="70"/>
    </row>
    <row r="937" spans="1:30" x14ac:dyDescent="0.2">
      <c r="A937" s="38" t="str">
        <f t="shared" si="316"/>
        <v xml:space="preserve"> </v>
      </c>
      <c r="B937" s="108"/>
      <c r="C937" s="38"/>
      <c r="D937" s="137"/>
      <c r="E937" s="137"/>
      <c r="F937" s="137"/>
      <c r="G937" s="122"/>
      <c r="H937" s="137"/>
      <c r="I937" s="50"/>
      <c r="J937" s="50"/>
      <c r="K937" s="50"/>
      <c r="L937" s="38"/>
      <c r="M937" s="38"/>
      <c r="N937" s="38"/>
      <c r="O937" s="50"/>
      <c r="P937" s="218"/>
      <c r="Q937" s="50"/>
      <c r="R937" s="50"/>
      <c r="S937" s="38"/>
      <c r="T937" s="51"/>
      <c r="U937" s="65"/>
      <c r="V937" s="105"/>
      <c r="W937" s="66"/>
      <c r="X937" s="66"/>
      <c r="Y937" s="38"/>
      <c r="Z937" s="66">
        <f t="shared" si="315"/>
        <v>0</v>
      </c>
      <c r="AC937" s="41" t="e">
        <f>VLOOKUP(A937,'Input Sheet'!$A$2:$B$232,2,0)</f>
        <v>#N/A</v>
      </c>
      <c r="AD937" s="70"/>
    </row>
    <row r="938" spans="1:30" x14ac:dyDescent="0.2">
      <c r="A938" s="38" t="str">
        <f t="shared" si="316"/>
        <v xml:space="preserve"> </v>
      </c>
      <c r="B938" s="108"/>
      <c r="C938" s="38"/>
      <c r="D938" s="137"/>
      <c r="E938" s="137"/>
      <c r="F938" s="137"/>
      <c r="G938" s="122"/>
      <c r="H938" s="137"/>
      <c r="I938" s="50"/>
      <c r="J938" s="50"/>
      <c r="K938" s="50"/>
      <c r="L938" s="38"/>
      <c r="M938" s="38"/>
      <c r="N938" s="38"/>
      <c r="O938" s="50"/>
      <c r="P938" s="218"/>
      <c r="Q938" s="50"/>
      <c r="R938" s="50"/>
      <c r="S938" s="38"/>
      <c r="T938" s="51"/>
      <c r="U938" s="65"/>
      <c r="V938" s="105"/>
      <c r="W938" s="66"/>
      <c r="X938" s="66"/>
      <c r="Y938" s="38"/>
      <c r="Z938" s="66">
        <f t="shared" si="315"/>
        <v>0</v>
      </c>
      <c r="AC938" s="41" t="e">
        <f>VLOOKUP(A938,'Input Sheet'!$A$2:$B$232,2,0)</f>
        <v>#N/A</v>
      </c>
      <c r="AD938" s="70"/>
    </row>
    <row r="939" spans="1:30" x14ac:dyDescent="0.2">
      <c r="A939" s="38" t="str">
        <f t="shared" si="316"/>
        <v xml:space="preserve"> </v>
      </c>
      <c r="B939" s="108"/>
      <c r="C939" s="38"/>
      <c r="D939" s="137"/>
      <c r="E939" s="137"/>
      <c r="F939" s="137"/>
      <c r="G939" s="122"/>
      <c r="H939" s="137"/>
      <c r="I939" s="50"/>
      <c r="J939" s="50"/>
      <c r="K939" s="50"/>
      <c r="L939" s="38"/>
      <c r="M939" s="38"/>
      <c r="N939" s="38"/>
      <c r="O939" s="50"/>
      <c r="P939" s="218"/>
      <c r="Q939" s="50"/>
      <c r="R939" s="50"/>
      <c r="S939" s="38"/>
      <c r="T939" s="51"/>
      <c r="U939" s="65"/>
      <c r="V939" s="105"/>
      <c r="W939" s="66"/>
      <c r="X939" s="66"/>
      <c r="Y939" s="38"/>
      <c r="Z939" s="66">
        <f t="shared" si="315"/>
        <v>0</v>
      </c>
      <c r="AC939" s="41" t="e">
        <f>VLOOKUP(A939,'Input Sheet'!$A$2:$B$232,2,0)</f>
        <v>#N/A</v>
      </c>
      <c r="AD939" s="70"/>
    </row>
    <row r="940" spans="1:30" x14ac:dyDescent="0.2">
      <c r="A940" s="38" t="str">
        <f t="shared" si="316"/>
        <v xml:space="preserve"> </v>
      </c>
      <c r="B940" s="108"/>
      <c r="C940" s="38"/>
      <c r="D940" s="137"/>
      <c r="E940" s="137"/>
      <c r="F940" s="137"/>
      <c r="G940" s="122"/>
      <c r="H940" s="137"/>
      <c r="I940" s="50"/>
      <c r="J940" s="50"/>
      <c r="K940" s="50"/>
      <c r="L940" s="38"/>
      <c r="M940" s="38"/>
      <c r="N940" s="38"/>
      <c r="O940" s="50"/>
      <c r="P940" s="218"/>
      <c r="Q940" s="50"/>
      <c r="R940" s="50"/>
      <c r="S940" s="38"/>
      <c r="T940" s="51"/>
      <c r="U940" s="65"/>
      <c r="V940" s="105"/>
      <c r="W940" s="66"/>
      <c r="X940" s="66"/>
      <c r="Y940" s="38"/>
      <c r="Z940" s="66">
        <f t="shared" si="315"/>
        <v>0</v>
      </c>
      <c r="AC940" s="41" t="e">
        <f>VLOOKUP(A940,'Input Sheet'!$A$2:$B$232,2,0)</f>
        <v>#N/A</v>
      </c>
      <c r="AD940" s="70"/>
    </row>
    <row r="941" spans="1:30" x14ac:dyDescent="0.2">
      <c r="A941" s="38" t="str">
        <f t="shared" si="316"/>
        <v xml:space="preserve"> </v>
      </c>
      <c r="B941" s="108"/>
      <c r="C941" s="38"/>
      <c r="D941" s="137"/>
      <c r="E941" s="137"/>
      <c r="F941" s="137"/>
      <c r="G941" s="122"/>
      <c r="H941" s="137"/>
      <c r="I941" s="50"/>
      <c r="J941" s="50"/>
      <c r="K941" s="50"/>
      <c r="L941" s="38"/>
      <c r="M941" s="38"/>
      <c r="N941" s="38"/>
      <c r="O941" s="50"/>
      <c r="P941" s="218"/>
      <c r="Q941" s="50"/>
      <c r="R941" s="50"/>
      <c r="S941" s="38"/>
      <c r="T941" s="51"/>
      <c r="U941" s="65"/>
      <c r="V941" s="105"/>
      <c r="W941" s="66"/>
      <c r="X941" s="66"/>
      <c r="Y941" s="38"/>
      <c r="Z941" s="66">
        <f t="shared" si="315"/>
        <v>0</v>
      </c>
      <c r="AC941" s="41" t="e">
        <f>VLOOKUP(A941,'Input Sheet'!$A$2:$B$232,2,0)</f>
        <v>#N/A</v>
      </c>
      <c r="AD941" s="70"/>
    </row>
    <row r="942" spans="1:30" x14ac:dyDescent="0.2">
      <c r="A942" s="38" t="str">
        <f t="shared" si="316"/>
        <v xml:space="preserve"> </v>
      </c>
      <c r="B942" s="108"/>
      <c r="C942" s="38"/>
      <c r="D942" s="137"/>
      <c r="E942" s="137"/>
      <c r="F942" s="137"/>
      <c r="G942" s="122"/>
      <c r="H942" s="137"/>
      <c r="I942" s="50"/>
      <c r="J942" s="50"/>
      <c r="K942" s="50"/>
      <c r="L942" s="38"/>
      <c r="M942" s="38"/>
      <c r="N942" s="38"/>
      <c r="O942" s="50"/>
      <c r="P942" s="218"/>
      <c r="Q942" s="50"/>
      <c r="R942" s="50"/>
      <c r="S942" s="38"/>
      <c r="T942" s="51"/>
      <c r="U942" s="65"/>
      <c r="V942" s="105"/>
      <c r="W942" s="66"/>
      <c r="X942" s="66"/>
      <c r="Y942" s="38"/>
      <c r="Z942" s="66">
        <f t="shared" si="315"/>
        <v>0</v>
      </c>
      <c r="AC942" s="41" t="e">
        <f>VLOOKUP(A942,'Input Sheet'!$A$2:$B$232,2,0)</f>
        <v>#N/A</v>
      </c>
      <c r="AD942" s="70"/>
    </row>
    <row r="943" spans="1:30" x14ac:dyDescent="0.2">
      <c r="A943" s="38" t="str">
        <f t="shared" si="316"/>
        <v xml:space="preserve"> </v>
      </c>
      <c r="B943" s="108"/>
      <c r="C943" s="38"/>
      <c r="D943" s="137"/>
      <c r="E943" s="137"/>
      <c r="F943" s="137"/>
      <c r="G943" s="122"/>
      <c r="H943" s="137"/>
      <c r="I943" s="50"/>
      <c r="J943" s="50"/>
      <c r="K943" s="50"/>
      <c r="L943" s="38"/>
      <c r="M943" s="38"/>
      <c r="N943" s="38"/>
      <c r="O943" s="50"/>
      <c r="P943" s="218"/>
      <c r="Q943" s="50"/>
      <c r="R943" s="50"/>
      <c r="S943" s="38"/>
      <c r="T943" s="51"/>
      <c r="U943" s="65"/>
      <c r="V943" s="105"/>
      <c r="W943" s="66"/>
      <c r="X943" s="66"/>
      <c r="Y943" s="38"/>
      <c r="Z943" s="66">
        <f t="shared" si="315"/>
        <v>0</v>
      </c>
      <c r="AC943" s="41" t="e">
        <f>VLOOKUP(A943,'Input Sheet'!$A$2:$B$232,2,0)</f>
        <v>#N/A</v>
      </c>
      <c r="AD943" s="70"/>
    </row>
    <row r="944" spans="1:30" x14ac:dyDescent="0.2">
      <c r="A944" s="38" t="str">
        <f t="shared" si="316"/>
        <v xml:space="preserve"> </v>
      </c>
      <c r="B944" s="108"/>
      <c r="C944" s="38"/>
      <c r="D944" s="137"/>
      <c r="E944" s="137"/>
      <c r="F944" s="137"/>
      <c r="G944" s="122"/>
      <c r="H944" s="137"/>
      <c r="I944" s="50"/>
      <c r="J944" s="50"/>
      <c r="K944" s="50"/>
      <c r="L944" s="38"/>
      <c r="M944" s="38"/>
      <c r="N944" s="38"/>
      <c r="O944" s="50"/>
      <c r="P944" s="218"/>
      <c r="Q944" s="50"/>
      <c r="R944" s="50"/>
      <c r="S944" s="38"/>
      <c r="T944" s="51"/>
      <c r="U944" s="65"/>
      <c r="V944" s="105"/>
      <c r="W944" s="66"/>
      <c r="X944" s="66"/>
      <c r="Y944" s="38"/>
      <c r="Z944" s="66">
        <f t="shared" si="315"/>
        <v>0</v>
      </c>
      <c r="AC944" s="41" t="e">
        <f>VLOOKUP(A944,'Input Sheet'!$A$2:$B$232,2,0)</f>
        <v>#N/A</v>
      </c>
      <c r="AD944" s="70"/>
    </row>
    <row r="945" spans="1:30" x14ac:dyDescent="0.2">
      <c r="A945" s="38" t="str">
        <f t="shared" si="316"/>
        <v xml:space="preserve"> </v>
      </c>
      <c r="B945" s="108"/>
      <c r="C945" s="38"/>
      <c r="D945" s="137"/>
      <c r="E945" s="137"/>
      <c r="F945" s="137"/>
      <c r="G945" s="122"/>
      <c r="H945" s="137"/>
      <c r="I945" s="50"/>
      <c r="J945" s="50"/>
      <c r="K945" s="50"/>
      <c r="L945" s="38"/>
      <c r="M945" s="38"/>
      <c r="N945" s="38"/>
      <c r="O945" s="50"/>
      <c r="P945" s="218"/>
      <c r="Q945" s="50"/>
      <c r="R945" s="50"/>
      <c r="S945" s="38"/>
      <c r="T945" s="51"/>
      <c r="U945" s="65"/>
      <c r="V945" s="105"/>
      <c r="W945" s="66"/>
      <c r="X945" s="66"/>
      <c r="Y945" s="38"/>
      <c r="Z945" s="66">
        <f t="shared" si="315"/>
        <v>0</v>
      </c>
      <c r="AC945" s="41" t="e">
        <f>VLOOKUP(A945,'Input Sheet'!$A$2:$B$232,2,0)</f>
        <v>#N/A</v>
      </c>
      <c r="AD945" s="70"/>
    </row>
    <row r="946" spans="1:30" x14ac:dyDescent="0.2">
      <c r="A946" s="38" t="str">
        <f t="shared" si="316"/>
        <v xml:space="preserve"> </v>
      </c>
      <c r="B946" s="108"/>
      <c r="C946" s="38"/>
      <c r="D946" s="137"/>
      <c r="E946" s="137"/>
      <c r="F946" s="137"/>
      <c r="G946" s="122"/>
      <c r="H946" s="137"/>
      <c r="I946" s="50"/>
      <c r="J946" s="50"/>
      <c r="K946" s="50"/>
      <c r="L946" s="38"/>
      <c r="M946" s="38"/>
      <c r="N946" s="38"/>
      <c r="O946" s="50"/>
      <c r="P946" s="218"/>
      <c r="Q946" s="50"/>
      <c r="R946" s="50"/>
      <c r="S946" s="38"/>
      <c r="T946" s="51"/>
      <c r="U946" s="65"/>
      <c r="V946" s="105"/>
      <c r="W946" s="66"/>
      <c r="X946" s="66"/>
      <c r="Y946" s="38"/>
      <c r="Z946" s="66">
        <f t="shared" si="315"/>
        <v>0</v>
      </c>
      <c r="AC946" s="41" t="e">
        <f>VLOOKUP(A946,'Input Sheet'!$A$2:$B$232,2,0)</f>
        <v>#N/A</v>
      </c>
      <c r="AD946" s="70"/>
    </row>
    <row r="947" spans="1:30" x14ac:dyDescent="0.2">
      <c r="A947" s="38" t="str">
        <f t="shared" si="316"/>
        <v xml:space="preserve"> </v>
      </c>
      <c r="B947" s="108"/>
      <c r="C947" s="38"/>
      <c r="D947" s="137"/>
      <c r="E947" s="137"/>
      <c r="F947" s="137"/>
      <c r="G947" s="122"/>
      <c r="H947" s="137"/>
      <c r="I947" s="50"/>
      <c r="J947" s="50"/>
      <c r="K947" s="50"/>
      <c r="L947" s="38"/>
      <c r="M947" s="38"/>
      <c r="N947" s="38"/>
      <c r="O947" s="50"/>
      <c r="P947" s="218"/>
      <c r="Q947" s="50"/>
      <c r="R947" s="50"/>
      <c r="S947" s="38"/>
      <c r="T947" s="51"/>
      <c r="U947" s="65"/>
      <c r="V947" s="105"/>
      <c r="W947" s="66"/>
      <c r="X947" s="66"/>
      <c r="Y947" s="38"/>
      <c r="Z947" s="66">
        <f t="shared" si="315"/>
        <v>0</v>
      </c>
      <c r="AC947" s="41" t="e">
        <f>VLOOKUP(A947,'Input Sheet'!$A$2:$B$232,2,0)</f>
        <v>#N/A</v>
      </c>
      <c r="AD947" s="70"/>
    </row>
    <row r="948" spans="1:30" x14ac:dyDescent="0.2">
      <c r="A948" s="38" t="str">
        <f t="shared" si="316"/>
        <v xml:space="preserve"> </v>
      </c>
      <c r="B948" s="108"/>
      <c r="C948" s="38"/>
      <c r="D948" s="137"/>
      <c r="E948" s="137"/>
      <c r="F948" s="137"/>
      <c r="G948" s="122"/>
      <c r="H948" s="137"/>
      <c r="I948" s="50"/>
      <c r="J948" s="50"/>
      <c r="K948" s="50"/>
      <c r="L948" s="38"/>
      <c r="M948" s="38"/>
      <c r="N948" s="38"/>
      <c r="O948" s="50"/>
      <c r="P948" s="218"/>
      <c r="Q948" s="50"/>
      <c r="R948" s="50"/>
      <c r="S948" s="38"/>
      <c r="T948" s="51"/>
      <c r="U948" s="65"/>
      <c r="V948" s="105"/>
      <c r="W948" s="66"/>
      <c r="X948" s="66"/>
      <c r="Y948" s="38"/>
      <c r="Z948" s="66">
        <f t="shared" si="315"/>
        <v>0</v>
      </c>
      <c r="AC948" s="41" t="e">
        <f>VLOOKUP(A948,'Input Sheet'!$A$2:$B$232,2,0)</f>
        <v>#N/A</v>
      </c>
      <c r="AD948" s="70"/>
    </row>
    <row r="949" spans="1:30" x14ac:dyDescent="0.2">
      <c r="A949" s="38" t="str">
        <f t="shared" si="316"/>
        <v xml:space="preserve"> </v>
      </c>
      <c r="B949" s="108"/>
      <c r="C949" s="38"/>
      <c r="D949" s="137"/>
      <c r="E949" s="137"/>
      <c r="F949" s="137"/>
      <c r="G949" s="122"/>
      <c r="H949" s="137"/>
      <c r="I949" s="50"/>
      <c r="J949" s="50"/>
      <c r="K949" s="50"/>
      <c r="L949" s="38"/>
      <c r="M949" s="38"/>
      <c r="N949" s="38"/>
      <c r="O949" s="50"/>
      <c r="P949" s="218"/>
      <c r="Q949" s="50"/>
      <c r="R949" s="50"/>
      <c r="S949" s="38"/>
      <c r="T949" s="51"/>
      <c r="U949" s="65"/>
      <c r="V949" s="105"/>
      <c r="W949" s="66"/>
      <c r="X949" s="66"/>
      <c r="Y949" s="38"/>
      <c r="Z949" s="66">
        <f t="shared" si="315"/>
        <v>0</v>
      </c>
      <c r="AC949" s="41" t="e">
        <f>VLOOKUP(A949,'Input Sheet'!$A$2:$B$232,2,0)</f>
        <v>#N/A</v>
      </c>
      <c r="AD949" s="70"/>
    </row>
    <row r="950" spans="1:30" x14ac:dyDescent="0.2">
      <c r="A950" s="38" t="str">
        <f t="shared" si="316"/>
        <v xml:space="preserve"> </v>
      </c>
      <c r="B950" s="108"/>
      <c r="C950" s="38"/>
      <c r="D950" s="137"/>
      <c r="E950" s="137"/>
      <c r="F950" s="137"/>
      <c r="G950" s="122"/>
      <c r="H950" s="137"/>
      <c r="I950" s="50"/>
      <c r="J950" s="50"/>
      <c r="K950" s="50"/>
      <c r="L950" s="38"/>
      <c r="M950" s="38"/>
      <c r="N950" s="38"/>
      <c r="O950" s="50"/>
      <c r="P950" s="218"/>
      <c r="Q950" s="50"/>
      <c r="R950" s="50"/>
      <c r="S950" s="38"/>
      <c r="T950" s="51"/>
      <c r="U950" s="65"/>
      <c r="V950" s="105"/>
      <c r="W950" s="66"/>
      <c r="X950" s="66"/>
      <c r="Y950" s="38"/>
      <c r="Z950" s="66">
        <f t="shared" si="315"/>
        <v>0</v>
      </c>
      <c r="AC950" s="41" t="e">
        <f>VLOOKUP(A950,'Input Sheet'!$A$2:$B$232,2,0)</f>
        <v>#N/A</v>
      </c>
      <c r="AD950" s="70"/>
    </row>
    <row r="951" spans="1:30" x14ac:dyDescent="0.2">
      <c r="A951" s="38" t="str">
        <f t="shared" si="316"/>
        <v xml:space="preserve"> </v>
      </c>
      <c r="B951" s="108"/>
      <c r="C951" s="38"/>
      <c r="D951" s="137"/>
      <c r="E951" s="137"/>
      <c r="F951" s="137"/>
      <c r="G951" s="122"/>
      <c r="H951" s="137"/>
      <c r="I951" s="50"/>
      <c r="J951" s="50"/>
      <c r="K951" s="50"/>
      <c r="L951" s="38"/>
      <c r="M951" s="38"/>
      <c r="N951" s="38"/>
      <c r="O951" s="50"/>
      <c r="P951" s="218"/>
      <c r="Q951" s="50"/>
      <c r="R951" s="50"/>
      <c r="S951" s="38"/>
      <c r="T951" s="51"/>
      <c r="U951" s="65"/>
      <c r="V951" s="105"/>
      <c r="W951" s="66"/>
      <c r="X951" s="66"/>
      <c r="Y951" s="38"/>
      <c r="Z951" s="66">
        <f t="shared" si="315"/>
        <v>0</v>
      </c>
      <c r="AC951" s="41" t="e">
        <f>VLOOKUP(A951,'Input Sheet'!$A$2:$B$232,2,0)</f>
        <v>#N/A</v>
      </c>
      <c r="AD951" s="70"/>
    </row>
    <row r="952" spans="1:30" x14ac:dyDescent="0.2">
      <c r="A952" s="38" t="str">
        <f t="shared" si="316"/>
        <v xml:space="preserve"> </v>
      </c>
      <c r="B952" s="108"/>
      <c r="C952" s="38"/>
      <c r="D952" s="137"/>
      <c r="E952" s="137"/>
      <c r="F952" s="137"/>
      <c r="G952" s="122"/>
      <c r="H952" s="137"/>
      <c r="I952" s="50"/>
      <c r="J952" s="50"/>
      <c r="K952" s="50"/>
      <c r="L952" s="38"/>
      <c r="M952" s="38"/>
      <c r="N952" s="38"/>
      <c r="O952" s="50"/>
      <c r="P952" s="218"/>
      <c r="Q952" s="50"/>
      <c r="R952" s="50"/>
      <c r="S952" s="38"/>
      <c r="T952" s="51"/>
      <c r="U952" s="65"/>
      <c r="V952" s="105"/>
      <c r="W952" s="66"/>
      <c r="X952" s="66"/>
      <c r="Y952" s="38"/>
      <c r="Z952" s="66">
        <f t="shared" si="315"/>
        <v>0</v>
      </c>
      <c r="AC952" s="41" t="e">
        <f>VLOOKUP(A952,'Input Sheet'!$A$2:$B$232,2,0)</f>
        <v>#N/A</v>
      </c>
      <c r="AD952" s="70"/>
    </row>
    <row r="953" spans="1:30" x14ac:dyDescent="0.2">
      <c r="A953" s="38" t="str">
        <f t="shared" si="316"/>
        <v xml:space="preserve"> </v>
      </c>
      <c r="B953" s="108"/>
      <c r="C953" s="38"/>
      <c r="D953" s="137"/>
      <c r="E953" s="137"/>
      <c r="F953" s="137"/>
      <c r="G953" s="122"/>
      <c r="H953" s="137"/>
      <c r="I953" s="50"/>
      <c r="J953" s="50"/>
      <c r="K953" s="50"/>
      <c r="L953" s="38"/>
      <c r="M953" s="38"/>
      <c r="N953" s="38"/>
      <c r="O953" s="50"/>
      <c r="P953" s="218"/>
      <c r="Q953" s="50"/>
      <c r="R953" s="50"/>
      <c r="S953" s="38"/>
      <c r="T953" s="51"/>
      <c r="U953" s="65"/>
      <c r="V953" s="105"/>
      <c r="W953" s="66"/>
      <c r="X953" s="66"/>
      <c r="Y953" s="38"/>
      <c r="Z953" s="66">
        <f t="shared" si="315"/>
        <v>0</v>
      </c>
      <c r="AC953" s="41" t="e">
        <f>VLOOKUP(A953,'Input Sheet'!$A$2:$B$232,2,0)</f>
        <v>#N/A</v>
      </c>
      <c r="AD953" s="70"/>
    </row>
    <row r="954" spans="1:30" x14ac:dyDescent="0.2">
      <c r="A954" s="38" t="str">
        <f t="shared" si="316"/>
        <v xml:space="preserve"> </v>
      </c>
      <c r="B954" s="108"/>
      <c r="C954" s="38"/>
      <c r="D954" s="137"/>
      <c r="E954" s="137"/>
      <c r="F954" s="137"/>
      <c r="G954" s="122"/>
      <c r="H954" s="137"/>
      <c r="I954" s="50"/>
      <c r="J954" s="50"/>
      <c r="K954" s="50"/>
      <c r="L954" s="38"/>
      <c r="M954" s="38"/>
      <c r="N954" s="38"/>
      <c r="O954" s="50"/>
      <c r="P954" s="218"/>
      <c r="Q954" s="50"/>
      <c r="R954" s="50"/>
      <c r="S954" s="38"/>
      <c r="T954" s="51"/>
      <c r="U954" s="65"/>
      <c r="V954" s="105"/>
      <c r="W954" s="66"/>
      <c r="X954" s="66"/>
      <c r="Y954" s="38"/>
      <c r="Z954" s="66">
        <f t="shared" si="315"/>
        <v>0</v>
      </c>
      <c r="AC954" s="41" t="e">
        <f>VLOOKUP(A954,'Input Sheet'!$A$2:$B$232,2,0)</f>
        <v>#N/A</v>
      </c>
      <c r="AD954" s="70"/>
    </row>
    <row r="955" spans="1:30" x14ac:dyDescent="0.2">
      <c r="A955" s="38" t="str">
        <f t="shared" si="316"/>
        <v xml:space="preserve"> </v>
      </c>
      <c r="B955" s="108"/>
      <c r="C955" s="38"/>
      <c r="D955" s="137"/>
      <c r="E955" s="137"/>
      <c r="F955" s="137"/>
      <c r="G955" s="122"/>
      <c r="H955" s="137"/>
      <c r="I955" s="50"/>
      <c r="J955" s="50"/>
      <c r="K955" s="50"/>
      <c r="L955" s="38"/>
      <c r="M955" s="38"/>
      <c r="N955" s="38"/>
      <c r="O955" s="50"/>
      <c r="P955" s="218"/>
      <c r="Q955" s="50"/>
      <c r="R955" s="50"/>
      <c r="S955" s="38"/>
      <c r="T955" s="51"/>
      <c r="U955" s="65"/>
      <c r="V955" s="105"/>
      <c r="W955" s="66"/>
      <c r="X955" s="66"/>
      <c r="Y955" s="38"/>
      <c r="Z955" s="66">
        <f t="shared" si="315"/>
        <v>0</v>
      </c>
      <c r="AC955" s="41" t="e">
        <f>VLOOKUP(A955,'Input Sheet'!$A$2:$B$232,2,0)</f>
        <v>#N/A</v>
      </c>
      <c r="AD955" s="70"/>
    </row>
    <row r="956" spans="1:30" x14ac:dyDescent="0.2">
      <c r="A956" s="38" t="str">
        <f t="shared" si="316"/>
        <v xml:space="preserve"> </v>
      </c>
      <c r="B956" s="108"/>
      <c r="C956" s="38"/>
      <c r="D956" s="137"/>
      <c r="E956" s="137"/>
      <c r="F956" s="137"/>
      <c r="G956" s="122"/>
      <c r="H956" s="137"/>
      <c r="I956" s="50"/>
      <c r="J956" s="50"/>
      <c r="K956" s="50"/>
      <c r="L956" s="38"/>
      <c r="M956" s="38"/>
      <c r="N956" s="38"/>
      <c r="O956" s="50"/>
      <c r="P956" s="218"/>
      <c r="Q956" s="50"/>
      <c r="R956" s="50"/>
      <c r="S956" s="38"/>
      <c r="T956" s="51"/>
      <c r="U956" s="65"/>
      <c r="V956" s="105"/>
      <c r="W956" s="66"/>
      <c r="X956" s="66"/>
      <c r="Y956" s="38"/>
      <c r="Z956" s="66">
        <f t="shared" si="315"/>
        <v>0</v>
      </c>
      <c r="AC956" s="41" t="e">
        <f>VLOOKUP(A956,'Input Sheet'!$A$2:$B$232,2,0)</f>
        <v>#N/A</v>
      </c>
      <c r="AD956" s="70"/>
    </row>
    <row r="957" spans="1:30" x14ac:dyDescent="0.2">
      <c r="A957" s="38" t="str">
        <f t="shared" si="316"/>
        <v xml:space="preserve"> </v>
      </c>
      <c r="B957" s="108"/>
      <c r="C957" s="38"/>
      <c r="D957" s="137"/>
      <c r="E957" s="137"/>
      <c r="F957" s="137"/>
      <c r="G957" s="122"/>
      <c r="H957" s="137"/>
      <c r="I957" s="50"/>
      <c r="J957" s="50"/>
      <c r="K957" s="50"/>
      <c r="L957" s="38"/>
      <c r="M957" s="38"/>
      <c r="N957" s="38"/>
      <c r="O957" s="50"/>
      <c r="P957" s="218"/>
      <c r="Q957" s="50"/>
      <c r="R957" s="50"/>
      <c r="S957" s="38"/>
      <c r="T957" s="51"/>
      <c r="U957" s="65"/>
      <c r="V957" s="105"/>
      <c r="W957" s="66"/>
      <c r="X957" s="66"/>
      <c r="Y957" s="38"/>
      <c r="Z957" s="66">
        <f t="shared" si="315"/>
        <v>0</v>
      </c>
      <c r="AC957" s="41" t="e">
        <f>VLOOKUP(A957,'Input Sheet'!$A$2:$B$232,2,0)</f>
        <v>#N/A</v>
      </c>
      <c r="AD957" s="70"/>
    </row>
    <row r="958" spans="1:30" x14ac:dyDescent="0.2">
      <c r="A958" s="38" t="str">
        <f t="shared" si="316"/>
        <v xml:space="preserve"> </v>
      </c>
      <c r="B958" s="108"/>
      <c r="C958" s="38"/>
      <c r="D958" s="137"/>
      <c r="E958" s="137"/>
      <c r="F958" s="137"/>
      <c r="G958" s="122"/>
      <c r="H958" s="137"/>
      <c r="I958" s="50"/>
      <c r="J958" s="50"/>
      <c r="K958" s="50"/>
      <c r="L958" s="38"/>
      <c r="M958" s="38"/>
      <c r="N958" s="38"/>
      <c r="O958" s="50"/>
      <c r="P958" s="218"/>
      <c r="Q958" s="50"/>
      <c r="R958" s="50"/>
      <c r="S958" s="38"/>
      <c r="T958" s="51"/>
      <c r="U958" s="65"/>
      <c r="V958" s="105"/>
      <c r="W958" s="66"/>
      <c r="X958" s="66"/>
      <c r="Y958" s="38"/>
      <c r="Z958" s="66">
        <f t="shared" si="315"/>
        <v>0</v>
      </c>
      <c r="AC958" s="41" t="e">
        <f>VLOOKUP(A958,'Input Sheet'!$A$2:$B$232,2,0)</f>
        <v>#N/A</v>
      </c>
      <c r="AD958" s="70"/>
    </row>
    <row r="959" spans="1:30" x14ac:dyDescent="0.2">
      <c r="A959" s="38" t="str">
        <f t="shared" si="316"/>
        <v xml:space="preserve"> </v>
      </c>
      <c r="B959" s="108"/>
      <c r="C959" s="38"/>
      <c r="D959" s="137"/>
      <c r="E959" s="137"/>
      <c r="F959" s="137"/>
      <c r="G959" s="122"/>
      <c r="H959" s="137"/>
      <c r="I959" s="50"/>
      <c r="J959" s="50"/>
      <c r="K959" s="50"/>
      <c r="L959" s="38"/>
      <c r="M959" s="38"/>
      <c r="N959" s="38"/>
      <c r="O959" s="50"/>
      <c r="P959" s="218"/>
      <c r="Q959" s="50"/>
      <c r="R959" s="50"/>
      <c r="S959" s="38"/>
      <c r="T959" s="51"/>
      <c r="U959" s="65"/>
      <c r="V959" s="105"/>
      <c r="W959" s="66"/>
      <c r="X959" s="66"/>
      <c r="Y959" s="38"/>
      <c r="Z959" s="66">
        <f t="shared" si="315"/>
        <v>0</v>
      </c>
      <c r="AC959" s="41" t="e">
        <f>VLOOKUP(A959,'Input Sheet'!$A$2:$B$232,2,0)</f>
        <v>#N/A</v>
      </c>
      <c r="AD959" s="70"/>
    </row>
    <row r="960" spans="1:30" x14ac:dyDescent="0.2">
      <c r="A960" s="38" t="str">
        <f t="shared" si="316"/>
        <v xml:space="preserve"> </v>
      </c>
      <c r="B960" s="108"/>
      <c r="C960" s="38"/>
      <c r="D960" s="137"/>
      <c r="E960" s="137"/>
      <c r="F960" s="137"/>
      <c r="G960" s="122"/>
      <c r="H960" s="137"/>
      <c r="I960" s="50"/>
      <c r="J960" s="50"/>
      <c r="K960" s="50"/>
      <c r="L960" s="38"/>
      <c r="M960" s="38"/>
      <c r="N960" s="38"/>
      <c r="O960" s="50"/>
      <c r="P960" s="218"/>
      <c r="Q960" s="50"/>
      <c r="R960" s="50"/>
      <c r="S960" s="38"/>
      <c r="T960" s="51"/>
      <c r="U960" s="65"/>
      <c r="V960" s="105"/>
      <c r="W960" s="66"/>
      <c r="X960" s="66"/>
      <c r="Y960" s="38"/>
      <c r="Z960" s="66">
        <f t="shared" si="315"/>
        <v>0</v>
      </c>
      <c r="AC960" s="41" t="e">
        <f>VLOOKUP(A960,'Input Sheet'!$A$2:$B$232,2,0)</f>
        <v>#N/A</v>
      </c>
      <c r="AD960" s="70"/>
    </row>
    <row r="961" spans="1:30" x14ac:dyDescent="0.2">
      <c r="A961" s="38" t="str">
        <f t="shared" si="316"/>
        <v xml:space="preserve"> </v>
      </c>
      <c r="B961" s="108"/>
      <c r="C961" s="38"/>
      <c r="D961" s="137"/>
      <c r="E961" s="137"/>
      <c r="F961" s="137"/>
      <c r="G961" s="122"/>
      <c r="H961" s="137"/>
      <c r="I961" s="50"/>
      <c r="J961" s="50"/>
      <c r="K961" s="50"/>
      <c r="L961" s="38"/>
      <c r="M961" s="38"/>
      <c r="N961" s="38"/>
      <c r="O961" s="50"/>
      <c r="P961" s="218"/>
      <c r="Q961" s="50"/>
      <c r="R961" s="50"/>
      <c r="S961" s="38"/>
      <c r="T961" s="51"/>
      <c r="U961" s="65"/>
      <c r="V961" s="105"/>
      <c r="W961" s="66"/>
      <c r="X961" s="66"/>
      <c r="Y961" s="38"/>
      <c r="Z961" s="66">
        <f t="shared" si="315"/>
        <v>0</v>
      </c>
      <c r="AC961" s="41" t="e">
        <f>VLOOKUP(A961,'Input Sheet'!$A$2:$B$232,2,0)</f>
        <v>#N/A</v>
      </c>
      <c r="AD961" s="70"/>
    </row>
    <row r="962" spans="1:30" x14ac:dyDescent="0.2">
      <c r="A962" s="38" t="str">
        <f t="shared" si="316"/>
        <v xml:space="preserve"> </v>
      </c>
      <c r="B962" s="108"/>
      <c r="C962" s="38"/>
      <c r="D962" s="137"/>
      <c r="E962" s="137"/>
      <c r="F962" s="137"/>
      <c r="G962" s="122"/>
      <c r="H962" s="137"/>
      <c r="I962" s="50"/>
      <c r="J962" s="50"/>
      <c r="K962" s="50"/>
      <c r="L962" s="38"/>
      <c r="M962" s="38"/>
      <c r="N962" s="38"/>
      <c r="O962" s="50"/>
      <c r="P962" s="218"/>
      <c r="Q962" s="50"/>
      <c r="R962" s="50"/>
      <c r="S962" s="38"/>
      <c r="T962" s="51"/>
      <c r="U962" s="65"/>
      <c r="V962" s="105"/>
      <c r="W962" s="66"/>
      <c r="X962" s="66"/>
      <c r="Y962" s="38"/>
      <c r="Z962" s="66">
        <f t="shared" si="315"/>
        <v>0</v>
      </c>
      <c r="AC962" s="41" t="e">
        <f>VLOOKUP(A962,'Input Sheet'!$A$2:$B$232,2,0)</f>
        <v>#N/A</v>
      </c>
      <c r="AD962" s="70"/>
    </row>
    <row r="963" spans="1:30" x14ac:dyDescent="0.2">
      <c r="A963" s="38" t="str">
        <f t="shared" si="316"/>
        <v xml:space="preserve"> </v>
      </c>
      <c r="B963" s="108"/>
      <c r="C963" s="38"/>
      <c r="D963" s="137"/>
      <c r="E963" s="137"/>
      <c r="F963" s="137"/>
      <c r="G963" s="122"/>
      <c r="H963" s="137"/>
      <c r="I963" s="50"/>
      <c r="J963" s="50"/>
      <c r="K963" s="50"/>
      <c r="L963" s="38"/>
      <c r="M963" s="38"/>
      <c r="N963" s="38"/>
      <c r="O963" s="50"/>
      <c r="P963" s="218"/>
      <c r="Q963" s="50"/>
      <c r="R963" s="50"/>
      <c r="S963" s="38"/>
      <c r="T963" s="51"/>
      <c r="U963" s="65"/>
      <c r="V963" s="105"/>
      <c r="W963" s="66"/>
      <c r="X963" s="66"/>
      <c r="Y963" s="38"/>
      <c r="Z963" s="66">
        <f t="shared" si="315"/>
        <v>0</v>
      </c>
      <c r="AC963" s="41" t="e">
        <f>VLOOKUP(A963,'Input Sheet'!$A$2:$B$232,2,0)</f>
        <v>#N/A</v>
      </c>
      <c r="AD963" s="70"/>
    </row>
    <row r="964" spans="1:30" x14ac:dyDescent="0.2">
      <c r="A964" s="38" t="str">
        <f t="shared" si="316"/>
        <v xml:space="preserve"> </v>
      </c>
      <c r="B964" s="108"/>
      <c r="C964" s="38"/>
      <c r="D964" s="137"/>
      <c r="E964" s="137"/>
      <c r="F964" s="137"/>
      <c r="G964" s="122"/>
      <c r="H964" s="137"/>
      <c r="I964" s="50"/>
      <c r="J964" s="50"/>
      <c r="K964" s="50"/>
      <c r="L964" s="38"/>
      <c r="M964" s="38"/>
      <c r="N964" s="38"/>
      <c r="O964" s="50"/>
      <c r="P964" s="218"/>
      <c r="Q964" s="50"/>
      <c r="R964" s="50"/>
      <c r="S964" s="38"/>
      <c r="T964" s="51"/>
      <c r="U964" s="65"/>
      <c r="V964" s="105"/>
      <c r="W964" s="66"/>
      <c r="X964" s="66"/>
      <c r="Y964" s="38"/>
      <c r="Z964" s="66">
        <f t="shared" si="315"/>
        <v>0</v>
      </c>
      <c r="AC964" s="41" t="e">
        <f>VLOOKUP(A964,'Input Sheet'!$A$2:$B$232,2,0)</f>
        <v>#N/A</v>
      </c>
      <c r="AD964" s="70"/>
    </row>
    <row r="965" spans="1:30" x14ac:dyDescent="0.2">
      <c r="A965" s="38" t="str">
        <f t="shared" si="316"/>
        <v xml:space="preserve"> </v>
      </c>
      <c r="B965" s="108"/>
      <c r="C965" s="38"/>
      <c r="D965" s="137"/>
      <c r="E965" s="137"/>
      <c r="F965" s="137"/>
      <c r="G965" s="122"/>
      <c r="H965" s="137"/>
      <c r="I965" s="50"/>
      <c r="J965" s="50"/>
      <c r="K965" s="50"/>
      <c r="L965" s="38"/>
      <c r="M965" s="38"/>
      <c r="N965" s="38"/>
      <c r="O965" s="50"/>
      <c r="P965" s="218"/>
      <c r="Q965" s="50"/>
      <c r="R965" s="50"/>
      <c r="S965" s="38"/>
      <c r="T965" s="51"/>
      <c r="U965" s="65"/>
      <c r="V965" s="105"/>
      <c r="W965" s="66"/>
      <c r="X965" s="66"/>
      <c r="Y965" s="38"/>
      <c r="Z965" s="66">
        <f t="shared" ref="Z965:Z1000" si="317">IF(Y965="Stage 1",X965,IF(Y965="Stage 2",W965,O965))</f>
        <v>0</v>
      </c>
      <c r="AC965" s="41" t="e">
        <f>VLOOKUP(A965,'Input Sheet'!$A$2:$B$232,2,0)</f>
        <v>#N/A</v>
      </c>
      <c r="AD965" s="70"/>
    </row>
    <row r="966" spans="1:30" x14ac:dyDescent="0.2">
      <c r="A966" s="38" t="str">
        <f t="shared" si="316"/>
        <v xml:space="preserve"> </v>
      </c>
      <c r="B966" s="108"/>
      <c r="C966" s="38"/>
      <c r="D966" s="137"/>
      <c r="E966" s="137"/>
      <c r="F966" s="137"/>
      <c r="G966" s="122"/>
      <c r="H966" s="137"/>
      <c r="I966" s="50"/>
      <c r="J966" s="50"/>
      <c r="K966" s="50"/>
      <c r="L966" s="38"/>
      <c r="M966" s="38"/>
      <c r="N966" s="38"/>
      <c r="O966" s="50"/>
      <c r="P966" s="218"/>
      <c r="Q966" s="50"/>
      <c r="R966" s="50"/>
      <c r="S966" s="38"/>
      <c r="T966" s="51"/>
      <c r="U966" s="65"/>
      <c r="V966" s="105"/>
      <c r="W966" s="66"/>
      <c r="X966" s="66"/>
      <c r="Y966" s="38"/>
      <c r="Z966" s="66">
        <f t="shared" si="317"/>
        <v>0</v>
      </c>
      <c r="AC966" s="41" t="e">
        <f>VLOOKUP(A966,'Input Sheet'!$A$2:$B$232,2,0)</f>
        <v>#N/A</v>
      </c>
      <c r="AD966" s="70"/>
    </row>
    <row r="967" spans="1:30" x14ac:dyDescent="0.2">
      <c r="A967" s="38" t="str">
        <f t="shared" si="316"/>
        <v xml:space="preserve"> </v>
      </c>
      <c r="B967" s="108"/>
      <c r="C967" s="38"/>
      <c r="D967" s="137"/>
      <c r="E967" s="137"/>
      <c r="F967" s="137"/>
      <c r="G967" s="122"/>
      <c r="H967" s="137"/>
      <c r="I967" s="50"/>
      <c r="J967" s="50"/>
      <c r="K967" s="50"/>
      <c r="L967" s="38"/>
      <c r="M967" s="38"/>
      <c r="N967" s="38"/>
      <c r="O967" s="50"/>
      <c r="P967" s="218"/>
      <c r="Q967" s="50"/>
      <c r="R967" s="50"/>
      <c r="S967" s="38"/>
      <c r="T967" s="51"/>
      <c r="U967" s="65"/>
      <c r="V967" s="105"/>
      <c r="W967" s="66"/>
      <c r="X967" s="66"/>
      <c r="Y967" s="38"/>
      <c r="Z967" s="66">
        <f t="shared" si="317"/>
        <v>0</v>
      </c>
      <c r="AC967" s="41" t="e">
        <f>VLOOKUP(A967,'Input Sheet'!$A$2:$B$232,2,0)</f>
        <v>#N/A</v>
      </c>
      <c r="AD967" s="70"/>
    </row>
    <row r="968" spans="1:30" x14ac:dyDescent="0.2">
      <c r="A968" s="38" t="str">
        <f t="shared" si="316"/>
        <v xml:space="preserve"> </v>
      </c>
      <c r="B968" s="108"/>
      <c r="C968" s="38"/>
      <c r="D968" s="137"/>
      <c r="E968" s="137"/>
      <c r="F968" s="137"/>
      <c r="G968" s="122"/>
      <c r="H968" s="137"/>
      <c r="I968" s="50"/>
      <c r="J968" s="50"/>
      <c r="K968" s="50"/>
      <c r="L968" s="38"/>
      <c r="M968" s="38"/>
      <c r="N968" s="38"/>
      <c r="O968" s="50"/>
      <c r="P968" s="218"/>
      <c r="Q968" s="50"/>
      <c r="R968" s="50"/>
      <c r="S968" s="38"/>
      <c r="T968" s="51"/>
      <c r="U968" s="65"/>
      <c r="V968" s="105"/>
      <c r="W968" s="66"/>
      <c r="X968" s="66"/>
      <c r="Y968" s="38"/>
      <c r="Z968" s="66">
        <f t="shared" si="317"/>
        <v>0</v>
      </c>
      <c r="AC968" s="41" t="e">
        <f>VLOOKUP(A968,'Input Sheet'!$A$2:$B$232,2,0)</f>
        <v>#N/A</v>
      </c>
      <c r="AD968" s="70"/>
    </row>
    <row r="969" spans="1:30" x14ac:dyDescent="0.2">
      <c r="A969" s="38" t="str">
        <f t="shared" si="316"/>
        <v xml:space="preserve"> </v>
      </c>
      <c r="B969" s="108"/>
      <c r="C969" s="38"/>
      <c r="D969" s="137"/>
      <c r="E969" s="137"/>
      <c r="F969" s="137"/>
      <c r="G969" s="122"/>
      <c r="H969" s="137"/>
      <c r="I969" s="50"/>
      <c r="J969" s="50"/>
      <c r="K969" s="50"/>
      <c r="L969" s="38"/>
      <c r="M969" s="38"/>
      <c r="N969" s="38"/>
      <c r="O969" s="50"/>
      <c r="P969" s="218"/>
      <c r="Q969" s="50"/>
      <c r="R969" s="50"/>
      <c r="S969" s="38"/>
      <c r="T969" s="51"/>
      <c r="U969" s="65"/>
      <c r="V969" s="105"/>
      <c r="W969" s="66"/>
      <c r="X969" s="66"/>
      <c r="Y969" s="38"/>
      <c r="Z969" s="66">
        <f t="shared" si="317"/>
        <v>0</v>
      </c>
      <c r="AC969" s="41" t="e">
        <f>VLOOKUP(A969,'Input Sheet'!$A$2:$B$232,2,0)</f>
        <v>#N/A</v>
      </c>
      <c r="AD969" s="70"/>
    </row>
    <row r="970" spans="1:30" x14ac:dyDescent="0.2">
      <c r="A970" s="38" t="str">
        <f t="shared" ref="A970:A1000" si="318">IF(B970=0," ",A969+1)</f>
        <v xml:space="preserve"> </v>
      </c>
      <c r="B970" s="108"/>
      <c r="C970" s="38"/>
      <c r="D970" s="137"/>
      <c r="E970" s="137"/>
      <c r="F970" s="137"/>
      <c r="G970" s="122"/>
      <c r="H970" s="137"/>
      <c r="I970" s="50"/>
      <c r="J970" s="50"/>
      <c r="K970" s="50"/>
      <c r="L970" s="38"/>
      <c r="M970" s="38"/>
      <c r="N970" s="38"/>
      <c r="O970" s="50"/>
      <c r="P970" s="218"/>
      <c r="Q970" s="50"/>
      <c r="R970" s="50"/>
      <c r="S970" s="38"/>
      <c r="T970" s="51"/>
      <c r="U970" s="65"/>
      <c r="V970" s="105"/>
      <c r="W970" s="66"/>
      <c r="X970" s="66"/>
      <c r="Y970" s="38"/>
      <c r="Z970" s="66">
        <f t="shared" si="317"/>
        <v>0</v>
      </c>
      <c r="AC970" s="41" t="e">
        <f>VLOOKUP(A970,'Input Sheet'!$A$2:$B$232,2,0)</f>
        <v>#N/A</v>
      </c>
      <c r="AD970" s="70"/>
    </row>
    <row r="971" spans="1:30" x14ac:dyDescent="0.2">
      <c r="A971" s="38" t="str">
        <f t="shared" si="318"/>
        <v xml:space="preserve"> </v>
      </c>
      <c r="B971" s="108"/>
      <c r="C971" s="38"/>
      <c r="D971" s="137"/>
      <c r="E971" s="137"/>
      <c r="F971" s="137"/>
      <c r="G971" s="122"/>
      <c r="H971" s="137"/>
      <c r="I971" s="50"/>
      <c r="J971" s="50"/>
      <c r="K971" s="50"/>
      <c r="L971" s="38"/>
      <c r="M971" s="38"/>
      <c r="N971" s="38"/>
      <c r="O971" s="50"/>
      <c r="P971" s="218"/>
      <c r="Q971" s="50"/>
      <c r="R971" s="50"/>
      <c r="S971" s="38"/>
      <c r="T971" s="51"/>
      <c r="U971" s="65"/>
      <c r="V971" s="105"/>
      <c r="W971" s="66"/>
      <c r="X971" s="66"/>
      <c r="Y971" s="38"/>
      <c r="Z971" s="66">
        <f t="shared" si="317"/>
        <v>0</v>
      </c>
      <c r="AC971" s="41" t="e">
        <f>VLOOKUP(A971,'Input Sheet'!$A$2:$B$232,2,0)</f>
        <v>#N/A</v>
      </c>
      <c r="AD971" s="70"/>
    </row>
    <row r="972" spans="1:30" x14ac:dyDescent="0.2">
      <c r="A972" s="38" t="str">
        <f t="shared" si="318"/>
        <v xml:space="preserve"> </v>
      </c>
      <c r="B972" s="108"/>
      <c r="C972" s="38"/>
      <c r="D972" s="137"/>
      <c r="E972" s="137"/>
      <c r="F972" s="137"/>
      <c r="G972" s="122"/>
      <c r="H972" s="137"/>
      <c r="I972" s="50"/>
      <c r="J972" s="50"/>
      <c r="K972" s="50"/>
      <c r="L972" s="38"/>
      <c r="M972" s="38"/>
      <c r="N972" s="38"/>
      <c r="O972" s="50"/>
      <c r="P972" s="218"/>
      <c r="Q972" s="50"/>
      <c r="R972" s="50"/>
      <c r="S972" s="38"/>
      <c r="T972" s="51"/>
      <c r="U972" s="65"/>
      <c r="V972" s="105"/>
      <c r="W972" s="66"/>
      <c r="X972" s="66"/>
      <c r="Y972" s="38"/>
      <c r="Z972" s="66">
        <f t="shared" si="317"/>
        <v>0</v>
      </c>
      <c r="AC972" s="41" t="e">
        <f>VLOOKUP(A972,'Input Sheet'!$A$2:$B$232,2,0)</f>
        <v>#N/A</v>
      </c>
      <c r="AD972" s="70"/>
    </row>
    <row r="973" spans="1:30" x14ac:dyDescent="0.2">
      <c r="A973" s="38" t="str">
        <f t="shared" si="318"/>
        <v xml:space="preserve"> </v>
      </c>
      <c r="B973" s="108"/>
      <c r="C973" s="38"/>
      <c r="D973" s="137"/>
      <c r="E973" s="137"/>
      <c r="F973" s="137"/>
      <c r="G973" s="122"/>
      <c r="H973" s="137"/>
      <c r="I973" s="50"/>
      <c r="J973" s="50"/>
      <c r="K973" s="50"/>
      <c r="L973" s="38"/>
      <c r="M973" s="38"/>
      <c r="N973" s="38"/>
      <c r="O973" s="50"/>
      <c r="P973" s="218"/>
      <c r="Q973" s="50"/>
      <c r="R973" s="50"/>
      <c r="S973" s="38"/>
      <c r="T973" s="51"/>
      <c r="U973" s="65"/>
      <c r="V973" s="105"/>
      <c r="W973" s="66"/>
      <c r="X973" s="66"/>
      <c r="Y973" s="38"/>
      <c r="Z973" s="66">
        <f t="shared" si="317"/>
        <v>0</v>
      </c>
      <c r="AC973" s="41" t="e">
        <f>VLOOKUP(A973,'Input Sheet'!$A$2:$B$232,2,0)</f>
        <v>#N/A</v>
      </c>
      <c r="AD973" s="70"/>
    </row>
    <row r="974" spans="1:30" x14ac:dyDescent="0.2">
      <c r="A974" s="38" t="str">
        <f t="shared" si="318"/>
        <v xml:space="preserve"> </v>
      </c>
      <c r="B974" s="108"/>
      <c r="C974" s="38"/>
      <c r="D974" s="137"/>
      <c r="E974" s="137"/>
      <c r="F974" s="137"/>
      <c r="G974" s="122"/>
      <c r="H974" s="137"/>
      <c r="I974" s="50"/>
      <c r="J974" s="50"/>
      <c r="K974" s="50"/>
      <c r="L974" s="38"/>
      <c r="M974" s="38"/>
      <c r="N974" s="38"/>
      <c r="O974" s="50"/>
      <c r="P974" s="218"/>
      <c r="Q974" s="50"/>
      <c r="R974" s="50"/>
      <c r="S974" s="38"/>
      <c r="T974" s="51"/>
      <c r="U974" s="65"/>
      <c r="V974" s="105"/>
      <c r="W974" s="66"/>
      <c r="X974" s="66"/>
      <c r="Y974" s="38"/>
      <c r="Z974" s="66">
        <f t="shared" si="317"/>
        <v>0</v>
      </c>
      <c r="AC974" s="41" t="e">
        <f>VLOOKUP(A974,'Input Sheet'!$A$2:$B$232,2,0)</f>
        <v>#N/A</v>
      </c>
      <c r="AD974" s="70"/>
    </row>
    <row r="975" spans="1:30" x14ac:dyDescent="0.2">
      <c r="A975" s="38" t="str">
        <f t="shared" si="318"/>
        <v xml:space="preserve"> </v>
      </c>
      <c r="B975" s="108"/>
      <c r="C975" s="38"/>
      <c r="D975" s="137"/>
      <c r="E975" s="137"/>
      <c r="F975" s="137"/>
      <c r="G975" s="122"/>
      <c r="H975" s="137"/>
      <c r="I975" s="50"/>
      <c r="J975" s="50"/>
      <c r="K975" s="50"/>
      <c r="L975" s="38"/>
      <c r="M975" s="38"/>
      <c r="N975" s="38"/>
      <c r="O975" s="50"/>
      <c r="P975" s="218"/>
      <c r="Q975" s="50"/>
      <c r="R975" s="50"/>
      <c r="S975" s="38"/>
      <c r="T975" s="51"/>
      <c r="U975" s="65"/>
      <c r="V975" s="105"/>
      <c r="W975" s="66"/>
      <c r="X975" s="66"/>
      <c r="Y975" s="38"/>
      <c r="Z975" s="66">
        <f t="shared" si="317"/>
        <v>0</v>
      </c>
      <c r="AC975" s="41" t="e">
        <f>VLOOKUP(A975,'Input Sheet'!$A$2:$B$232,2,0)</f>
        <v>#N/A</v>
      </c>
      <c r="AD975" s="70"/>
    </row>
    <row r="976" spans="1:30" x14ac:dyDescent="0.2">
      <c r="A976" s="38" t="str">
        <f t="shared" si="318"/>
        <v xml:space="preserve"> </v>
      </c>
      <c r="B976" s="108"/>
      <c r="C976" s="38"/>
      <c r="D976" s="137"/>
      <c r="E976" s="137"/>
      <c r="F976" s="137"/>
      <c r="G976" s="122"/>
      <c r="H976" s="137"/>
      <c r="I976" s="50"/>
      <c r="J976" s="50"/>
      <c r="K976" s="50"/>
      <c r="L976" s="38"/>
      <c r="M976" s="38"/>
      <c r="N976" s="38"/>
      <c r="O976" s="50"/>
      <c r="P976" s="218"/>
      <c r="Q976" s="50"/>
      <c r="R976" s="50"/>
      <c r="S976" s="38"/>
      <c r="T976" s="51"/>
      <c r="U976" s="65"/>
      <c r="V976" s="105"/>
      <c r="W976" s="66"/>
      <c r="X976" s="66"/>
      <c r="Y976" s="38"/>
      <c r="Z976" s="66">
        <f t="shared" si="317"/>
        <v>0</v>
      </c>
      <c r="AC976" s="41" t="e">
        <f>VLOOKUP(A976,'Input Sheet'!$A$2:$B$232,2,0)</f>
        <v>#N/A</v>
      </c>
      <c r="AD976" s="70"/>
    </row>
    <row r="977" spans="1:30" x14ac:dyDescent="0.2">
      <c r="A977" s="38" t="str">
        <f t="shared" si="318"/>
        <v xml:space="preserve"> </v>
      </c>
      <c r="B977" s="108"/>
      <c r="C977" s="38"/>
      <c r="D977" s="137"/>
      <c r="E977" s="137"/>
      <c r="F977" s="137"/>
      <c r="G977" s="122"/>
      <c r="H977" s="137"/>
      <c r="I977" s="50"/>
      <c r="J977" s="50"/>
      <c r="K977" s="50"/>
      <c r="L977" s="38"/>
      <c r="M977" s="38"/>
      <c r="N977" s="38"/>
      <c r="O977" s="50"/>
      <c r="P977" s="218"/>
      <c r="Q977" s="50"/>
      <c r="R977" s="50"/>
      <c r="S977" s="38"/>
      <c r="T977" s="51"/>
      <c r="U977" s="65"/>
      <c r="V977" s="105"/>
      <c r="W977" s="66"/>
      <c r="X977" s="66"/>
      <c r="Y977" s="38"/>
      <c r="Z977" s="66">
        <f t="shared" si="317"/>
        <v>0</v>
      </c>
      <c r="AC977" s="41" t="e">
        <f>VLOOKUP(A977,'Input Sheet'!$A$2:$B$232,2,0)</f>
        <v>#N/A</v>
      </c>
      <c r="AD977" s="70"/>
    </row>
    <row r="978" spans="1:30" x14ac:dyDescent="0.2">
      <c r="A978" s="38" t="str">
        <f t="shared" si="318"/>
        <v xml:space="preserve"> </v>
      </c>
      <c r="B978" s="108"/>
      <c r="C978" s="38"/>
      <c r="D978" s="137"/>
      <c r="E978" s="137"/>
      <c r="F978" s="137"/>
      <c r="G978" s="122"/>
      <c r="H978" s="137"/>
      <c r="I978" s="50"/>
      <c r="J978" s="50"/>
      <c r="K978" s="50"/>
      <c r="L978" s="38"/>
      <c r="M978" s="38"/>
      <c r="N978" s="38"/>
      <c r="O978" s="50"/>
      <c r="P978" s="218"/>
      <c r="Q978" s="50"/>
      <c r="R978" s="50"/>
      <c r="S978" s="38"/>
      <c r="T978" s="51"/>
      <c r="U978" s="65"/>
      <c r="V978" s="105"/>
      <c r="W978" s="66"/>
      <c r="X978" s="66"/>
      <c r="Y978" s="38"/>
      <c r="Z978" s="66">
        <f t="shared" si="317"/>
        <v>0</v>
      </c>
      <c r="AC978" s="41" t="e">
        <f>VLOOKUP(A978,'Input Sheet'!$A$2:$B$232,2,0)</f>
        <v>#N/A</v>
      </c>
      <c r="AD978" s="70"/>
    </row>
    <row r="979" spans="1:30" x14ac:dyDescent="0.2">
      <c r="A979" s="38" t="str">
        <f t="shared" si="318"/>
        <v xml:space="preserve"> </v>
      </c>
      <c r="B979" s="108"/>
      <c r="C979" s="38"/>
      <c r="D979" s="137"/>
      <c r="E979" s="137"/>
      <c r="F979" s="137"/>
      <c r="G979" s="122"/>
      <c r="H979" s="137"/>
      <c r="I979" s="50"/>
      <c r="J979" s="50"/>
      <c r="K979" s="50"/>
      <c r="L979" s="38"/>
      <c r="M979" s="38"/>
      <c r="N979" s="38"/>
      <c r="O979" s="50"/>
      <c r="P979" s="218"/>
      <c r="Q979" s="50"/>
      <c r="R979" s="50"/>
      <c r="S979" s="38"/>
      <c r="T979" s="51"/>
      <c r="U979" s="65"/>
      <c r="V979" s="105"/>
      <c r="W979" s="66"/>
      <c r="X979" s="66"/>
      <c r="Y979" s="38"/>
      <c r="Z979" s="66">
        <f t="shared" si="317"/>
        <v>0</v>
      </c>
      <c r="AC979" s="41" t="e">
        <f>VLOOKUP(A979,'Input Sheet'!$A$2:$B$232,2,0)</f>
        <v>#N/A</v>
      </c>
      <c r="AD979" s="70"/>
    </row>
    <row r="980" spans="1:30" x14ac:dyDescent="0.2">
      <c r="A980" s="38" t="str">
        <f t="shared" si="318"/>
        <v xml:space="preserve"> </v>
      </c>
      <c r="B980" s="108"/>
      <c r="C980" s="38"/>
      <c r="D980" s="137"/>
      <c r="E980" s="137"/>
      <c r="F980" s="137"/>
      <c r="G980" s="122"/>
      <c r="H980" s="137"/>
      <c r="I980" s="50"/>
      <c r="J980" s="50"/>
      <c r="K980" s="50"/>
      <c r="L980" s="38"/>
      <c r="M980" s="38"/>
      <c r="N980" s="38"/>
      <c r="O980" s="50"/>
      <c r="P980" s="218"/>
      <c r="Q980" s="50"/>
      <c r="R980" s="50"/>
      <c r="S980" s="38"/>
      <c r="T980" s="51"/>
      <c r="U980" s="65"/>
      <c r="V980" s="105"/>
      <c r="W980" s="66"/>
      <c r="X980" s="66"/>
      <c r="Y980" s="38"/>
      <c r="Z980" s="66">
        <f t="shared" si="317"/>
        <v>0</v>
      </c>
      <c r="AC980" s="41" t="e">
        <f>VLOOKUP(A980,'Input Sheet'!$A$2:$B$232,2,0)</f>
        <v>#N/A</v>
      </c>
      <c r="AD980" s="70"/>
    </row>
    <row r="981" spans="1:30" x14ac:dyDescent="0.2">
      <c r="A981" s="38" t="str">
        <f t="shared" si="318"/>
        <v xml:space="preserve"> </v>
      </c>
      <c r="B981" s="108"/>
      <c r="C981" s="38"/>
      <c r="D981" s="137"/>
      <c r="E981" s="137"/>
      <c r="F981" s="137"/>
      <c r="G981" s="122"/>
      <c r="H981" s="137"/>
      <c r="I981" s="50"/>
      <c r="J981" s="50"/>
      <c r="K981" s="50"/>
      <c r="L981" s="38"/>
      <c r="M981" s="38"/>
      <c r="N981" s="38"/>
      <c r="O981" s="50"/>
      <c r="P981" s="218"/>
      <c r="Q981" s="50"/>
      <c r="R981" s="50"/>
      <c r="S981" s="38"/>
      <c r="T981" s="51"/>
      <c r="U981" s="65"/>
      <c r="V981" s="105"/>
      <c r="W981" s="66"/>
      <c r="X981" s="66"/>
      <c r="Y981" s="38"/>
      <c r="Z981" s="66">
        <f t="shared" si="317"/>
        <v>0</v>
      </c>
      <c r="AC981" s="41" t="e">
        <f>VLOOKUP(A981,'Input Sheet'!$A$2:$B$232,2,0)</f>
        <v>#N/A</v>
      </c>
      <c r="AD981" s="70"/>
    </row>
    <row r="982" spans="1:30" x14ac:dyDescent="0.2">
      <c r="A982" s="38" t="str">
        <f t="shared" si="318"/>
        <v xml:space="preserve"> </v>
      </c>
      <c r="B982" s="108"/>
      <c r="C982" s="38"/>
      <c r="D982" s="137"/>
      <c r="E982" s="137"/>
      <c r="F982" s="137"/>
      <c r="G982" s="122"/>
      <c r="H982" s="137"/>
      <c r="I982" s="50"/>
      <c r="J982" s="50"/>
      <c r="K982" s="50"/>
      <c r="L982" s="38"/>
      <c r="M982" s="38"/>
      <c r="N982" s="38"/>
      <c r="O982" s="50"/>
      <c r="P982" s="218"/>
      <c r="Q982" s="50"/>
      <c r="R982" s="50"/>
      <c r="S982" s="38"/>
      <c r="T982" s="51"/>
      <c r="U982" s="65"/>
      <c r="V982" s="105"/>
      <c r="W982" s="66"/>
      <c r="X982" s="66"/>
      <c r="Y982" s="38"/>
      <c r="Z982" s="66">
        <f t="shared" si="317"/>
        <v>0</v>
      </c>
      <c r="AC982" s="41" t="e">
        <f>VLOOKUP(A982,'Input Sheet'!$A$2:$B$232,2,0)</f>
        <v>#N/A</v>
      </c>
      <c r="AD982" s="70"/>
    </row>
    <row r="983" spans="1:30" x14ac:dyDescent="0.2">
      <c r="A983" s="38" t="str">
        <f t="shared" si="318"/>
        <v xml:space="preserve"> </v>
      </c>
      <c r="B983" s="108"/>
      <c r="C983" s="38"/>
      <c r="D983" s="137"/>
      <c r="E983" s="137"/>
      <c r="F983" s="137"/>
      <c r="G983" s="122"/>
      <c r="H983" s="137"/>
      <c r="I983" s="50"/>
      <c r="J983" s="50"/>
      <c r="K983" s="50"/>
      <c r="L983" s="38"/>
      <c r="M983" s="38"/>
      <c r="N983" s="38"/>
      <c r="O983" s="50"/>
      <c r="P983" s="218"/>
      <c r="Q983" s="50"/>
      <c r="R983" s="50"/>
      <c r="S983" s="38"/>
      <c r="T983" s="51"/>
      <c r="U983" s="65"/>
      <c r="V983" s="105"/>
      <c r="W983" s="66"/>
      <c r="X983" s="66"/>
      <c r="Y983" s="38"/>
      <c r="Z983" s="66">
        <f t="shared" si="317"/>
        <v>0</v>
      </c>
      <c r="AC983" s="41" t="e">
        <f>VLOOKUP(A983,'Input Sheet'!$A$2:$B$232,2,0)</f>
        <v>#N/A</v>
      </c>
      <c r="AD983" s="70"/>
    </row>
    <row r="984" spans="1:30" x14ac:dyDescent="0.2">
      <c r="A984" s="38" t="str">
        <f t="shared" si="318"/>
        <v xml:space="preserve"> </v>
      </c>
      <c r="B984" s="108"/>
      <c r="C984" s="38"/>
      <c r="D984" s="137"/>
      <c r="E984" s="137"/>
      <c r="F984" s="137"/>
      <c r="G984" s="122"/>
      <c r="H984" s="137"/>
      <c r="I984" s="50"/>
      <c r="J984" s="50"/>
      <c r="K984" s="50"/>
      <c r="L984" s="38"/>
      <c r="M984" s="38"/>
      <c r="N984" s="38"/>
      <c r="O984" s="50"/>
      <c r="P984" s="218"/>
      <c r="Q984" s="50"/>
      <c r="R984" s="50"/>
      <c r="S984" s="38"/>
      <c r="T984" s="51"/>
      <c r="U984" s="65"/>
      <c r="V984" s="105"/>
      <c r="W984" s="66"/>
      <c r="X984" s="66"/>
      <c r="Y984" s="38"/>
      <c r="Z984" s="66">
        <f t="shared" si="317"/>
        <v>0</v>
      </c>
      <c r="AC984" s="41" t="e">
        <f>VLOOKUP(A984,'Input Sheet'!$A$2:$B$232,2,0)</f>
        <v>#N/A</v>
      </c>
      <c r="AD984" s="70"/>
    </row>
    <row r="985" spans="1:30" x14ac:dyDescent="0.2">
      <c r="A985" s="38" t="str">
        <f t="shared" si="318"/>
        <v xml:space="preserve"> </v>
      </c>
      <c r="B985" s="108"/>
      <c r="C985" s="38"/>
      <c r="D985" s="137"/>
      <c r="E985" s="137"/>
      <c r="F985" s="137"/>
      <c r="G985" s="122"/>
      <c r="H985" s="137"/>
      <c r="I985" s="50"/>
      <c r="J985" s="50"/>
      <c r="K985" s="50"/>
      <c r="L985" s="38"/>
      <c r="M985" s="38"/>
      <c r="N985" s="38"/>
      <c r="O985" s="50"/>
      <c r="P985" s="218"/>
      <c r="Q985" s="50"/>
      <c r="R985" s="50"/>
      <c r="S985" s="38"/>
      <c r="T985" s="51"/>
      <c r="U985" s="65"/>
      <c r="V985" s="105"/>
      <c r="W985" s="66"/>
      <c r="X985" s="66"/>
      <c r="Y985" s="38"/>
      <c r="Z985" s="66">
        <f t="shared" si="317"/>
        <v>0</v>
      </c>
      <c r="AC985" s="41" t="e">
        <f>VLOOKUP(A985,'Input Sheet'!$A$2:$B$232,2,0)</f>
        <v>#N/A</v>
      </c>
      <c r="AD985" s="70"/>
    </row>
    <row r="986" spans="1:30" x14ac:dyDescent="0.2">
      <c r="A986" s="38" t="str">
        <f t="shared" si="318"/>
        <v xml:space="preserve"> </v>
      </c>
      <c r="B986" s="108"/>
      <c r="C986" s="38"/>
      <c r="D986" s="137"/>
      <c r="E986" s="137"/>
      <c r="F986" s="137"/>
      <c r="G986" s="122"/>
      <c r="H986" s="137"/>
      <c r="I986" s="50"/>
      <c r="J986" s="50"/>
      <c r="K986" s="50"/>
      <c r="L986" s="38"/>
      <c r="M986" s="38"/>
      <c r="N986" s="38"/>
      <c r="O986" s="50"/>
      <c r="P986" s="218"/>
      <c r="Q986" s="50"/>
      <c r="R986" s="50"/>
      <c r="S986" s="38"/>
      <c r="T986" s="51"/>
      <c r="U986" s="65"/>
      <c r="V986" s="105"/>
      <c r="W986" s="66"/>
      <c r="X986" s="66"/>
      <c r="Y986" s="38"/>
      <c r="Z986" s="66">
        <f t="shared" si="317"/>
        <v>0</v>
      </c>
      <c r="AC986" s="41" t="e">
        <f>VLOOKUP(A986,'Input Sheet'!$A$2:$B$232,2,0)</f>
        <v>#N/A</v>
      </c>
      <c r="AD986" s="70"/>
    </row>
    <row r="987" spans="1:30" x14ac:dyDescent="0.2">
      <c r="A987" s="38" t="str">
        <f t="shared" si="318"/>
        <v xml:space="preserve"> </v>
      </c>
      <c r="B987" s="108"/>
      <c r="C987" s="38"/>
      <c r="D987" s="137"/>
      <c r="E987" s="137"/>
      <c r="F987" s="137"/>
      <c r="G987" s="122"/>
      <c r="H987" s="137"/>
      <c r="I987" s="50"/>
      <c r="J987" s="50"/>
      <c r="K987" s="50"/>
      <c r="L987" s="38"/>
      <c r="M987" s="38"/>
      <c r="N987" s="38"/>
      <c r="O987" s="50"/>
      <c r="P987" s="218"/>
      <c r="Q987" s="50"/>
      <c r="R987" s="50"/>
      <c r="S987" s="38"/>
      <c r="T987" s="51"/>
      <c r="U987" s="65"/>
      <c r="V987" s="105"/>
      <c r="W987" s="66"/>
      <c r="X987" s="66"/>
      <c r="Y987" s="38"/>
      <c r="Z987" s="66">
        <f t="shared" si="317"/>
        <v>0</v>
      </c>
      <c r="AC987" s="41" t="e">
        <f>VLOOKUP(A987,'Input Sheet'!$A$2:$B$232,2,0)</f>
        <v>#N/A</v>
      </c>
      <c r="AD987" s="70"/>
    </row>
    <row r="988" spans="1:30" x14ac:dyDescent="0.2">
      <c r="A988" s="38" t="str">
        <f t="shared" si="318"/>
        <v xml:space="preserve"> </v>
      </c>
      <c r="B988" s="108"/>
      <c r="C988" s="38"/>
      <c r="D988" s="137"/>
      <c r="E988" s="137"/>
      <c r="F988" s="137"/>
      <c r="G988" s="122"/>
      <c r="H988" s="137"/>
      <c r="I988" s="50"/>
      <c r="J988" s="50"/>
      <c r="K988" s="50"/>
      <c r="L988" s="38"/>
      <c r="M988" s="38"/>
      <c r="N988" s="38"/>
      <c r="O988" s="50"/>
      <c r="P988" s="218"/>
      <c r="Q988" s="50"/>
      <c r="R988" s="50"/>
      <c r="S988" s="38"/>
      <c r="T988" s="51"/>
      <c r="U988" s="65"/>
      <c r="V988" s="105"/>
      <c r="W988" s="66"/>
      <c r="X988" s="66"/>
      <c r="Y988" s="38"/>
      <c r="Z988" s="66">
        <f t="shared" si="317"/>
        <v>0</v>
      </c>
      <c r="AC988" s="41" t="e">
        <f>VLOOKUP(A988,'Input Sheet'!$A$2:$B$232,2,0)</f>
        <v>#N/A</v>
      </c>
      <c r="AD988" s="70"/>
    </row>
    <row r="989" spans="1:30" x14ac:dyDescent="0.2">
      <c r="A989" s="38" t="str">
        <f t="shared" si="318"/>
        <v xml:space="preserve"> </v>
      </c>
      <c r="B989" s="108"/>
      <c r="C989" s="38"/>
      <c r="D989" s="137"/>
      <c r="E989" s="137"/>
      <c r="F989" s="137"/>
      <c r="G989" s="122"/>
      <c r="H989" s="137"/>
      <c r="I989" s="50"/>
      <c r="J989" s="50"/>
      <c r="K989" s="50"/>
      <c r="L989" s="38"/>
      <c r="M989" s="38"/>
      <c r="N989" s="38"/>
      <c r="O989" s="50"/>
      <c r="P989" s="218"/>
      <c r="Q989" s="50"/>
      <c r="R989" s="50"/>
      <c r="S989" s="38"/>
      <c r="T989" s="51"/>
      <c r="U989" s="65"/>
      <c r="V989" s="105"/>
      <c r="W989" s="66"/>
      <c r="X989" s="66"/>
      <c r="Y989" s="38"/>
      <c r="Z989" s="66">
        <f t="shared" si="317"/>
        <v>0</v>
      </c>
      <c r="AC989" s="41" t="e">
        <f>VLOOKUP(A989,'Input Sheet'!$A$2:$B$232,2,0)</f>
        <v>#N/A</v>
      </c>
      <c r="AD989" s="70"/>
    </row>
    <row r="990" spans="1:30" x14ac:dyDescent="0.2">
      <c r="A990" s="38" t="str">
        <f t="shared" si="318"/>
        <v xml:space="preserve"> </v>
      </c>
      <c r="B990" s="108"/>
      <c r="C990" s="38"/>
      <c r="D990" s="137"/>
      <c r="E990" s="137"/>
      <c r="F990" s="137"/>
      <c r="G990" s="122"/>
      <c r="H990" s="137"/>
      <c r="I990" s="50"/>
      <c r="J990" s="50"/>
      <c r="K990" s="50"/>
      <c r="L990" s="38"/>
      <c r="M990" s="38"/>
      <c r="N990" s="38"/>
      <c r="O990" s="50"/>
      <c r="P990" s="218"/>
      <c r="Q990" s="50"/>
      <c r="R990" s="50"/>
      <c r="S990" s="38"/>
      <c r="T990" s="51"/>
      <c r="U990" s="65"/>
      <c r="V990" s="105"/>
      <c r="W990" s="66"/>
      <c r="X990" s="66"/>
      <c r="Y990" s="38"/>
      <c r="Z990" s="66">
        <f t="shared" si="317"/>
        <v>0</v>
      </c>
      <c r="AC990" s="41" t="e">
        <f>VLOOKUP(A990,'Input Sheet'!$A$2:$B$232,2,0)</f>
        <v>#N/A</v>
      </c>
      <c r="AD990" s="70"/>
    </row>
    <row r="991" spans="1:30" x14ac:dyDescent="0.2">
      <c r="A991" s="38" t="str">
        <f t="shared" si="318"/>
        <v xml:space="preserve"> </v>
      </c>
      <c r="B991" s="108"/>
      <c r="C991" s="38"/>
      <c r="D991" s="137"/>
      <c r="E991" s="137"/>
      <c r="F991" s="137"/>
      <c r="G991" s="122"/>
      <c r="H991" s="137"/>
      <c r="I991" s="50"/>
      <c r="J991" s="50"/>
      <c r="K991" s="50"/>
      <c r="L991" s="38"/>
      <c r="M991" s="38"/>
      <c r="N991" s="38"/>
      <c r="O991" s="50"/>
      <c r="P991" s="218"/>
      <c r="Q991" s="50"/>
      <c r="R991" s="50"/>
      <c r="S991" s="38"/>
      <c r="T991" s="51"/>
      <c r="U991" s="65"/>
      <c r="V991" s="105"/>
      <c r="W991" s="66"/>
      <c r="X991" s="66"/>
      <c r="Y991" s="38"/>
      <c r="Z991" s="66">
        <f t="shared" si="317"/>
        <v>0</v>
      </c>
      <c r="AC991" s="41" t="e">
        <f>VLOOKUP(A991,'Input Sheet'!$A$2:$B$232,2,0)</f>
        <v>#N/A</v>
      </c>
      <c r="AD991" s="70"/>
    </row>
    <row r="992" spans="1:30" x14ac:dyDescent="0.2">
      <c r="A992" s="38" t="str">
        <f t="shared" si="318"/>
        <v xml:space="preserve"> </v>
      </c>
      <c r="B992" s="108"/>
      <c r="C992" s="38"/>
      <c r="D992" s="137"/>
      <c r="E992" s="137"/>
      <c r="F992" s="137"/>
      <c r="G992" s="122"/>
      <c r="H992" s="137"/>
      <c r="I992" s="50"/>
      <c r="J992" s="50"/>
      <c r="K992" s="50"/>
      <c r="L992" s="38"/>
      <c r="M992" s="38"/>
      <c r="N992" s="38"/>
      <c r="O992" s="50"/>
      <c r="P992" s="218"/>
      <c r="Q992" s="50"/>
      <c r="R992" s="50"/>
      <c r="S992" s="38"/>
      <c r="T992" s="51"/>
      <c r="U992" s="65"/>
      <c r="V992" s="105"/>
      <c r="W992" s="66"/>
      <c r="X992" s="66"/>
      <c r="Y992" s="38"/>
      <c r="Z992" s="66">
        <f t="shared" si="317"/>
        <v>0</v>
      </c>
      <c r="AC992" s="41" t="e">
        <f>VLOOKUP(A992,'Input Sheet'!$A$2:$B$232,2,0)</f>
        <v>#N/A</v>
      </c>
      <c r="AD992" s="70"/>
    </row>
    <row r="993" spans="1:30" x14ac:dyDescent="0.2">
      <c r="A993" s="38" t="str">
        <f t="shared" si="318"/>
        <v xml:space="preserve"> </v>
      </c>
      <c r="B993" s="108"/>
      <c r="C993" s="38"/>
      <c r="D993" s="137"/>
      <c r="E993" s="137"/>
      <c r="F993" s="137"/>
      <c r="G993" s="122"/>
      <c r="H993" s="137"/>
      <c r="I993" s="50"/>
      <c r="J993" s="50"/>
      <c r="K993" s="50"/>
      <c r="L993" s="38"/>
      <c r="M993" s="38"/>
      <c r="N993" s="38"/>
      <c r="O993" s="50"/>
      <c r="P993" s="218"/>
      <c r="Q993" s="50"/>
      <c r="R993" s="50"/>
      <c r="S993" s="38"/>
      <c r="T993" s="51"/>
      <c r="U993" s="65"/>
      <c r="V993" s="105"/>
      <c r="W993" s="66"/>
      <c r="X993" s="66"/>
      <c r="Y993" s="38"/>
      <c r="Z993" s="66">
        <f t="shared" si="317"/>
        <v>0</v>
      </c>
      <c r="AC993" s="41" t="e">
        <f>VLOOKUP(A993,'Input Sheet'!$A$2:$B$232,2,0)</f>
        <v>#N/A</v>
      </c>
      <c r="AD993" s="70"/>
    </row>
    <row r="994" spans="1:30" x14ac:dyDescent="0.2">
      <c r="A994" s="38" t="str">
        <f t="shared" si="318"/>
        <v xml:space="preserve"> </v>
      </c>
      <c r="B994" s="108"/>
      <c r="C994" s="38"/>
      <c r="D994" s="137"/>
      <c r="E994" s="137"/>
      <c r="F994" s="137"/>
      <c r="G994" s="122"/>
      <c r="H994" s="137"/>
      <c r="I994" s="50"/>
      <c r="J994" s="50"/>
      <c r="K994" s="50"/>
      <c r="L994" s="38"/>
      <c r="M994" s="38"/>
      <c r="N994" s="38"/>
      <c r="O994" s="50"/>
      <c r="P994" s="218"/>
      <c r="Q994" s="50"/>
      <c r="R994" s="50"/>
      <c r="S994" s="38"/>
      <c r="T994" s="51"/>
      <c r="U994" s="65"/>
      <c r="V994" s="105"/>
      <c r="W994" s="66"/>
      <c r="X994" s="66"/>
      <c r="Y994" s="38"/>
      <c r="Z994" s="66">
        <f t="shared" si="317"/>
        <v>0</v>
      </c>
      <c r="AC994" s="41" t="e">
        <f>VLOOKUP(A994,'Input Sheet'!$A$2:$B$232,2,0)</f>
        <v>#N/A</v>
      </c>
      <c r="AD994" s="70"/>
    </row>
    <row r="995" spans="1:30" x14ac:dyDescent="0.2">
      <c r="A995" s="38" t="str">
        <f t="shared" si="318"/>
        <v xml:space="preserve"> </v>
      </c>
      <c r="B995" s="108"/>
      <c r="C995" s="38"/>
      <c r="D995" s="137"/>
      <c r="E995" s="137"/>
      <c r="F995" s="137"/>
      <c r="G995" s="122"/>
      <c r="H995" s="137"/>
      <c r="I995" s="50"/>
      <c r="J995" s="50"/>
      <c r="K995" s="50"/>
      <c r="L995" s="38"/>
      <c r="M995" s="38"/>
      <c r="N995" s="38"/>
      <c r="O995" s="50"/>
      <c r="P995" s="218"/>
      <c r="Q995" s="50"/>
      <c r="R995" s="50"/>
      <c r="S995" s="38"/>
      <c r="T995" s="51"/>
      <c r="U995" s="65"/>
      <c r="V995" s="105"/>
      <c r="W995" s="66"/>
      <c r="X995" s="66"/>
      <c r="Y995" s="38"/>
      <c r="Z995" s="66">
        <f t="shared" si="317"/>
        <v>0</v>
      </c>
      <c r="AC995" s="41" t="e">
        <f>VLOOKUP(A995,'Input Sheet'!$A$2:$B$232,2,0)</f>
        <v>#N/A</v>
      </c>
      <c r="AD995" s="70"/>
    </row>
    <row r="996" spans="1:30" x14ac:dyDescent="0.2">
      <c r="A996" s="38" t="str">
        <f t="shared" si="318"/>
        <v xml:space="preserve"> </v>
      </c>
      <c r="B996" s="108"/>
      <c r="C996" s="38"/>
      <c r="D996" s="137"/>
      <c r="E996" s="137"/>
      <c r="F996" s="137"/>
      <c r="G996" s="122"/>
      <c r="H996" s="137"/>
      <c r="I996" s="50"/>
      <c r="J996" s="50"/>
      <c r="K996" s="50"/>
      <c r="L996" s="38"/>
      <c r="M996" s="38"/>
      <c r="N996" s="38"/>
      <c r="O996" s="50"/>
      <c r="P996" s="218"/>
      <c r="Q996" s="50"/>
      <c r="R996" s="50"/>
      <c r="S996" s="38"/>
      <c r="T996" s="51"/>
      <c r="U996" s="65"/>
      <c r="V996" s="105"/>
      <c r="W996" s="66"/>
      <c r="X996" s="66"/>
      <c r="Y996" s="38"/>
      <c r="Z996" s="66">
        <f t="shared" si="317"/>
        <v>0</v>
      </c>
      <c r="AC996" s="41" t="e">
        <f>VLOOKUP(A996,'Input Sheet'!$A$2:$B$232,2,0)</f>
        <v>#N/A</v>
      </c>
      <c r="AD996" s="70"/>
    </row>
    <row r="997" spans="1:30" x14ac:dyDescent="0.2">
      <c r="A997" s="38" t="str">
        <f t="shared" si="318"/>
        <v xml:space="preserve"> </v>
      </c>
      <c r="B997" s="108"/>
      <c r="C997" s="38"/>
      <c r="D997" s="137"/>
      <c r="E997" s="137"/>
      <c r="F997" s="137"/>
      <c r="G997" s="122"/>
      <c r="H997" s="137"/>
      <c r="I997" s="50"/>
      <c r="J997" s="50"/>
      <c r="K997" s="50"/>
      <c r="L997" s="38"/>
      <c r="M997" s="38"/>
      <c r="N997" s="38"/>
      <c r="O997" s="50"/>
      <c r="P997" s="218"/>
      <c r="Q997" s="50"/>
      <c r="R997" s="50"/>
      <c r="S997" s="38"/>
      <c r="T997" s="51"/>
      <c r="U997" s="65"/>
      <c r="V997" s="105"/>
      <c r="W997" s="66"/>
      <c r="X997" s="66"/>
      <c r="Y997" s="38"/>
      <c r="Z997" s="66">
        <f t="shared" si="317"/>
        <v>0</v>
      </c>
      <c r="AC997" s="41" t="e">
        <f>VLOOKUP(A997,'Input Sheet'!$A$2:$B$232,2,0)</f>
        <v>#N/A</v>
      </c>
      <c r="AD997" s="70"/>
    </row>
    <row r="998" spans="1:30" x14ac:dyDescent="0.2">
      <c r="A998" s="38" t="str">
        <f t="shared" si="318"/>
        <v xml:space="preserve"> </v>
      </c>
      <c r="B998" s="108"/>
      <c r="C998" s="38"/>
      <c r="D998" s="137"/>
      <c r="E998" s="137"/>
      <c r="F998" s="137"/>
      <c r="G998" s="122"/>
      <c r="H998" s="137"/>
      <c r="I998" s="50"/>
      <c r="J998" s="50"/>
      <c r="K998" s="50"/>
      <c r="L998" s="38"/>
      <c r="M998" s="38"/>
      <c r="N998" s="38"/>
      <c r="O998" s="50"/>
      <c r="P998" s="218"/>
      <c r="Q998" s="50"/>
      <c r="R998" s="50"/>
      <c r="S998" s="38"/>
      <c r="T998" s="51"/>
      <c r="U998" s="65"/>
      <c r="V998" s="105"/>
      <c r="W998" s="66"/>
      <c r="X998" s="66"/>
      <c r="Y998" s="38"/>
      <c r="Z998" s="66">
        <f t="shared" si="317"/>
        <v>0</v>
      </c>
      <c r="AC998" s="41" t="e">
        <f>VLOOKUP(A998,'Input Sheet'!$A$2:$B$232,2,0)</f>
        <v>#N/A</v>
      </c>
      <c r="AD998" s="70"/>
    </row>
    <row r="999" spans="1:30" x14ac:dyDescent="0.2">
      <c r="A999" s="38" t="str">
        <f t="shared" si="318"/>
        <v xml:space="preserve"> </v>
      </c>
      <c r="B999" s="108"/>
      <c r="C999" s="38"/>
      <c r="D999" s="137"/>
      <c r="E999" s="137"/>
      <c r="F999" s="137"/>
      <c r="G999" s="122"/>
      <c r="H999" s="137"/>
      <c r="I999" s="50"/>
      <c r="J999" s="50"/>
      <c r="K999" s="50"/>
      <c r="L999" s="38"/>
      <c r="M999" s="38"/>
      <c r="N999" s="38"/>
      <c r="O999" s="50"/>
      <c r="P999" s="218"/>
      <c r="Q999" s="50"/>
      <c r="R999" s="50"/>
      <c r="S999" s="38"/>
      <c r="T999" s="51"/>
      <c r="U999" s="65"/>
      <c r="V999" s="105"/>
      <c r="W999" s="66"/>
      <c r="X999" s="66"/>
      <c r="Y999" s="38"/>
      <c r="Z999" s="66">
        <f t="shared" si="317"/>
        <v>0</v>
      </c>
      <c r="AC999" s="41" t="e">
        <f>VLOOKUP(A999,'Input Sheet'!$A$2:$B$232,2,0)</f>
        <v>#N/A</v>
      </c>
      <c r="AD999" s="70"/>
    </row>
    <row r="1000" spans="1:30" x14ac:dyDescent="0.2">
      <c r="A1000" s="38" t="str">
        <f t="shared" si="318"/>
        <v xml:space="preserve"> </v>
      </c>
      <c r="B1000" s="108"/>
      <c r="C1000" s="38"/>
      <c r="D1000" s="137"/>
      <c r="E1000" s="137"/>
      <c r="F1000" s="137"/>
      <c r="G1000" s="122"/>
      <c r="H1000" s="137"/>
      <c r="I1000" s="50"/>
      <c r="J1000" s="50"/>
      <c r="K1000" s="50"/>
      <c r="L1000" s="38"/>
      <c r="M1000" s="38"/>
      <c r="N1000" s="38"/>
      <c r="O1000" s="50"/>
      <c r="P1000" s="218"/>
      <c r="Q1000" s="50"/>
      <c r="R1000" s="50"/>
      <c r="S1000" s="38"/>
      <c r="T1000" s="51"/>
      <c r="U1000" s="65"/>
      <c r="V1000" s="105"/>
      <c r="W1000" s="66"/>
      <c r="X1000" s="66"/>
      <c r="Y1000" s="38"/>
      <c r="Z1000" s="66">
        <f t="shared" si="317"/>
        <v>0</v>
      </c>
      <c r="AC1000" s="41" t="e">
        <f>VLOOKUP(A1000,'Input Sheet'!$A$2:$B$232,2,0)</f>
        <v>#N/A</v>
      </c>
      <c r="AD1000" s="70"/>
    </row>
  </sheetData>
  <autoFilter ref="AL5:BK510" xr:uid="{00000000-0001-0000-0300-000000000000}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E6B2-458D-4A1F-B8BD-9507CDE1E770}">
  <sheetPr>
    <tabColor theme="4" tint="0.39997558519241921"/>
  </sheetPr>
  <dimension ref="A1:J506"/>
  <sheetViews>
    <sheetView tabSelected="1" workbookViewId="0">
      <selection activeCell="K11" sqref="K11"/>
    </sheetView>
  </sheetViews>
  <sheetFormatPr defaultRowHeight="14.25" x14ac:dyDescent="0.2"/>
  <cols>
    <col min="1" max="1" width="4.75" style="302" bestFit="1" customWidth="1"/>
    <col min="2" max="2" width="6.625" style="302" bestFit="1" customWidth="1"/>
    <col min="3" max="3" width="11.5" style="302" bestFit="1" customWidth="1"/>
    <col min="4" max="4" width="5.625" style="302" bestFit="1" customWidth="1"/>
    <col min="5" max="5" width="17.5" style="302" bestFit="1" customWidth="1"/>
    <col min="6" max="6" width="25.375" style="302" bestFit="1" customWidth="1"/>
    <col min="7" max="7" width="30.75" style="302" bestFit="1" customWidth="1"/>
    <col min="8" max="8" width="6.625" style="302" bestFit="1" customWidth="1"/>
    <col min="9" max="9" width="12" style="302" bestFit="1" customWidth="1"/>
    <col min="10" max="10" width="9.5" style="302" bestFit="1" customWidth="1"/>
    <col min="11" max="16384" width="9" style="302"/>
  </cols>
  <sheetData>
    <row r="1" spans="1:10" x14ac:dyDescent="0.2">
      <c r="A1" s="301" t="s">
        <v>85</v>
      </c>
      <c r="B1" s="301" t="s">
        <v>123</v>
      </c>
      <c r="C1" s="301" t="s">
        <v>190</v>
      </c>
      <c r="D1" s="301" t="s">
        <v>175</v>
      </c>
      <c r="E1" s="301" t="s">
        <v>176</v>
      </c>
      <c r="F1" s="301" t="s">
        <v>757</v>
      </c>
      <c r="G1" s="301" t="s">
        <v>177</v>
      </c>
      <c r="H1" s="301" t="s">
        <v>786</v>
      </c>
      <c r="I1" s="301" t="s">
        <v>787</v>
      </c>
      <c r="J1" s="301" t="s">
        <v>788</v>
      </c>
    </row>
    <row r="2" spans="1:10" x14ac:dyDescent="0.2">
      <c r="A2" s="103">
        <v>1</v>
      </c>
      <c r="B2" s="103" t="s">
        <v>160</v>
      </c>
      <c r="C2" s="304">
        <v>43465</v>
      </c>
      <c r="D2" s="103">
        <v>1</v>
      </c>
      <c r="E2" s="132">
        <v>3.5185289237346532E-4</v>
      </c>
      <c r="F2" s="153">
        <v>-0.16557622387745496</v>
      </c>
      <c r="G2" s="153">
        <v>4.101113656530243E-4</v>
      </c>
      <c r="H2" s="147">
        <v>8.3333333333333329E-2</v>
      </c>
      <c r="I2" s="153">
        <v>3.4182372795954485E-5</v>
      </c>
      <c r="J2" s="151">
        <v>3.4182372795954485E-5</v>
      </c>
    </row>
    <row r="3" spans="1:10" x14ac:dyDescent="0.2">
      <c r="A3" s="103">
        <v>2</v>
      </c>
      <c r="B3" s="103" t="s">
        <v>161</v>
      </c>
      <c r="C3" s="304">
        <v>43496</v>
      </c>
      <c r="D3" s="103">
        <v>2</v>
      </c>
      <c r="E3" s="132">
        <v>7.0901496063255224E-4</v>
      </c>
      <c r="F3" s="153">
        <v>-0.16557622387745496</v>
      </c>
      <c r="G3" s="153">
        <v>8.2641098048671262E-4</v>
      </c>
      <c r="H3" s="147">
        <v>0.16666666666666666</v>
      </c>
      <c r="I3" s="153">
        <v>6.8363577157226629E-5</v>
      </c>
      <c r="J3" s="151">
        <v>3.4181204361272144E-5</v>
      </c>
    </row>
    <row r="4" spans="1:10" x14ac:dyDescent="0.2">
      <c r="A4" s="103">
        <v>3</v>
      </c>
      <c r="B4" s="103" t="s">
        <v>162</v>
      </c>
      <c r="C4" s="304">
        <v>43524</v>
      </c>
      <c r="D4" s="103">
        <v>3</v>
      </c>
      <c r="E4" s="132">
        <v>1.0770290434147607E-3</v>
      </c>
      <c r="F4" s="153">
        <v>-0.16557622387745496</v>
      </c>
      <c r="G4" s="153">
        <v>1.2553594454297243E-3</v>
      </c>
      <c r="H4" s="147">
        <v>0.25</v>
      </c>
      <c r="I4" s="153">
        <v>1.0254361312389548E-4</v>
      </c>
      <c r="J4" s="151">
        <v>3.4180035966668854E-5</v>
      </c>
    </row>
    <row r="5" spans="1:10" x14ac:dyDescent="0.2">
      <c r="A5" s="103">
        <v>4</v>
      </c>
      <c r="B5" s="103" t="s">
        <v>163</v>
      </c>
      <c r="C5" s="304">
        <v>43555</v>
      </c>
      <c r="D5" s="103">
        <v>4</v>
      </c>
      <c r="E5" s="132">
        <v>1.4616766716271088E-3</v>
      </c>
      <c r="F5" s="153">
        <v>-0.16557622387745496</v>
      </c>
      <c r="G5" s="153">
        <v>1.7036955754448921E-3</v>
      </c>
      <c r="H5" s="147">
        <v>0.33333333333333331</v>
      </c>
      <c r="I5" s="153">
        <v>1.3672248073581805E-4</v>
      </c>
      <c r="J5" s="151">
        <v>3.417886761192257E-5</v>
      </c>
    </row>
    <row r="6" spans="1:10" x14ac:dyDescent="0.2">
      <c r="A6" s="103">
        <v>5</v>
      </c>
      <c r="B6" s="103" t="s">
        <v>164</v>
      </c>
      <c r="C6" s="304">
        <v>43585</v>
      </c>
      <c r="D6" s="103">
        <v>5</v>
      </c>
      <c r="E6" s="132">
        <v>1.8687751194591926E-3</v>
      </c>
      <c r="F6" s="153">
        <v>-0.16557622387745496</v>
      </c>
      <c r="G6" s="153">
        <v>2.1781998470153854E-3</v>
      </c>
      <c r="H6" s="147">
        <v>0.41666666666666663</v>
      </c>
      <c r="I6" s="153">
        <v>1.7090018003296237E-4</v>
      </c>
      <c r="J6" s="151">
        <v>3.4177699297144315E-5</v>
      </c>
    </row>
    <row r="7" spans="1:10" x14ac:dyDescent="0.2">
      <c r="A7" s="103">
        <v>6</v>
      </c>
      <c r="B7" s="103" t="s">
        <v>165</v>
      </c>
      <c r="C7" s="304">
        <v>43616</v>
      </c>
      <c r="D7" s="103">
        <v>6</v>
      </c>
      <c r="E7" s="132">
        <v>2.3040162987630576E-3</v>
      </c>
      <c r="F7" s="153">
        <v>-0.16557622387745496</v>
      </c>
      <c r="G7" s="153">
        <v>2.6855066172643549E-3</v>
      </c>
      <c r="H7" s="147">
        <v>0.5</v>
      </c>
      <c r="I7" s="153">
        <v>2.0507671105518543E-4</v>
      </c>
      <c r="J7" s="151">
        <v>3.4176531022223067E-5</v>
      </c>
    </row>
    <row r="8" spans="1:10" x14ac:dyDescent="0.2">
      <c r="A8" s="103">
        <v>7</v>
      </c>
      <c r="B8" s="103" t="s">
        <v>166</v>
      </c>
      <c r="C8" s="304">
        <v>43646</v>
      </c>
      <c r="D8" s="103">
        <v>7</v>
      </c>
      <c r="E8" s="132">
        <v>2.7728432114457785E-3</v>
      </c>
      <c r="F8" s="153">
        <v>-0.16557622387745496</v>
      </c>
      <c r="G8" s="153">
        <v>3.2319601198012061E-3</v>
      </c>
      <c r="H8" s="147">
        <v>0.58333333333333326</v>
      </c>
      <c r="I8" s="153">
        <v>2.392520738425663E-4</v>
      </c>
      <c r="J8" s="151">
        <v>3.417536278738087E-5</v>
      </c>
    </row>
    <row r="9" spans="1:10" x14ac:dyDescent="0.2">
      <c r="A9" s="103">
        <v>8</v>
      </c>
      <c r="B9" s="103" t="s">
        <v>167</v>
      </c>
      <c r="C9" s="304">
        <v>43677</v>
      </c>
      <c r="D9" s="103">
        <v>8</v>
      </c>
      <c r="E9" s="132">
        <v>3.2803589749466292E-3</v>
      </c>
      <c r="F9" s="153">
        <v>-0.16557622387745496</v>
      </c>
      <c r="G9" s="153">
        <v>3.8235084269808112E-3</v>
      </c>
      <c r="H9" s="147">
        <v>0.66666666666666663</v>
      </c>
      <c r="I9" s="153">
        <v>2.7342626843496198E-4</v>
      </c>
      <c r="J9" s="151">
        <v>3.4174194592395679E-5</v>
      </c>
    </row>
    <row r="10" spans="1:10" x14ac:dyDescent="0.2">
      <c r="A10" s="103">
        <v>9</v>
      </c>
      <c r="B10" s="103" t="s">
        <v>168</v>
      </c>
      <c r="C10" s="304">
        <v>43708</v>
      </c>
      <c r="D10" s="103">
        <v>9</v>
      </c>
      <c r="E10" s="132">
        <v>3.8312633627630406E-3</v>
      </c>
      <c r="F10" s="153">
        <v>-0.16557622387745496</v>
      </c>
      <c r="G10" s="153">
        <v>4.4656294830493848E-3</v>
      </c>
      <c r="H10" s="147">
        <v>0.75</v>
      </c>
      <c r="I10" s="153">
        <v>3.0759929487222948E-4</v>
      </c>
      <c r="J10" s="151">
        <v>3.4173026437267495E-5</v>
      </c>
    </row>
    <row r="11" spans="1:10" x14ac:dyDescent="0.2">
      <c r="A11" s="103">
        <v>10</v>
      </c>
      <c r="B11" s="103" t="s">
        <v>169</v>
      </c>
      <c r="C11" s="304">
        <v>43738</v>
      </c>
      <c r="D11" s="103">
        <v>10</v>
      </c>
      <c r="E11" s="132">
        <v>4.4298120821174751E-3</v>
      </c>
      <c r="F11" s="153">
        <v>-0.16557622387745496</v>
      </c>
      <c r="G11" s="153">
        <v>5.163283639161213E-3</v>
      </c>
      <c r="H11" s="147">
        <v>0.83333333333333326</v>
      </c>
      <c r="I11" s="153">
        <v>3.4177115319444784E-4</v>
      </c>
      <c r="J11" s="151">
        <v>3.4171858322218363E-5</v>
      </c>
    </row>
    <row r="12" spans="1:10" x14ac:dyDescent="0.2">
      <c r="A12" s="103">
        <v>11</v>
      </c>
      <c r="B12" s="103" t="s">
        <v>726</v>
      </c>
      <c r="C12" s="304">
        <v>43769</v>
      </c>
      <c r="D12" s="103">
        <v>11</v>
      </c>
      <c r="E12" s="132">
        <v>5.0797944707928044E-3</v>
      </c>
      <c r="F12" s="153">
        <v>-0.16557622387745496</v>
      </c>
      <c r="G12" s="153">
        <v>5.9208876573402514E-3</v>
      </c>
      <c r="H12" s="147">
        <v>0.91666666666666663</v>
      </c>
      <c r="I12" s="153">
        <v>3.7594184344136305E-4</v>
      </c>
      <c r="J12" s="151">
        <v>3.4170690246915214E-5</v>
      </c>
    </row>
    <row r="13" spans="1:10" x14ac:dyDescent="0.2">
      <c r="A13" s="103">
        <v>12</v>
      </c>
      <c r="B13" s="103" t="s">
        <v>727</v>
      </c>
      <c r="C13" s="304">
        <v>43799</v>
      </c>
      <c r="D13" s="103">
        <v>12</v>
      </c>
      <c r="E13" s="132">
        <v>5.7845258274502659E-3</v>
      </c>
      <c r="F13" s="153">
        <v>-0.16557622387745496</v>
      </c>
      <c r="G13" s="153">
        <v>6.7423057708810913E-3</v>
      </c>
      <c r="H13" s="147">
        <v>1</v>
      </c>
      <c r="I13" s="153">
        <v>4.1011136565305417E-4</v>
      </c>
      <c r="J13" s="151">
        <v>3.4169522211691117E-5</v>
      </c>
    </row>
    <row r="14" spans="1:10" x14ac:dyDescent="0.2">
      <c r="A14" s="103">
        <v>13</v>
      </c>
      <c r="B14" s="103" t="s">
        <v>728</v>
      </c>
      <c r="C14" s="304">
        <v>43830</v>
      </c>
      <c r="D14" s="103">
        <v>13</v>
      </c>
      <c r="E14" s="132">
        <v>6.5468511301079455E-3</v>
      </c>
      <c r="F14" s="153">
        <v>-0.16557622387745496</v>
      </c>
      <c r="G14" s="153">
        <v>7.6308540185190676E-3</v>
      </c>
      <c r="H14" s="147">
        <v>1.0833333333333333</v>
      </c>
      <c r="I14" s="153">
        <v>4.448096240030619E-4</v>
      </c>
      <c r="J14" s="151">
        <v>3.4698258350007727E-5</v>
      </c>
    </row>
    <row r="15" spans="1:10" x14ac:dyDescent="0.2">
      <c r="A15" s="103">
        <v>14</v>
      </c>
      <c r="B15" s="103" t="s">
        <v>729</v>
      </c>
      <c r="C15" s="304">
        <v>43861</v>
      </c>
      <c r="D15" s="103">
        <v>14</v>
      </c>
      <c r="E15" s="132">
        <v>7.3691574095334647E-3</v>
      </c>
      <c r="F15" s="153">
        <v>-0.16557622387745496</v>
      </c>
      <c r="G15" s="153">
        <v>8.5893146665625836E-3</v>
      </c>
      <c r="H15" s="147">
        <v>1.1666666666666665</v>
      </c>
      <c r="I15" s="153">
        <v>4.7950667789009582E-4</v>
      </c>
      <c r="J15" s="151">
        <v>3.4697053887033924E-5</v>
      </c>
    </row>
    <row r="16" spans="1:10" x14ac:dyDescent="0.2">
      <c r="A16" s="103">
        <v>15</v>
      </c>
      <c r="B16" s="103" t="s">
        <v>730</v>
      </c>
      <c r="C16" s="304">
        <v>43890</v>
      </c>
      <c r="D16" s="103">
        <v>15</v>
      </c>
      <c r="E16" s="132">
        <v>8.2533925094585257E-3</v>
      </c>
      <c r="F16" s="153">
        <v>-0.16557622387745496</v>
      </c>
      <c r="G16" s="153">
        <v>9.61995807535314E-3</v>
      </c>
      <c r="H16" s="147">
        <v>1.25</v>
      </c>
      <c r="I16" s="153">
        <v>5.1420252735567828E-4</v>
      </c>
      <c r="J16" s="151">
        <v>3.4695849465582462E-5</v>
      </c>
    </row>
    <row r="17" spans="1:10" x14ac:dyDescent="0.2">
      <c r="A17" s="103">
        <v>16</v>
      </c>
      <c r="B17" s="103" t="s">
        <v>731</v>
      </c>
      <c r="C17" s="304">
        <v>43921</v>
      </c>
      <c r="D17" s="103">
        <v>16</v>
      </c>
      <c r="E17" s="132">
        <v>9.2010883761241696E-3</v>
      </c>
      <c r="F17" s="153">
        <v>-0.16557622387745496</v>
      </c>
      <c r="G17" s="153">
        <v>1.0724569845005553E-2</v>
      </c>
      <c r="H17" s="147">
        <v>1.3333333333333333</v>
      </c>
      <c r="I17" s="153">
        <v>5.4889717244188674E-4</v>
      </c>
      <c r="J17" s="151">
        <v>3.4694645086208453E-5</v>
      </c>
    </row>
    <row r="18" spans="1:10" x14ac:dyDescent="0.2">
      <c r="A18" s="103">
        <v>17</v>
      </c>
      <c r="B18" s="103" t="s">
        <v>732</v>
      </c>
      <c r="C18" s="304">
        <v>43951</v>
      </c>
      <c r="D18" s="103">
        <v>17</v>
      </c>
      <c r="E18" s="132">
        <v>1.0213387374680489E-2</v>
      </c>
      <c r="F18" s="153">
        <v>-0.16557622387745496</v>
      </c>
      <c r="G18" s="153">
        <v>1.1904481489177757E-2</v>
      </c>
      <c r="H18" s="147">
        <v>1.4166666666666665</v>
      </c>
      <c r="I18" s="153">
        <v>5.8359061319046557E-4</v>
      </c>
      <c r="J18" s="151">
        <v>3.469344074857883E-5</v>
      </c>
    </row>
    <row r="19" spans="1:10" x14ac:dyDescent="0.2">
      <c r="A19" s="103">
        <v>18</v>
      </c>
      <c r="B19" s="103" t="s">
        <v>733</v>
      </c>
      <c r="C19" s="304">
        <v>43982</v>
      </c>
      <c r="D19" s="103">
        <v>18</v>
      </c>
      <c r="E19" s="132">
        <v>1.1291070432106906E-2</v>
      </c>
      <c r="F19" s="153">
        <v>-0.16557622387745496</v>
      </c>
      <c r="G19" s="153">
        <v>1.3160603237789552E-2</v>
      </c>
      <c r="H19" s="147">
        <v>1.5</v>
      </c>
      <c r="I19" s="153">
        <v>6.1828284964304814E-4</v>
      </c>
      <c r="J19" s="151">
        <v>3.469223645258257E-5</v>
      </c>
    </row>
    <row r="20" spans="1:10" x14ac:dyDescent="0.2">
      <c r="A20" s="103">
        <v>19</v>
      </c>
      <c r="B20" s="103" t="s">
        <v>734</v>
      </c>
      <c r="C20" s="304">
        <v>44012</v>
      </c>
      <c r="D20" s="103">
        <v>19</v>
      </c>
      <c r="E20" s="132">
        <v>1.2434586060238926E-2</v>
      </c>
      <c r="F20" s="153">
        <v>-0.16557622387745496</v>
      </c>
      <c r="G20" s="153">
        <v>1.4493457865572526E-2</v>
      </c>
      <c r="H20" s="147">
        <v>1.5833333333333333</v>
      </c>
      <c r="I20" s="153">
        <v>6.5297388184160088E-4</v>
      </c>
      <c r="J20" s="151">
        <v>3.469103219855274E-5</v>
      </c>
    </row>
    <row r="21" spans="1:10" x14ac:dyDescent="0.2">
      <c r="A21" s="103">
        <v>20</v>
      </c>
      <c r="B21" s="103" t="s">
        <v>735</v>
      </c>
      <c r="C21" s="304">
        <v>44043</v>
      </c>
      <c r="D21" s="103">
        <v>20</v>
      </c>
      <c r="E21" s="132">
        <v>1.3644079523643785E-2</v>
      </c>
      <c r="F21" s="153">
        <v>-0.16557622387745496</v>
      </c>
      <c r="G21" s="153">
        <v>1.5903214689452428E-2</v>
      </c>
      <c r="H21" s="147">
        <v>1.6666666666666665</v>
      </c>
      <c r="I21" s="153">
        <v>6.876637098279792E-4</v>
      </c>
      <c r="J21" s="151">
        <v>3.4689827986378319E-5</v>
      </c>
    </row>
    <row r="22" spans="1:10" x14ac:dyDescent="0.2">
      <c r="A22" s="103">
        <v>21</v>
      </c>
      <c r="B22" s="103" t="s">
        <v>736</v>
      </c>
      <c r="C22" s="304">
        <v>44074</v>
      </c>
      <c r="D22" s="103">
        <v>21</v>
      </c>
      <c r="E22" s="132">
        <v>1.4919421591074147E-2</v>
      </c>
      <c r="F22" s="153">
        <v>-0.16557622387745496</v>
      </c>
      <c r="G22" s="153">
        <v>1.7389723080559975E-2</v>
      </c>
      <c r="H22" s="147">
        <v>1.75</v>
      </c>
      <c r="I22" s="153">
        <v>7.2235233364381646E-4</v>
      </c>
      <c r="J22" s="151">
        <v>3.4688623815837261E-5</v>
      </c>
    </row>
    <row r="23" spans="1:10" x14ac:dyDescent="0.2">
      <c r="A23" s="103">
        <v>22</v>
      </c>
      <c r="B23" s="103" t="s">
        <v>737</v>
      </c>
      <c r="C23" s="304">
        <v>44104</v>
      </c>
      <c r="D23" s="103">
        <v>22</v>
      </c>
      <c r="E23" s="132">
        <v>1.626023645138543E-2</v>
      </c>
      <c r="F23" s="153">
        <v>-0.16557622387745496</v>
      </c>
      <c r="G23" s="153">
        <v>1.8952545002360377E-2</v>
      </c>
      <c r="H23" s="147">
        <v>1.8333333333333333</v>
      </c>
      <c r="I23" s="153">
        <v>7.5703975333119011E-4</v>
      </c>
      <c r="J23" s="151">
        <v>3.4687419687373655E-5</v>
      </c>
    </row>
    <row r="24" spans="1:10" x14ac:dyDescent="0.2">
      <c r="A24" s="103">
        <v>23</v>
      </c>
      <c r="B24" s="103" t="s">
        <v>738</v>
      </c>
      <c r="C24" s="304">
        <v>44135</v>
      </c>
      <c r="D24" s="103">
        <v>23</v>
      </c>
      <c r="E24" s="132">
        <v>1.7665928490015751E-2</v>
      </c>
      <c r="F24" s="153">
        <v>-0.16557622387745496</v>
      </c>
      <c r="G24" s="153">
        <v>2.0590986220681708E-2</v>
      </c>
      <c r="H24" s="147">
        <v>1.9166666666666665</v>
      </c>
      <c r="I24" s="153">
        <v>7.9172596893151148E-4</v>
      </c>
      <c r="J24" s="151">
        <v>3.4686215600321368E-5</v>
      </c>
    </row>
    <row r="25" spans="1:10" x14ac:dyDescent="0.2">
      <c r="A25" s="103">
        <v>24</v>
      </c>
      <c r="B25" s="103" t="s">
        <v>739</v>
      </c>
      <c r="C25" s="304">
        <v>44165</v>
      </c>
      <c r="D25" s="103">
        <v>24</v>
      </c>
      <c r="E25" s="132">
        <v>1.9135707714744793E-2</v>
      </c>
      <c r="F25" s="153">
        <v>-0.16557622387745496</v>
      </c>
      <c r="G25" s="153">
        <v>2.2304125939374919E-2</v>
      </c>
      <c r="H25" s="147">
        <v>2</v>
      </c>
      <c r="I25" s="153">
        <v>8.2641098048674699E-4</v>
      </c>
      <c r="J25" s="151">
        <v>3.4685011555235512E-5</v>
      </c>
    </row>
    <row r="26" spans="1:10" x14ac:dyDescent="0.2">
      <c r="A26" s="103">
        <v>25</v>
      </c>
      <c r="B26" s="103" t="s">
        <v>789</v>
      </c>
      <c r="C26" s="304">
        <v>44196</v>
      </c>
      <c r="D26" s="103">
        <v>25</v>
      </c>
      <c r="E26" s="132">
        <v>2.0668613693260521E-2</v>
      </c>
      <c r="F26" s="153">
        <v>-0.16557622387745496</v>
      </c>
      <c r="G26" s="153">
        <v>2.4090844701372457E-2</v>
      </c>
      <c r="H26" s="147">
        <v>2.083333333333333</v>
      </c>
      <c r="I26" s="153">
        <v>1.2910968374711951E-3</v>
      </c>
      <c r="J26" s="151">
        <v>4.6468585698444809E-4</v>
      </c>
    </row>
    <row r="27" spans="1:10" x14ac:dyDescent="0.2">
      <c r="A27" s="103">
        <v>26</v>
      </c>
      <c r="B27" s="103" t="s">
        <v>790</v>
      </c>
      <c r="C27" s="304">
        <v>44227</v>
      </c>
      <c r="D27" s="103">
        <v>26</v>
      </c>
      <c r="E27" s="132">
        <v>2.2263537923329357E-2</v>
      </c>
      <c r="F27" s="153">
        <v>-0.16557622387745496</v>
      </c>
      <c r="G27" s="153">
        <v>2.5949850462826749E-2</v>
      </c>
      <c r="H27" s="147">
        <v>2.1666666666666665</v>
      </c>
      <c r="I27" s="153">
        <v>1.326832950746204E-3</v>
      </c>
      <c r="J27" s="151">
        <v>3.5736113275008918E-5</v>
      </c>
    </row>
    <row r="28" spans="1:10" x14ac:dyDescent="0.2">
      <c r="A28" s="103">
        <v>27</v>
      </c>
      <c r="B28" s="103" t="s">
        <v>791</v>
      </c>
      <c r="C28" s="304">
        <v>44255</v>
      </c>
      <c r="D28" s="103">
        <v>27</v>
      </c>
      <c r="E28" s="132">
        <v>2.3919244601855946E-2</v>
      </c>
      <c r="F28" s="153">
        <v>-0.16557622387745496</v>
      </c>
      <c r="G28" s="153">
        <v>2.7879702801032451E-2</v>
      </c>
      <c r="H28" s="147">
        <v>2.25</v>
      </c>
      <c r="I28" s="153">
        <v>1.362567785300528E-3</v>
      </c>
      <c r="J28" s="151">
        <v>3.5734834554324024E-5</v>
      </c>
    </row>
    <row r="29" spans="1:10" x14ac:dyDescent="0.2">
      <c r="A29" s="103">
        <v>28</v>
      </c>
      <c r="B29" s="103" t="s">
        <v>792</v>
      </c>
      <c r="C29" s="304">
        <v>44286</v>
      </c>
      <c r="D29" s="103">
        <v>28</v>
      </c>
      <c r="E29" s="132">
        <v>2.5634389794166795E-2</v>
      </c>
      <c r="F29" s="153">
        <v>-0.16557622387745496</v>
      </c>
      <c r="G29" s="153">
        <v>2.9878835257687704E-2</v>
      </c>
      <c r="H29" s="147">
        <v>2.333333333333333</v>
      </c>
      <c r="I29" s="153">
        <v>1.3983013411797973E-3</v>
      </c>
      <c r="J29" s="151">
        <v>3.5733555879269296E-5</v>
      </c>
    </row>
    <row r="30" spans="1:10" x14ac:dyDescent="0.2">
      <c r="A30" s="103">
        <v>29</v>
      </c>
      <c r="B30" s="103" t="s">
        <v>793</v>
      </c>
      <c r="C30" s="304">
        <v>44316</v>
      </c>
      <c r="D30" s="103">
        <v>29</v>
      </c>
      <c r="E30" s="132">
        <v>2.7407539031411559E-2</v>
      </c>
      <c r="F30" s="153">
        <v>-0.16557622387745496</v>
      </c>
      <c r="G30" s="153">
        <v>3.1945575850006645E-2</v>
      </c>
      <c r="H30" s="147">
        <v>2.4166666666666665</v>
      </c>
      <c r="I30" s="153">
        <v>1.4340336184297531E-3</v>
      </c>
      <c r="J30" s="151">
        <v>3.5732277249955757E-5</v>
      </c>
    </row>
    <row r="31" spans="1:10" x14ac:dyDescent="0.2">
      <c r="A31" s="103">
        <v>30</v>
      </c>
      <c r="B31" s="103" t="s">
        <v>794</v>
      </c>
      <c r="C31" s="304">
        <v>44347</v>
      </c>
      <c r="D31" s="103">
        <v>30</v>
      </c>
      <c r="E31" s="132">
        <v>2.923718338367098E-2</v>
      </c>
      <c r="F31" s="153">
        <v>-0.16557622387745496</v>
      </c>
      <c r="G31" s="153">
        <v>3.407816580515189E-2</v>
      </c>
      <c r="H31" s="147">
        <v>2.5</v>
      </c>
      <c r="I31" s="153">
        <v>1.4697646170963585E-3</v>
      </c>
      <c r="J31" s="151">
        <v>3.5730998666605451E-5</v>
      </c>
    </row>
    <row r="32" spans="1:10" x14ac:dyDescent="0.2">
      <c r="A32" s="103">
        <v>31</v>
      </c>
      <c r="B32" s="103"/>
      <c r="C32" s="304">
        <v>44377</v>
      </c>
      <c r="D32" s="103">
        <v>31</v>
      </c>
      <c r="E32" s="132"/>
      <c r="F32" s="153"/>
      <c r="G32" s="153"/>
      <c r="H32" s="147">
        <v>2.583333333333333</v>
      </c>
      <c r="I32" s="153">
        <v>1.5054943372251328E-3</v>
      </c>
      <c r="J32" s="151">
        <v>3.5729720128774289E-5</v>
      </c>
    </row>
    <row r="33" spans="1:10" x14ac:dyDescent="0.2">
      <c r="A33" s="103">
        <v>32</v>
      </c>
      <c r="B33" s="103"/>
      <c r="C33" s="304">
        <v>44408</v>
      </c>
      <c r="D33" s="103">
        <v>32</v>
      </c>
      <c r="E33" s="132"/>
      <c r="F33" s="153"/>
      <c r="G33" s="153"/>
      <c r="H33" s="147">
        <v>2.6666666666666665</v>
      </c>
      <c r="I33" s="153">
        <v>1.5412227788619282E-3</v>
      </c>
      <c r="J33" s="151">
        <v>3.5728441636795338E-5</v>
      </c>
    </row>
    <row r="34" spans="1:10" x14ac:dyDescent="0.2">
      <c r="A34" s="103">
        <v>33</v>
      </c>
      <c r="B34" s="103"/>
      <c r="C34" s="304">
        <v>44439</v>
      </c>
      <c r="D34" s="103">
        <v>33</v>
      </c>
      <c r="E34" s="132"/>
      <c r="F34" s="153"/>
      <c r="G34" s="153"/>
      <c r="H34" s="147">
        <v>2.75</v>
      </c>
      <c r="I34" s="153">
        <v>1.5769499420525968E-3</v>
      </c>
      <c r="J34" s="151">
        <v>3.5727163190668598E-5</v>
      </c>
    </row>
    <row r="35" spans="1:10" x14ac:dyDescent="0.2">
      <c r="A35" s="103">
        <v>34</v>
      </c>
      <c r="B35" s="103"/>
      <c r="C35" s="304">
        <v>44469</v>
      </c>
      <c r="D35" s="103">
        <v>34</v>
      </c>
      <c r="E35" s="132"/>
      <c r="F35" s="153"/>
      <c r="G35" s="153"/>
      <c r="H35" s="147">
        <v>2.833333333333333</v>
      </c>
      <c r="I35" s="153">
        <v>1.6126758268426578E-3</v>
      </c>
      <c r="J35" s="151">
        <v>3.5725884790061002E-5</v>
      </c>
    </row>
    <row r="36" spans="1:10" x14ac:dyDescent="0.2">
      <c r="A36" s="103">
        <v>35</v>
      </c>
      <c r="B36" s="103"/>
      <c r="C36" s="304">
        <v>44500</v>
      </c>
      <c r="D36" s="103">
        <v>35</v>
      </c>
      <c r="E36" s="132"/>
      <c r="F36" s="153"/>
      <c r="G36" s="153"/>
      <c r="H36" s="147">
        <v>2.9166666666666665</v>
      </c>
      <c r="I36" s="153">
        <v>1.6484004332780744E-3</v>
      </c>
      <c r="J36" s="151">
        <v>3.5724606435416639E-5</v>
      </c>
    </row>
    <row r="37" spans="1:10" x14ac:dyDescent="0.2">
      <c r="A37" s="103">
        <v>36</v>
      </c>
      <c r="B37" s="103"/>
      <c r="C37" s="304">
        <v>44530</v>
      </c>
      <c r="D37" s="103">
        <v>36</v>
      </c>
      <c r="E37" s="132"/>
      <c r="F37" s="153"/>
      <c r="G37" s="153"/>
      <c r="H37" s="147">
        <v>3</v>
      </c>
      <c r="I37" s="153">
        <v>1.6841237614043658E-3</v>
      </c>
      <c r="J37" s="151">
        <v>3.572332812629142E-5</v>
      </c>
    </row>
    <row r="38" spans="1:10" x14ac:dyDescent="0.2">
      <c r="A38" s="103">
        <v>37</v>
      </c>
      <c r="B38" s="103"/>
      <c r="C38" s="304">
        <v>44561</v>
      </c>
      <c r="D38" s="103">
        <v>37</v>
      </c>
      <c r="E38" s="132"/>
      <c r="F38" s="153"/>
      <c r="G38" s="153"/>
      <c r="H38" s="147">
        <v>3.083333333333333</v>
      </c>
      <c r="I38" s="153">
        <v>2.1891659384692952E-3</v>
      </c>
      <c r="J38" s="151">
        <v>5.0504217706492938E-4</v>
      </c>
    </row>
    <row r="39" spans="1:10" x14ac:dyDescent="0.2">
      <c r="A39" s="103">
        <v>38</v>
      </c>
      <c r="B39" s="103"/>
      <c r="C39" s="304">
        <v>44592</v>
      </c>
      <c r="D39" s="103">
        <v>38</v>
      </c>
      <c r="E39" s="132"/>
      <c r="F39" s="153"/>
      <c r="G39" s="153"/>
      <c r="H39" s="147">
        <v>3.1666666666666665</v>
      </c>
      <c r="I39" s="153">
        <v>2.2265000324703799E-3</v>
      </c>
      <c r="J39" s="151">
        <v>3.7334094001084672E-5</v>
      </c>
    </row>
    <row r="40" spans="1:10" x14ac:dyDescent="0.2">
      <c r="A40" s="103">
        <v>39</v>
      </c>
      <c r="B40" s="103"/>
      <c r="C40" s="304">
        <v>44620</v>
      </c>
      <c r="D40" s="103">
        <v>39</v>
      </c>
      <c r="E40" s="132"/>
      <c r="F40" s="153"/>
      <c r="G40" s="153"/>
      <c r="H40" s="147">
        <v>3.25</v>
      </c>
      <c r="I40" s="153">
        <v>2.2638327295786409E-3</v>
      </c>
      <c r="J40" s="151">
        <v>3.7332697108261037E-5</v>
      </c>
    </row>
    <row r="41" spans="1:10" x14ac:dyDescent="0.2">
      <c r="A41" s="103">
        <v>40</v>
      </c>
      <c r="B41" s="103"/>
      <c r="C41" s="304">
        <v>44651</v>
      </c>
      <c r="D41" s="103">
        <v>40</v>
      </c>
      <c r="E41" s="132"/>
      <c r="F41" s="153"/>
      <c r="G41" s="153"/>
      <c r="H41" s="147">
        <v>3.333333333333333</v>
      </c>
      <c r="I41" s="153">
        <v>2.3011640298468139E-3</v>
      </c>
      <c r="J41" s="151">
        <v>3.7331300268172996E-5</v>
      </c>
    </row>
    <row r="42" spans="1:10" x14ac:dyDescent="0.2">
      <c r="A42" s="103">
        <v>41</v>
      </c>
      <c r="B42" s="103"/>
      <c r="C42" s="304">
        <v>44681</v>
      </c>
      <c r="D42" s="103">
        <v>41</v>
      </c>
      <c r="E42" s="132"/>
      <c r="F42" s="153"/>
      <c r="G42" s="153"/>
      <c r="H42" s="147">
        <v>3.4166666666666665</v>
      </c>
      <c r="I42" s="153">
        <v>2.3384939333266352E-3</v>
      </c>
      <c r="J42" s="151">
        <v>3.7329903479821347E-5</v>
      </c>
    </row>
    <row r="43" spans="1:10" x14ac:dyDescent="0.2">
      <c r="A43" s="103">
        <v>42</v>
      </c>
      <c r="B43" s="103"/>
      <c r="C43" s="304">
        <v>44712</v>
      </c>
      <c r="D43" s="103">
        <v>42</v>
      </c>
      <c r="E43" s="132"/>
      <c r="F43" s="153"/>
      <c r="G43" s="153"/>
      <c r="H43" s="147">
        <v>3.5</v>
      </c>
      <c r="I43" s="153">
        <v>2.3758224400708405E-3</v>
      </c>
      <c r="J43" s="151">
        <v>3.7328506744205292E-5</v>
      </c>
    </row>
    <row r="44" spans="1:10" x14ac:dyDescent="0.2">
      <c r="A44" s="103">
        <v>43</v>
      </c>
      <c r="B44" s="103"/>
      <c r="C44" s="304">
        <v>44742</v>
      </c>
      <c r="D44" s="103">
        <v>43</v>
      </c>
      <c r="E44" s="132"/>
      <c r="F44" s="153"/>
      <c r="G44" s="153"/>
      <c r="H44" s="147">
        <v>3.583333333333333</v>
      </c>
      <c r="I44" s="153">
        <v>2.4131495501314992E-3</v>
      </c>
      <c r="J44" s="151">
        <v>3.7327110060658697E-5</v>
      </c>
    </row>
    <row r="45" spans="1:10" x14ac:dyDescent="0.2">
      <c r="A45" s="103">
        <v>44</v>
      </c>
      <c r="B45" s="103"/>
      <c r="C45" s="304">
        <v>44773</v>
      </c>
      <c r="D45" s="103">
        <v>44</v>
      </c>
      <c r="E45" s="132"/>
      <c r="F45" s="153"/>
      <c r="G45" s="153"/>
      <c r="H45" s="147">
        <v>3.6666666666666665</v>
      </c>
      <c r="I45" s="153">
        <v>2.4504752635607918E-3</v>
      </c>
      <c r="J45" s="151">
        <v>3.7325713429292584E-5</v>
      </c>
    </row>
    <row r="46" spans="1:10" x14ac:dyDescent="0.2">
      <c r="A46" s="103">
        <v>45</v>
      </c>
      <c r="B46" s="103"/>
      <c r="C46" s="304">
        <v>44804</v>
      </c>
      <c r="D46" s="103">
        <v>45</v>
      </c>
      <c r="E46" s="132"/>
      <c r="F46" s="153"/>
      <c r="G46" s="153"/>
      <c r="H46" s="147">
        <v>3.75</v>
      </c>
      <c r="I46" s="153">
        <v>2.4877995804110098E-3</v>
      </c>
      <c r="J46" s="151">
        <v>3.7324316850217976E-5</v>
      </c>
    </row>
    <row r="47" spans="1:10" x14ac:dyDescent="0.2">
      <c r="A47" s="103">
        <v>46</v>
      </c>
      <c r="B47" s="103"/>
      <c r="C47" s="304">
        <v>44834</v>
      </c>
      <c r="D47" s="103">
        <v>46</v>
      </c>
      <c r="E47" s="132"/>
      <c r="F47" s="153"/>
      <c r="G47" s="153"/>
      <c r="H47" s="147">
        <v>3.833333333333333</v>
      </c>
      <c r="I47" s="153">
        <v>2.5251225007345557E-3</v>
      </c>
      <c r="J47" s="151">
        <v>3.7322920323545894E-5</v>
      </c>
    </row>
    <row r="48" spans="1:10" x14ac:dyDescent="0.2">
      <c r="A48" s="103">
        <v>47</v>
      </c>
      <c r="B48" s="103"/>
      <c r="C48" s="304">
        <v>44865</v>
      </c>
      <c r="D48" s="103">
        <v>47</v>
      </c>
      <c r="E48" s="132"/>
      <c r="F48" s="153"/>
      <c r="G48" s="153"/>
      <c r="H48" s="147">
        <v>3.9166666666666665</v>
      </c>
      <c r="I48" s="153">
        <v>2.562444024583499E-3</v>
      </c>
      <c r="J48" s="151">
        <v>3.7321523848943272E-5</v>
      </c>
    </row>
    <row r="49" spans="1:10" x14ac:dyDescent="0.2">
      <c r="A49" s="103">
        <v>48</v>
      </c>
      <c r="B49" s="103"/>
      <c r="C49" s="304">
        <v>44895</v>
      </c>
      <c r="D49" s="103">
        <v>48</v>
      </c>
      <c r="E49" s="132"/>
      <c r="F49" s="153"/>
      <c r="G49" s="153"/>
      <c r="H49" s="147">
        <v>4</v>
      </c>
      <c r="I49" s="153">
        <v>2.5997641520102421E-3</v>
      </c>
      <c r="J49" s="151">
        <v>3.7320127426743177E-5</v>
      </c>
    </row>
    <row r="50" spans="1:10" x14ac:dyDescent="0.2">
      <c r="A50" s="103">
        <v>49</v>
      </c>
      <c r="B50" s="103"/>
      <c r="C50" s="304">
        <v>44926</v>
      </c>
      <c r="D50" s="103">
        <v>49</v>
      </c>
      <c r="E50" s="132"/>
      <c r="F50" s="153"/>
      <c r="G50" s="153"/>
      <c r="H50" s="147">
        <v>4.083333333333333</v>
      </c>
      <c r="I50" s="153">
        <v>3.1660261511436971E-3</v>
      </c>
      <c r="J50" s="151">
        <v>5.6626199913345499E-4</v>
      </c>
    </row>
    <row r="51" spans="1:10" x14ac:dyDescent="0.2">
      <c r="A51" s="103">
        <v>50</v>
      </c>
      <c r="B51" s="103"/>
      <c r="C51" s="304">
        <v>44957</v>
      </c>
      <c r="D51" s="103">
        <v>50</v>
      </c>
      <c r="E51" s="132"/>
      <c r="F51" s="153"/>
      <c r="G51" s="153"/>
      <c r="H51" s="147">
        <v>4.1666666666666661</v>
      </c>
      <c r="I51" s="153">
        <v>3.2055188558983705E-3</v>
      </c>
      <c r="J51" s="151">
        <v>3.9492704754673369E-5</v>
      </c>
    </row>
    <row r="52" spans="1:10" x14ac:dyDescent="0.2">
      <c r="A52" s="103">
        <v>51</v>
      </c>
      <c r="B52" s="103"/>
      <c r="C52" s="304">
        <v>44985</v>
      </c>
      <c r="D52" s="103">
        <v>51</v>
      </c>
      <c r="E52" s="132"/>
      <c r="F52" s="153"/>
      <c r="G52" s="153"/>
      <c r="H52" s="147">
        <v>4.25</v>
      </c>
      <c r="I52" s="153">
        <v>3.2450099960256162E-3</v>
      </c>
      <c r="J52" s="151">
        <v>3.949114012724575E-5</v>
      </c>
    </row>
    <row r="53" spans="1:10" x14ac:dyDescent="0.2">
      <c r="A53" s="103">
        <v>52</v>
      </c>
      <c r="B53" s="103"/>
      <c r="C53" s="304">
        <v>45016</v>
      </c>
      <c r="D53" s="103">
        <v>52</v>
      </c>
      <c r="E53" s="132"/>
      <c r="F53" s="153"/>
      <c r="G53" s="153"/>
      <c r="H53" s="147">
        <v>4.333333333333333</v>
      </c>
      <c r="I53" s="153">
        <v>3.2844995715873848E-3</v>
      </c>
      <c r="J53" s="151">
        <v>3.9489575561768575E-5</v>
      </c>
    </row>
    <row r="54" spans="1:10" x14ac:dyDescent="0.2">
      <c r="A54" s="103">
        <v>53</v>
      </c>
      <c r="B54" s="103"/>
      <c r="C54" s="304">
        <v>45046</v>
      </c>
      <c r="D54" s="103">
        <v>53</v>
      </c>
      <c r="E54" s="132"/>
      <c r="F54" s="153"/>
      <c r="G54" s="153"/>
      <c r="H54" s="147">
        <v>4.4166666666666661</v>
      </c>
      <c r="I54" s="153">
        <v>3.3239875826459597E-3</v>
      </c>
      <c r="J54" s="151">
        <v>3.9488011058574912E-5</v>
      </c>
    </row>
    <row r="55" spans="1:10" x14ac:dyDescent="0.2">
      <c r="A55" s="103">
        <v>54</v>
      </c>
      <c r="B55" s="103"/>
      <c r="C55" s="304">
        <v>45077</v>
      </c>
      <c r="D55" s="103">
        <v>54</v>
      </c>
      <c r="E55" s="132"/>
      <c r="F55" s="153"/>
      <c r="G55" s="153"/>
      <c r="H55" s="147">
        <v>4.5</v>
      </c>
      <c r="I55" s="153">
        <v>3.3634740292629584E-3</v>
      </c>
      <c r="J55" s="151">
        <v>3.9486446616998627E-5</v>
      </c>
    </row>
    <row r="56" spans="1:10" x14ac:dyDescent="0.2">
      <c r="A56" s="103">
        <v>55</v>
      </c>
      <c r="B56" s="103"/>
      <c r="C56" s="304">
        <v>45107</v>
      </c>
      <c r="D56" s="103">
        <v>55</v>
      </c>
      <c r="E56" s="132"/>
      <c r="F56" s="153"/>
      <c r="G56" s="153"/>
      <c r="H56" s="147">
        <v>4.583333333333333</v>
      </c>
      <c r="I56" s="153">
        <v>3.4029589115005532E-3</v>
      </c>
      <c r="J56" s="151">
        <v>3.9484882237594832E-5</v>
      </c>
    </row>
    <row r="57" spans="1:10" x14ac:dyDescent="0.2">
      <c r="A57" s="103">
        <v>56</v>
      </c>
      <c r="B57" s="103"/>
      <c r="C57" s="304">
        <v>45138</v>
      </c>
      <c r="D57" s="103">
        <v>56</v>
      </c>
      <c r="E57" s="132"/>
      <c r="F57" s="153"/>
      <c r="G57" s="153"/>
      <c r="H57" s="147">
        <v>4.6666666666666661</v>
      </c>
      <c r="I57" s="153">
        <v>3.4424422294206947E-3</v>
      </c>
      <c r="J57" s="151">
        <v>3.9483317920141481E-5</v>
      </c>
    </row>
    <row r="58" spans="1:10" x14ac:dyDescent="0.2">
      <c r="A58" s="103">
        <v>57</v>
      </c>
      <c r="B58" s="103"/>
      <c r="C58" s="304">
        <v>45169</v>
      </c>
      <c r="D58" s="103">
        <v>57</v>
      </c>
      <c r="E58" s="132"/>
      <c r="F58" s="153"/>
      <c r="G58" s="153"/>
      <c r="H58" s="147">
        <v>4.75</v>
      </c>
      <c r="I58" s="153">
        <v>3.4819239830852222E-3</v>
      </c>
      <c r="J58" s="151">
        <v>3.9481753664527552E-5</v>
      </c>
    </row>
    <row r="59" spans="1:10" x14ac:dyDescent="0.2">
      <c r="A59" s="103">
        <v>58</v>
      </c>
      <c r="B59" s="103"/>
      <c r="C59" s="304">
        <v>45199</v>
      </c>
      <c r="D59" s="103">
        <v>58</v>
      </c>
      <c r="E59" s="132"/>
      <c r="F59" s="153"/>
      <c r="G59" s="153"/>
      <c r="H59" s="147">
        <v>4.833333333333333</v>
      </c>
      <c r="I59" s="153">
        <v>3.5214041725563083E-3</v>
      </c>
      <c r="J59" s="151">
        <v>3.9480189471086113E-5</v>
      </c>
    </row>
    <row r="60" spans="1:10" x14ac:dyDescent="0.2">
      <c r="A60" s="103">
        <v>59</v>
      </c>
      <c r="B60" s="103"/>
      <c r="C60" s="304">
        <v>45230</v>
      </c>
      <c r="D60" s="103">
        <v>59</v>
      </c>
      <c r="E60" s="132"/>
      <c r="F60" s="153"/>
      <c r="G60" s="153"/>
      <c r="H60" s="147">
        <v>4.9166666666666661</v>
      </c>
      <c r="I60" s="153">
        <v>3.5608827978959035E-3</v>
      </c>
      <c r="J60" s="151">
        <v>3.9478625339595119E-5</v>
      </c>
    </row>
    <row r="61" spans="1:10" x14ac:dyDescent="0.2">
      <c r="A61" s="103">
        <v>60</v>
      </c>
      <c r="B61" s="103"/>
      <c r="C61" s="304">
        <v>45260</v>
      </c>
      <c r="D61" s="103">
        <v>60</v>
      </c>
      <c r="E61" s="132"/>
      <c r="F61" s="153"/>
      <c r="G61" s="153"/>
      <c r="H61" s="147">
        <v>5</v>
      </c>
      <c r="I61" s="153">
        <v>3.600359859165847E-3</v>
      </c>
      <c r="J61" s="151">
        <v>3.9477061269943547E-5</v>
      </c>
    </row>
    <row r="62" spans="1:10" x14ac:dyDescent="0.2">
      <c r="A62" s="103">
        <v>61</v>
      </c>
      <c r="B62" s="131"/>
      <c r="C62" s="305">
        <v>45291</v>
      </c>
      <c r="D62" s="103">
        <v>61</v>
      </c>
      <c r="E62" s="132"/>
      <c r="F62" s="153"/>
      <c r="G62" s="153"/>
      <c r="H62" s="147">
        <v>5.083333333333333</v>
      </c>
      <c r="I62" s="153">
        <v>4.2480794107859765E-3</v>
      </c>
      <c r="J62" s="151">
        <v>6.4771955162012951E-4</v>
      </c>
    </row>
    <row r="63" spans="1:10" x14ac:dyDescent="0.2">
      <c r="A63" s="103">
        <v>62</v>
      </c>
      <c r="B63" s="131"/>
      <c r="C63" s="305">
        <v>45322</v>
      </c>
      <c r="D63" s="103">
        <v>62</v>
      </c>
      <c r="E63" s="132"/>
      <c r="F63" s="153"/>
      <c r="G63" s="153"/>
      <c r="H63" s="147">
        <v>5.1666666666666661</v>
      </c>
      <c r="I63" s="153">
        <v>4.2902771125721273E-3</v>
      </c>
      <c r="J63" s="151">
        <v>4.2197701786150787E-5</v>
      </c>
    </row>
    <row r="64" spans="1:10" x14ac:dyDescent="0.2">
      <c r="A64" s="103">
        <v>63</v>
      </c>
      <c r="B64" s="131"/>
      <c r="C64" s="305">
        <v>45351</v>
      </c>
      <c r="D64" s="103">
        <v>63</v>
      </c>
      <c r="E64" s="132"/>
      <c r="F64" s="153"/>
      <c r="G64" s="153"/>
      <c r="H64" s="147">
        <v>5.25</v>
      </c>
      <c r="I64" s="153">
        <v>4.332473026115724E-3</v>
      </c>
      <c r="J64" s="151">
        <v>4.2195913543596753E-5</v>
      </c>
    </row>
    <row r="65" spans="1:10" x14ac:dyDescent="0.2">
      <c r="A65" s="103">
        <v>64</v>
      </c>
      <c r="B65" s="131"/>
      <c r="C65" s="305">
        <v>45382</v>
      </c>
      <c r="D65" s="103">
        <v>64</v>
      </c>
      <c r="E65" s="132"/>
      <c r="F65" s="153"/>
      <c r="G65" s="153"/>
      <c r="H65" s="147">
        <v>5.333333333333333</v>
      </c>
      <c r="I65" s="153">
        <v>4.374667151492373E-3</v>
      </c>
      <c r="J65" s="151">
        <v>4.2194125376648906E-5</v>
      </c>
    </row>
    <row r="66" spans="1:10" x14ac:dyDescent="0.2">
      <c r="A66" s="103">
        <v>65</v>
      </c>
      <c r="B66" s="131"/>
      <c r="C66" s="305">
        <v>45412</v>
      </c>
      <c r="D66" s="103">
        <v>65</v>
      </c>
      <c r="E66" s="132"/>
      <c r="F66" s="153"/>
      <c r="G66" s="153"/>
      <c r="H66" s="147">
        <v>5.4166666666666661</v>
      </c>
      <c r="I66" s="153">
        <v>4.4168594887780133E-3</v>
      </c>
      <c r="J66" s="151">
        <v>4.2192337285640313E-5</v>
      </c>
    </row>
    <row r="67" spans="1:10" x14ac:dyDescent="0.2">
      <c r="A67" s="103">
        <v>66</v>
      </c>
      <c r="B67" s="131"/>
      <c r="C67" s="305">
        <v>45443</v>
      </c>
      <c r="D67" s="103">
        <v>66</v>
      </c>
      <c r="E67" s="132"/>
      <c r="F67" s="153"/>
      <c r="G67" s="153"/>
      <c r="H67" s="147">
        <v>5.5</v>
      </c>
      <c r="I67" s="153">
        <v>4.4590500380482512E-3</v>
      </c>
      <c r="J67" s="151">
        <v>4.2190549270237909E-5</v>
      </c>
    </row>
    <row r="68" spans="1:10" x14ac:dyDescent="0.2">
      <c r="A68" s="103">
        <v>67</v>
      </c>
      <c r="B68" s="131"/>
      <c r="C68" s="305">
        <v>45473</v>
      </c>
      <c r="D68" s="103">
        <v>67</v>
      </c>
      <c r="E68" s="132"/>
      <c r="F68" s="153"/>
      <c r="G68" s="153"/>
      <c r="H68" s="147">
        <v>5.583333333333333</v>
      </c>
      <c r="I68" s="153">
        <v>4.501238799379137E-3</v>
      </c>
      <c r="J68" s="151">
        <v>4.2188761330885782E-5</v>
      </c>
    </row>
    <row r="69" spans="1:10" x14ac:dyDescent="0.2">
      <c r="A69" s="103">
        <v>68</v>
      </c>
      <c r="B69" s="131"/>
      <c r="C69" s="305">
        <v>45504</v>
      </c>
      <c r="D69" s="103">
        <v>68</v>
      </c>
      <c r="E69" s="132"/>
      <c r="F69" s="153"/>
      <c r="G69" s="153"/>
      <c r="H69" s="147">
        <v>5.6666666666666661</v>
      </c>
      <c r="I69" s="153">
        <v>4.5434257728461658E-3</v>
      </c>
      <c r="J69" s="151">
        <v>4.2186973467028821E-5</v>
      </c>
    </row>
    <row r="70" spans="1:10" x14ac:dyDescent="0.2">
      <c r="A70" s="103">
        <v>69</v>
      </c>
      <c r="B70" s="131"/>
      <c r="C70" s="305">
        <v>45535</v>
      </c>
      <c r="D70" s="103">
        <v>69</v>
      </c>
      <c r="E70" s="132"/>
      <c r="F70" s="153"/>
      <c r="G70" s="153"/>
      <c r="H70" s="147">
        <v>5.75</v>
      </c>
      <c r="I70" s="153">
        <v>4.5856109585252769E-3</v>
      </c>
      <c r="J70" s="151">
        <v>4.2185185679111115E-5</v>
      </c>
    </row>
    <row r="71" spans="1:10" x14ac:dyDescent="0.2">
      <c r="A71" s="103">
        <v>70</v>
      </c>
      <c r="B71" s="131"/>
      <c r="C71" s="305">
        <v>45565</v>
      </c>
      <c r="D71" s="103">
        <v>70</v>
      </c>
      <c r="E71" s="132"/>
      <c r="F71" s="153"/>
      <c r="G71" s="153"/>
      <c r="H71" s="147">
        <v>5.833333333333333</v>
      </c>
      <c r="I71" s="153">
        <v>4.6277943564919655E-3</v>
      </c>
      <c r="J71" s="151">
        <v>4.2183397966688574E-5</v>
      </c>
    </row>
    <row r="72" spans="1:10" x14ac:dyDescent="0.2">
      <c r="A72" s="103">
        <v>71</v>
      </c>
      <c r="B72" s="131"/>
      <c r="C72" s="305">
        <v>45596</v>
      </c>
      <c r="D72" s="103">
        <v>71</v>
      </c>
      <c r="E72" s="132"/>
      <c r="F72" s="153"/>
      <c r="G72" s="153"/>
      <c r="H72" s="147">
        <v>5.9166666666666661</v>
      </c>
      <c r="I72" s="153">
        <v>4.6699759668223928E-3</v>
      </c>
      <c r="J72" s="151">
        <v>4.2181610330427333E-5</v>
      </c>
    </row>
    <row r="73" spans="1:10" x14ac:dyDescent="0.2">
      <c r="A73" s="103">
        <v>72</v>
      </c>
      <c r="B73" s="131"/>
      <c r="C73" s="305">
        <v>45626</v>
      </c>
      <c r="D73" s="103">
        <v>72</v>
      </c>
      <c r="E73" s="132"/>
      <c r="F73" s="153"/>
      <c r="G73" s="153"/>
      <c r="H73" s="147">
        <v>6</v>
      </c>
      <c r="I73" s="153">
        <v>4.712155789591943E-3</v>
      </c>
      <c r="J73" s="151">
        <v>4.2179822769550235E-5</v>
      </c>
    </row>
    <row r="74" spans="1:10" x14ac:dyDescent="0.2">
      <c r="A74" s="103">
        <v>73</v>
      </c>
      <c r="B74" s="103"/>
      <c r="C74" s="304">
        <v>45657</v>
      </c>
      <c r="D74" s="103">
        <v>73</v>
      </c>
      <c r="E74" s="132"/>
      <c r="F74" s="153"/>
      <c r="G74" s="153"/>
      <c r="H74" s="147">
        <v>6.083333333333333</v>
      </c>
      <c r="I74" s="153">
        <v>5.4602061957045311E-3</v>
      </c>
      <c r="J74" s="151">
        <v>7.4805040611258811E-4</v>
      </c>
    </row>
    <row r="75" spans="1:10" x14ac:dyDescent="0.2">
      <c r="A75" s="103">
        <v>74</v>
      </c>
      <c r="B75" s="103"/>
      <c r="C75" s="304">
        <v>45688</v>
      </c>
      <c r="D75" s="103">
        <v>74</v>
      </c>
      <c r="E75" s="132"/>
      <c r="F75" s="153"/>
      <c r="G75" s="153"/>
      <c r="H75" s="147">
        <v>6.1666666666666661</v>
      </c>
      <c r="I75" s="153">
        <v>5.505628701839349E-3</v>
      </c>
      <c r="J75" s="151">
        <v>4.5422506134817908E-5</v>
      </c>
    </row>
    <row r="76" spans="1:10" x14ac:dyDescent="0.2">
      <c r="A76" s="103">
        <v>75</v>
      </c>
      <c r="B76" s="103"/>
      <c r="C76" s="304">
        <v>45716</v>
      </c>
      <c r="D76" s="103">
        <v>75</v>
      </c>
      <c r="E76" s="132"/>
      <c r="F76" s="153"/>
      <c r="G76" s="153"/>
      <c r="H76" s="147">
        <v>6.25</v>
      </c>
      <c r="I76" s="153">
        <v>5.5510491334426204E-3</v>
      </c>
      <c r="J76" s="151">
        <v>4.5420431603271361E-5</v>
      </c>
    </row>
    <row r="77" spans="1:10" x14ac:dyDescent="0.2">
      <c r="A77" s="103">
        <v>76</v>
      </c>
      <c r="B77" s="103"/>
      <c r="C77" s="304">
        <v>45747</v>
      </c>
      <c r="D77" s="103">
        <v>76</v>
      </c>
      <c r="E77" s="132"/>
      <c r="F77" s="153"/>
      <c r="G77" s="153"/>
      <c r="H77" s="147">
        <v>6.333333333333333</v>
      </c>
      <c r="I77" s="153">
        <v>5.5964674906092693E-3</v>
      </c>
      <c r="J77" s="151">
        <v>4.5418357166648882E-5</v>
      </c>
    </row>
    <row r="78" spans="1:10" x14ac:dyDescent="0.2">
      <c r="A78" s="103">
        <v>77</v>
      </c>
      <c r="B78" s="103"/>
      <c r="C78" s="304">
        <v>45777</v>
      </c>
      <c r="D78" s="103">
        <v>77</v>
      </c>
      <c r="E78" s="132"/>
      <c r="F78" s="153"/>
      <c r="G78" s="153"/>
      <c r="H78" s="147">
        <v>6.4166666666666661</v>
      </c>
      <c r="I78" s="153">
        <v>5.6418837734339977E-3</v>
      </c>
      <c r="J78" s="151">
        <v>4.5416282824728427E-5</v>
      </c>
    </row>
    <row r="79" spans="1:10" x14ac:dyDescent="0.2">
      <c r="A79" s="103">
        <v>78</v>
      </c>
      <c r="B79" s="103"/>
      <c r="C79" s="304">
        <v>45808</v>
      </c>
      <c r="D79" s="103">
        <v>78</v>
      </c>
      <c r="E79" s="132"/>
      <c r="F79" s="153"/>
      <c r="G79" s="153"/>
      <c r="H79" s="147">
        <v>6.5</v>
      </c>
      <c r="I79" s="153">
        <v>5.6872979820115077E-3</v>
      </c>
      <c r="J79" s="151">
        <v>4.5414208577509996E-5</v>
      </c>
    </row>
    <row r="80" spans="1:10" x14ac:dyDescent="0.2">
      <c r="A80" s="103">
        <v>79</v>
      </c>
      <c r="B80" s="103"/>
      <c r="C80" s="304">
        <v>45838</v>
      </c>
      <c r="D80" s="103">
        <v>79</v>
      </c>
      <c r="E80" s="132"/>
      <c r="F80" s="153"/>
      <c r="G80" s="153"/>
      <c r="H80" s="147">
        <v>6.583333333333333</v>
      </c>
      <c r="I80" s="153">
        <v>5.7327101164365013E-3</v>
      </c>
      <c r="J80" s="151">
        <v>4.5412134424993589E-5</v>
      </c>
    </row>
    <row r="81" spans="1:10" x14ac:dyDescent="0.2">
      <c r="A81" s="103">
        <v>80</v>
      </c>
      <c r="B81" s="103"/>
      <c r="C81" s="304">
        <v>45869</v>
      </c>
      <c r="D81" s="103">
        <v>80</v>
      </c>
      <c r="E81" s="132"/>
      <c r="F81" s="153"/>
      <c r="G81" s="153"/>
      <c r="H81" s="147">
        <v>6.6666666666666661</v>
      </c>
      <c r="I81" s="153">
        <v>5.7781201768037915E-3</v>
      </c>
      <c r="J81" s="151">
        <v>4.5410060367290228E-5</v>
      </c>
    </row>
    <row r="82" spans="1:10" x14ac:dyDescent="0.2">
      <c r="A82" s="103">
        <v>81</v>
      </c>
      <c r="B82" s="103"/>
      <c r="C82" s="304">
        <v>45900</v>
      </c>
      <c r="D82" s="103">
        <v>81</v>
      </c>
      <c r="E82" s="132"/>
      <c r="F82" s="153"/>
      <c r="G82" s="153"/>
      <c r="H82" s="147">
        <v>6.75</v>
      </c>
      <c r="I82" s="153">
        <v>5.8235281632080804E-3</v>
      </c>
      <c r="J82" s="151">
        <v>4.5407986404288891E-5</v>
      </c>
    </row>
    <row r="83" spans="1:10" x14ac:dyDescent="0.2">
      <c r="A83" s="103">
        <v>82</v>
      </c>
      <c r="B83" s="103"/>
      <c r="C83" s="304">
        <v>45930</v>
      </c>
      <c r="D83" s="103">
        <v>82</v>
      </c>
      <c r="E83" s="132"/>
      <c r="F83" s="153"/>
      <c r="G83" s="153"/>
      <c r="H83" s="147">
        <v>6.833333333333333</v>
      </c>
      <c r="I83" s="153">
        <v>5.868934075744181E-3</v>
      </c>
      <c r="J83" s="151">
        <v>4.5405912536100601E-5</v>
      </c>
    </row>
    <row r="84" spans="1:10" x14ac:dyDescent="0.2">
      <c r="A84" s="103">
        <v>83</v>
      </c>
      <c r="B84" s="103"/>
      <c r="C84" s="304">
        <v>45961</v>
      </c>
      <c r="D84" s="103">
        <v>83</v>
      </c>
      <c r="E84" s="132"/>
      <c r="F84" s="153"/>
      <c r="G84" s="153"/>
      <c r="H84" s="147">
        <v>6.9166666666666661</v>
      </c>
      <c r="I84" s="153">
        <v>5.9143379145064623E-3</v>
      </c>
      <c r="J84" s="151">
        <v>4.5403838762281268E-5</v>
      </c>
    </row>
    <row r="85" spans="1:10" x14ac:dyDescent="0.2">
      <c r="A85" s="103">
        <v>84</v>
      </c>
      <c r="B85" s="103"/>
      <c r="C85" s="304">
        <v>45991</v>
      </c>
      <c r="D85" s="103">
        <v>84</v>
      </c>
      <c r="E85" s="132"/>
      <c r="F85" s="153"/>
      <c r="G85" s="153"/>
      <c r="H85" s="147">
        <v>7</v>
      </c>
      <c r="I85" s="153">
        <v>5.9597396795899593E-3</v>
      </c>
      <c r="J85" s="151">
        <v>4.5401765083497025E-5</v>
      </c>
    </row>
    <row r="86" spans="1:10" x14ac:dyDescent="0.2">
      <c r="A86" s="103">
        <v>85</v>
      </c>
      <c r="B86" s="103"/>
      <c r="C86" s="304">
        <v>46022</v>
      </c>
      <c r="D86" s="103">
        <v>85</v>
      </c>
      <c r="E86" s="132"/>
      <c r="F86" s="153"/>
      <c r="G86" s="153"/>
      <c r="H86" s="147">
        <v>7.083333333333333</v>
      </c>
      <c r="I86" s="153">
        <v>6.8251219541146657E-3</v>
      </c>
      <c r="J86" s="151">
        <v>8.653822745247064E-4</v>
      </c>
    </row>
    <row r="87" spans="1:10" x14ac:dyDescent="0.2">
      <c r="A87" s="103">
        <v>86</v>
      </c>
      <c r="B87" s="103"/>
      <c r="C87" s="304">
        <v>46053</v>
      </c>
      <c r="D87" s="103">
        <v>86</v>
      </c>
      <c r="E87" s="132"/>
      <c r="F87" s="153"/>
      <c r="G87" s="153"/>
      <c r="H87" s="147">
        <v>7.1666666666666661</v>
      </c>
      <c r="I87" s="153">
        <v>6.87425331008229E-3</v>
      </c>
      <c r="J87" s="151">
        <v>4.9131355967624302E-5</v>
      </c>
    </row>
    <row r="88" spans="1:10" x14ac:dyDescent="0.2">
      <c r="A88" s="103">
        <v>87</v>
      </c>
      <c r="B88" s="103"/>
      <c r="C88" s="304">
        <v>46081</v>
      </c>
      <c r="D88" s="103">
        <v>87</v>
      </c>
      <c r="E88" s="132"/>
      <c r="F88" s="153"/>
      <c r="G88" s="153"/>
      <c r="H88" s="147">
        <v>7.25</v>
      </c>
      <c r="I88" s="153">
        <v>6.9233822355712071E-3</v>
      </c>
      <c r="J88" s="151">
        <v>4.9128925488917119E-5</v>
      </c>
    </row>
    <row r="89" spans="1:10" x14ac:dyDescent="0.2">
      <c r="A89" s="103">
        <v>88</v>
      </c>
      <c r="B89" s="103"/>
      <c r="C89" s="304">
        <v>46112</v>
      </c>
      <c r="D89" s="103">
        <v>88</v>
      </c>
      <c r="E89" s="132"/>
      <c r="F89" s="153"/>
      <c r="G89" s="153"/>
      <c r="H89" s="147">
        <v>7.333333333333333</v>
      </c>
      <c r="I89" s="153">
        <v>6.9725087307020983E-3</v>
      </c>
      <c r="J89" s="151">
        <v>4.9126495130891179E-5</v>
      </c>
    </row>
    <row r="90" spans="1:10" x14ac:dyDescent="0.2">
      <c r="A90" s="103">
        <v>89</v>
      </c>
      <c r="B90" s="103"/>
      <c r="C90" s="304">
        <v>46142</v>
      </c>
      <c r="D90" s="103">
        <v>89</v>
      </c>
      <c r="E90" s="132"/>
      <c r="F90" s="153"/>
      <c r="G90" s="153"/>
      <c r="H90" s="147">
        <v>7.4166666666666661</v>
      </c>
      <c r="I90" s="153">
        <v>7.0216327955949787E-3</v>
      </c>
      <c r="J90" s="151">
        <v>4.9124064892880348E-5</v>
      </c>
    </row>
    <row r="91" spans="1:10" x14ac:dyDescent="0.2">
      <c r="A91" s="103">
        <v>90</v>
      </c>
      <c r="B91" s="103"/>
      <c r="C91" s="304">
        <v>46173</v>
      </c>
      <c r="D91" s="103">
        <v>90</v>
      </c>
      <c r="E91" s="132"/>
      <c r="F91" s="153"/>
      <c r="G91" s="153"/>
      <c r="H91" s="147">
        <v>7.5</v>
      </c>
      <c r="I91" s="153">
        <v>7.0707544303698633E-3</v>
      </c>
      <c r="J91" s="151">
        <v>4.9121634774884626E-5</v>
      </c>
    </row>
    <row r="92" spans="1:10" x14ac:dyDescent="0.2">
      <c r="A92" s="103">
        <v>91</v>
      </c>
      <c r="B92" s="103"/>
      <c r="C92" s="304">
        <v>46203</v>
      </c>
      <c r="D92" s="103">
        <v>91</v>
      </c>
      <c r="E92" s="132"/>
      <c r="F92" s="153"/>
      <c r="G92" s="153"/>
      <c r="H92" s="147">
        <v>7.583333333333333</v>
      </c>
      <c r="I92" s="153">
        <v>7.1198736351474334E-3</v>
      </c>
      <c r="J92" s="151">
        <v>4.9119204777570147E-5</v>
      </c>
    </row>
    <row r="93" spans="1:10" x14ac:dyDescent="0.2">
      <c r="A93" s="103">
        <v>92</v>
      </c>
      <c r="B93" s="103"/>
      <c r="C93" s="304">
        <v>46234</v>
      </c>
      <c r="D93" s="103">
        <v>92</v>
      </c>
      <c r="E93" s="132"/>
      <c r="F93" s="153"/>
      <c r="G93" s="153"/>
      <c r="H93" s="147">
        <v>7.6666666666666661</v>
      </c>
      <c r="I93" s="153">
        <v>7.1689904100475932E-3</v>
      </c>
      <c r="J93" s="151">
        <v>4.9116774900159754E-5</v>
      </c>
    </row>
    <row r="94" spans="1:10" x14ac:dyDescent="0.2">
      <c r="A94" s="103">
        <v>93</v>
      </c>
      <c r="B94" s="103"/>
      <c r="C94" s="304">
        <v>46265</v>
      </c>
      <c r="D94" s="103">
        <v>93</v>
      </c>
      <c r="E94" s="132"/>
      <c r="F94" s="153"/>
      <c r="G94" s="153"/>
      <c r="H94" s="147">
        <v>7.75</v>
      </c>
      <c r="I94" s="153">
        <v>7.2181047551905797E-3</v>
      </c>
      <c r="J94" s="151">
        <v>4.9114345142986515E-5</v>
      </c>
    </row>
    <row r="95" spans="1:10" x14ac:dyDescent="0.2">
      <c r="A95" s="103">
        <v>94</v>
      </c>
      <c r="B95" s="103"/>
      <c r="C95" s="304">
        <v>46295</v>
      </c>
      <c r="D95" s="103">
        <v>94</v>
      </c>
      <c r="E95" s="132"/>
      <c r="F95" s="153"/>
      <c r="G95" s="153"/>
      <c r="H95" s="147">
        <v>7.833333333333333</v>
      </c>
      <c r="I95" s="153">
        <v>7.2672166706967412E-3</v>
      </c>
      <c r="J95" s="151">
        <v>4.9111915506161452E-5</v>
      </c>
    </row>
    <row r="96" spans="1:10" x14ac:dyDescent="0.2">
      <c r="A96" s="103">
        <v>95</v>
      </c>
      <c r="B96" s="103"/>
      <c r="C96" s="304">
        <v>46326</v>
      </c>
      <c r="D96" s="103">
        <v>95</v>
      </c>
      <c r="E96" s="132"/>
      <c r="F96" s="153"/>
      <c r="G96" s="153"/>
      <c r="H96" s="147">
        <v>7.9166666666666661</v>
      </c>
      <c r="I96" s="153">
        <v>7.3163261566859816E-3</v>
      </c>
      <c r="J96" s="151">
        <v>4.9109485989240476E-5</v>
      </c>
    </row>
    <row r="97" spans="1:10" x14ac:dyDescent="0.2">
      <c r="A97" s="103">
        <v>96</v>
      </c>
      <c r="B97" s="103"/>
      <c r="C97" s="304">
        <v>46356</v>
      </c>
      <c r="D97" s="103">
        <v>96</v>
      </c>
      <c r="E97" s="132"/>
      <c r="F97" s="153"/>
      <c r="G97" s="153"/>
      <c r="H97" s="147">
        <v>8</v>
      </c>
      <c r="I97" s="153">
        <v>7.3654332132788713E-3</v>
      </c>
      <c r="J97" s="151">
        <v>4.910705659288972E-5</v>
      </c>
    </row>
    <row r="98" spans="1:10" x14ac:dyDescent="0.2">
      <c r="A98" s="103">
        <v>97</v>
      </c>
      <c r="B98" s="103"/>
      <c r="C98" s="304">
        <v>46387</v>
      </c>
      <c r="D98" s="103">
        <v>97</v>
      </c>
      <c r="E98" s="132"/>
      <c r="F98" s="153"/>
      <c r="G98" s="153"/>
      <c r="H98" s="147">
        <v>8.0833333333333321</v>
      </c>
      <c r="I98" s="153">
        <v>8.3629580647083257E-3</v>
      </c>
      <c r="J98" s="151">
        <v>9.9752485142945435E-4</v>
      </c>
    </row>
    <row r="99" spans="1:10" x14ac:dyDescent="0.2">
      <c r="A99" s="103">
        <v>98</v>
      </c>
      <c r="B99" s="103"/>
      <c r="C99" s="304">
        <v>46418</v>
      </c>
      <c r="D99" s="103">
        <v>98</v>
      </c>
      <c r="E99" s="132"/>
      <c r="F99" s="153"/>
      <c r="G99" s="153"/>
      <c r="H99" s="147">
        <v>8.1666666666666661</v>
      </c>
      <c r="I99" s="153">
        <v>8.4162400572476148E-3</v>
      </c>
      <c r="J99" s="151">
        <v>5.3281992539289114E-5</v>
      </c>
    </row>
    <row r="100" spans="1:10" x14ac:dyDescent="0.2">
      <c r="A100" s="103">
        <v>99</v>
      </c>
      <c r="B100" s="103"/>
      <c r="C100" s="304">
        <v>46446</v>
      </c>
      <c r="D100" s="103">
        <v>99</v>
      </c>
      <c r="E100" s="132"/>
      <c r="F100" s="153"/>
      <c r="G100" s="153"/>
      <c r="H100" s="147">
        <v>8.25</v>
      </c>
      <c r="I100" s="153">
        <v>8.4695191868739972E-3</v>
      </c>
      <c r="J100" s="151">
        <v>5.3279129626382371E-5</v>
      </c>
    </row>
    <row r="101" spans="1:10" x14ac:dyDescent="0.2">
      <c r="A101" s="103">
        <v>100</v>
      </c>
      <c r="B101" s="103"/>
      <c r="C101" s="304">
        <v>46477</v>
      </c>
      <c r="D101" s="103">
        <v>100</v>
      </c>
      <c r="E101" s="132"/>
      <c r="F101" s="153"/>
      <c r="G101" s="153"/>
      <c r="H101" s="147">
        <v>8.3333333333333321</v>
      </c>
      <c r="I101" s="153">
        <v>8.5227954537409056E-3</v>
      </c>
      <c r="J101" s="151">
        <v>5.327626686690845E-5</v>
      </c>
    </row>
    <row r="102" spans="1:10" x14ac:dyDescent="0.2">
      <c r="A102" s="103">
        <v>101</v>
      </c>
      <c r="B102" s="103"/>
      <c r="C102" s="304">
        <v>46507</v>
      </c>
      <c r="D102" s="103">
        <v>101</v>
      </c>
      <c r="E102" s="132"/>
      <c r="F102" s="153"/>
      <c r="G102" s="153"/>
      <c r="H102" s="147">
        <v>8.4166666666666661</v>
      </c>
      <c r="I102" s="153">
        <v>8.5760688580022171E-3</v>
      </c>
      <c r="J102" s="151">
        <v>5.3273404261311441E-5</v>
      </c>
    </row>
    <row r="103" spans="1:10" x14ac:dyDescent="0.2">
      <c r="A103" s="103">
        <v>102</v>
      </c>
      <c r="B103" s="103"/>
      <c r="C103" s="304">
        <v>46538</v>
      </c>
      <c r="D103" s="103">
        <v>102</v>
      </c>
      <c r="E103" s="132"/>
      <c r="F103" s="153"/>
      <c r="G103" s="153"/>
      <c r="H103" s="147">
        <v>8.5</v>
      </c>
      <c r="I103" s="153">
        <v>8.6293393998120305E-3</v>
      </c>
      <c r="J103" s="151">
        <v>5.3270541809813388E-5</v>
      </c>
    </row>
    <row r="104" spans="1:10" x14ac:dyDescent="0.2">
      <c r="A104" s="103">
        <v>103</v>
      </c>
      <c r="B104" s="103"/>
      <c r="C104" s="304">
        <v>46568</v>
      </c>
      <c r="D104" s="103">
        <v>103</v>
      </c>
      <c r="E104" s="132"/>
      <c r="F104" s="153"/>
      <c r="G104" s="153"/>
      <c r="H104" s="147">
        <v>8.5833333333333321</v>
      </c>
      <c r="I104" s="153">
        <v>8.6826070793237786E-3</v>
      </c>
      <c r="J104" s="151">
        <v>5.3267679511748156E-5</v>
      </c>
    </row>
    <row r="105" spans="1:10" x14ac:dyDescent="0.2">
      <c r="A105" s="103">
        <v>104</v>
      </c>
      <c r="B105" s="103"/>
      <c r="C105" s="304">
        <v>46599</v>
      </c>
      <c r="D105" s="103">
        <v>104</v>
      </c>
      <c r="E105" s="132"/>
      <c r="F105" s="153"/>
      <c r="G105" s="153"/>
      <c r="H105" s="147">
        <v>8.6666666666666661</v>
      </c>
      <c r="I105" s="153">
        <v>8.7358718966915605E-3</v>
      </c>
      <c r="J105" s="151">
        <v>5.326481736778188E-5</v>
      </c>
    </row>
    <row r="106" spans="1:10" x14ac:dyDescent="0.2">
      <c r="A106" s="103">
        <v>105</v>
      </c>
      <c r="B106" s="103"/>
      <c r="C106" s="304">
        <v>46630</v>
      </c>
      <c r="D106" s="103">
        <v>105</v>
      </c>
      <c r="E106" s="132"/>
      <c r="F106" s="153"/>
      <c r="G106" s="153"/>
      <c r="H106" s="147">
        <v>8.75</v>
      </c>
      <c r="I106" s="153">
        <v>8.7891338520689199E-3</v>
      </c>
      <c r="J106" s="151">
        <v>5.3261955377359449E-5</v>
      </c>
    </row>
    <row r="107" spans="1:10" x14ac:dyDescent="0.2">
      <c r="A107" s="103">
        <v>106</v>
      </c>
      <c r="B107" s="103"/>
      <c r="C107" s="304">
        <v>46660</v>
      </c>
      <c r="D107" s="103">
        <v>106</v>
      </c>
      <c r="E107" s="132"/>
      <c r="F107" s="153"/>
      <c r="G107" s="153"/>
      <c r="H107" s="147">
        <v>8.8333333333333321</v>
      </c>
      <c r="I107" s="153">
        <v>8.8423929456098449E-3</v>
      </c>
      <c r="J107" s="151">
        <v>5.3259093540924951E-5</v>
      </c>
    </row>
    <row r="108" spans="1:10" x14ac:dyDescent="0.2">
      <c r="A108" s="103">
        <v>107</v>
      </c>
      <c r="B108" s="103"/>
      <c r="C108" s="304">
        <v>46691</v>
      </c>
      <c r="D108" s="103">
        <v>107</v>
      </c>
      <c r="E108" s="132"/>
      <c r="F108" s="153"/>
      <c r="G108" s="153"/>
      <c r="H108" s="147">
        <v>8.9166666666666661</v>
      </c>
      <c r="I108" s="153">
        <v>8.8956491774681012E-3</v>
      </c>
      <c r="J108" s="151">
        <v>5.3256231858256342E-5</v>
      </c>
    </row>
    <row r="109" spans="1:10" x14ac:dyDescent="0.2">
      <c r="A109" s="103">
        <v>108</v>
      </c>
      <c r="B109" s="103"/>
      <c r="C109" s="304">
        <v>46721</v>
      </c>
      <c r="D109" s="103">
        <v>108</v>
      </c>
      <c r="E109" s="132"/>
      <c r="F109" s="153"/>
      <c r="G109" s="153"/>
      <c r="H109" s="147">
        <v>9</v>
      </c>
      <c r="I109" s="153">
        <v>8.9489025477971218E-3</v>
      </c>
      <c r="J109" s="151">
        <v>5.3253370329020555E-5</v>
      </c>
    </row>
    <row r="110" spans="1:10" x14ac:dyDescent="0.2">
      <c r="A110" s="103">
        <v>109</v>
      </c>
      <c r="B110" s="103"/>
      <c r="C110" s="304">
        <v>46752</v>
      </c>
      <c r="D110" s="103">
        <v>109</v>
      </c>
      <c r="E110" s="132"/>
      <c r="F110" s="153"/>
      <c r="G110" s="153"/>
      <c r="H110" s="147">
        <v>9.0833333333333321</v>
      </c>
      <c r="I110" s="153">
        <v>1.0091023858782355E-2</v>
      </c>
      <c r="J110" s="151">
        <v>1.1421213109852335E-3</v>
      </c>
    </row>
    <row r="111" spans="1:10" x14ac:dyDescent="0.2">
      <c r="A111" s="103">
        <v>110</v>
      </c>
      <c r="B111" s="103"/>
      <c r="C111" s="304">
        <v>46783</v>
      </c>
      <c r="D111" s="103">
        <v>110</v>
      </c>
      <c r="E111" s="132"/>
      <c r="F111" s="153"/>
      <c r="G111" s="153"/>
      <c r="H111" s="147">
        <v>9.1666666666666661</v>
      </c>
      <c r="I111" s="153">
        <v>1.0148851766023426E-2</v>
      </c>
      <c r="J111" s="151">
        <v>5.7827907241070342E-5</v>
      </c>
    </row>
    <row r="112" spans="1:10" x14ac:dyDescent="0.2">
      <c r="A112" s="103">
        <v>111</v>
      </c>
      <c r="B112" s="103"/>
      <c r="C112" s="304">
        <v>46812</v>
      </c>
      <c r="D112" s="103">
        <v>111</v>
      </c>
      <c r="E112" s="132"/>
      <c r="F112" s="153"/>
      <c r="G112" s="153"/>
      <c r="H112" s="147">
        <v>9.25</v>
      </c>
      <c r="I112" s="153">
        <v>1.0206676295108519E-2</v>
      </c>
      <c r="J112" s="151">
        <v>5.7824529085093168E-5</v>
      </c>
    </row>
    <row r="113" spans="1:10" x14ac:dyDescent="0.2">
      <c r="A113" s="103">
        <v>112</v>
      </c>
      <c r="B113" s="103"/>
      <c r="C113" s="304">
        <v>46843</v>
      </c>
      <c r="D113" s="103">
        <v>112</v>
      </c>
      <c r="E113" s="132"/>
      <c r="F113" s="153"/>
      <c r="G113" s="153"/>
      <c r="H113" s="147">
        <v>9.3333333333333321</v>
      </c>
      <c r="I113" s="153">
        <v>1.0264497446235143E-2</v>
      </c>
      <c r="J113" s="151">
        <v>5.782115112662467E-5</v>
      </c>
    </row>
    <row r="114" spans="1:10" x14ac:dyDescent="0.2">
      <c r="A114" s="103">
        <v>113</v>
      </c>
      <c r="B114" s="103"/>
      <c r="C114" s="304">
        <v>46873</v>
      </c>
      <c r="D114" s="103">
        <v>113</v>
      </c>
      <c r="E114" s="132"/>
      <c r="F114" s="153"/>
      <c r="G114" s="153"/>
      <c r="H114" s="147">
        <v>9.4166666666666661</v>
      </c>
      <c r="I114" s="153">
        <v>1.0322315219600364E-2</v>
      </c>
      <c r="J114" s="151">
        <v>5.7817773365220759E-5</v>
      </c>
    </row>
    <row r="115" spans="1:10" x14ac:dyDescent="0.2">
      <c r="A115" s="103">
        <v>114</v>
      </c>
      <c r="B115" s="103"/>
      <c r="C115" s="304">
        <v>46904</v>
      </c>
      <c r="D115" s="103">
        <v>114</v>
      </c>
      <c r="E115" s="132"/>
      <c r="F115" s="153"/>
      <c r="G115" s="153"/>
      <c r="H115" s="147">
        <v>9.5</v>
      </c>
      <c r="I115" s="153">
        <v>1.0380129615401801E-2</v>
      </c>
      <c r="J115" s="151">
        <v>5.7814395801436547E-5</v>
      </c>
    </row>
    <row r="116" spans="1:10" x14ac:dyDescent="0.2">
      <c r="A116" s="103">
        <v>115</v>
      </c>
      <c r="B116" s="103"/>
      <c r="C116" s="304">
        <v>46934</v>
      </c>
      <c r="D116" s="103">
        <v>115</v>
      </c>
      <c r="E116" s="132"/>
      <c r="F116" s="153"/>
      <c r="G116" s="153"/>
      <c r="H116" s="147">
        <v>9.5833333333333321</v>
      </c>
      <c r="I116" s="153">
        <v>1.0437940633836629E-2</v>
      </c>
      <c r="J116" s="151">
        <v>5.7811018434827943E-5</v>
      </c>
    </row>
    <row r="117" spans="1:10" x14ac:dyDescent="0.2">
      <c r="A117" s="103">
        <v>116</v>
      </c>
      <c r="B117" s="103"/>
      <c r="C117" s="304">
        <v>46965</v>
      </c>
      <c r="D117" s="103">
        <v>116</v>
      </c>
      <c r="E117" s="132"/>
      <c r="F117" s="153"/>
      <c r="G117" s="153"/>
      <c r="H117" s="147">
        <v>9.6666666666666661</v>
      </c>
      <c r="I117" s="153">
        <v>1.0495748275102135E-2</v>
      </c>
      <c r="J117" s="151">
        <v>5.7807641265505971E-5</v>
      </c>
    </row>
    <row r="118" spans="1:10" x14ac:dyDescent="0.2">
      <c r="A118" s="103">
        <v>117</v>
      </c>
      <c r="B118" s="103"/>
      <c r="C118" s="304">
        <v>46996</v>
      </c>
      <c r="D118" s="103">
        <v>117</v>
      </c>
      <c r="E118" s="132"/>
      <c r="F118" s="153"/>
      <c r="G118" s="153"/>
      <c r="H118" s="147">
        <v>9.75</v>
      </c>
      <c r="I118" s="153">
        <v>1.0553552539395605E-2</v>
      </c>
      <c r="J118" s="151">
        <v>5.7804264293470631E-5</v>
      </c>
    </row>
    <row r="119" spans="1:10" x14ac:dyDescent="0.2">
      <c r="A119" s="103">
        <v>118</v>
      </c>
      <c r="B119" s="103"/>
      <c r="C119" s="304">
        <v>47026</v>
      </c>
      <c r="D119" s="103">
        <v>118</v>
      </c>
      <c r="E119" s="132"/>
      <c r="F119" s="153"/>
      <c r="G119" s="153"/>
      <c r="H119" s="147">
        <v>9.8333333333333321</v>
      </c>
      <c r="I119" s="153">
        <v>1.0611353426914327E-2</v>
      </c>
      <c r="J119" s="151">
        <v>5.7800887518721922E-5</v>
      </c>
    </row>
    <row r="120" spans="1:10" x14ac:dyDescent="0.2">
      <c r="A120" s="103">
        <v>119</v>
      </c>
      <c r="B120" s="103"/>
      <c r="C120" s="304">
        <v>47057</v>
      </c>
      <c r="D120" s="103">
        <v>119</v>
      </c>
      <c r="E120" s="132"/>
      <c r="F120" s="153"/>
      <c r="G120" s="153"/>
      <c r="H120" s="147">
        <v>9.9166666666666661</v>
      </c>
      <c r="I120" s="153">
        <v>1.0669150937855587E-2</v>
      </c>
      <c r="J120" s="151">
        <v>5.7797510941259844E-5</v>
      </c>
    </row>
    <row r="121" spans="1:10" x14ac:dyDescent="0.2">
      <c r="A121" s="103">
        <v>120</v>
      </c>
      <c r="B121" s="103"/>
      <c r="C121" s="304">
        <v>47087</v>
      </c>
      <c r="D121" s="103">
        <v>120</v>
      </c>
      <c r="E121" s="132"/>
      <c r="F121" s="153"/>
      <c r="G121" s="153"/>
      <c r="H121" s="147">
        <v>10</v>
      </c>
      <c r="I121" s="153">
        <v>1.072694507241656E-2</v>
      </c>
      <c r="J121" s="151">
        <v>5.7794134560973376E-5</v>
      </c>
    </row>
    <row r="122" spans="1:10" x14ac:dyDescent="0.2">
      <c r="A122" s="103">
        <v>121</v>
      </c>
      <c r="B122" s="103"/>
      <c r="C122" s="304">
        <v>47118</v>
      </c>
      <c r="D122" s="103">
        <v>121</v>
      </c>
      <c r="E122" s="132"/>
      <c r="F122" s="153"/>
      <c r="G122" s="153"/>
      <c r="H122" s="147">
        <v>10.083333333333332</v>
      </c>
      <c r="I122" s="153">
        <v>1.2023710900429085E-2</v>
      </c>
      <c r="J122" s="151">
        <v>1.2967658280125249E-3</v>
      </c>
    </row>
    <row r="123" spans="1:10" x14ac:dyDescent="0.2">
      <c r="A123" s="103">
        <v>122</v>
      </c>
      <c r="B123" s="103"/>
      <c r="C123" s="304">
        <v>47149</v>
      </c>
      <c r="D123" s="103">
        <v>122</v>
      </c>
      <c r="E123" s="132"/>
      <c r="F123" s="153"/>
      <c r="G123" s="153"/>
      <c r="H123" s="147">
        <v>10.166666666666666</v>
      </c>
      <c r="I123" s="153">
        <v>1.2086431091424599E-2</v>
      </c>
      <c r="J123" s="151">
        <v>6.2720190995513292E-5</v>
      </c>
    </row>
    <row r="124" spans="1:10" x14ac:dyDescent="0.2">
      <c r="A124" s="103">
        <v>123</v>
      </c>
      <c r="B124" s="103"/>
      <c r="C124" s="304">
        <v>47177</v>
      </c>
      <c r="D124" s="103">
        <v>123</v>
      </c>
      <c r="E124" s="132"/>
      <c r="F124" s="153"/>
      <c r="G124" s="153"/>
      <c r="H124" s="147">
        <v>10.25</v>
      </c>
      <c r="I124" s="153">
        <v>1.2149147300723029E-2</v>
      </c>
      <c r="J124" s="151">
        <v>6.2716209298430137E-5</v>
      </c>
    </row>
    <row r="125" spans="1:10" x14ac:dyDescent="0.2">
      <c r="A125" s="103">
        <v>124</v>
      </c>
      <c r="B125" s="103"/>
      <c r="C125" s="304">
        <v>47208</v>
      </c>
      <c r="D125" s="103">
        <v>124</v>
      </c>
      <c r="E125" s="132"/>
      <c r="F125" s="153"/>
      <c r="G125" s="153"/>
      <c r="H125" s="147">
        <v>10.333333333333332</v>
      </c>
      <c r="I125" s="153">
        <v>1.2211859528576952E-2</v>
      </c>
      <c r="J125" s="151">
        <v>6.271222785392272E-5</v>
      </c>
    </row>
    <row r="126" spans="1:10" x14ac:dyDescent="0.2">
      <c r="A126" s="103">
        <v>125</v>
      </c>
      <c r="B126" s="103"/>
      <c r="C126" s="304">
        <v>47238</v>
      </c>
      <c r="D126" s="103">
        <v>125</v>
      </c>
      <c r="E126" s="132"/>
      <c r="F126" s="153"/>
      <c r="G126" s="153"/>
      <c r="H126" s="147">
        <v>10.416666666666666</v>
      </c>
      <c r="I126" s="153">
        <v>1.2274567775239387E-2</v>
      </c>
      <c r="J126" s="151">
        <v>6.270824666243513E-5</v>
      </c>
    </row>
    <row r="127" spans="1:10" x14ac:dyDescent="0.2">
      <c r="A127" s="103">
        <v>126</v>
      </c>
      <c r="B127" s="103"/>
      <c r="C127" s="304">
        <v>47269</v>
      </c>
      <c r="D127" s="103">
        <v>126</v>
      </c>
      <c r="E127" s="132"/>
      <c r="F127" s="153"/>
      <c r="G127" s="153"/>
      <c r="H127" s="147">
        <v>10.5</v>
      </c>
      <c r="I127" s="153">
        <v>1.233727204096291E-2</v>
      </c>
      <c r="J127" s="151">
        <v>6.2704265723523278E-5</v>
      </c>
    </row>
    <row r="128" spans="1:10" x14ac:dyDescent="0.2">
      <c r="A128" s="103">
        <v>127</v>
      </c>
      <c r="B128" s="103"/>
      <c r="C128" s="304">
        <v>47299</v>
      </c>
      <c r="D128" s="103">
        <v>127</v>
      </c>
      <c r="E128" s="132"/>
      <c r="F128" s="153"/>
      <c r="G128" s="153"/>
      <c r="H128" s="147">
        <v>10.583333333333332</v>
      </c>
      <c r="I128" s="153">
        <v>1.2399972326000319E-2</v>
      </c>
      <c r="J128" s="151">
        <v>6.2700285037409209E-5</v>
      </c>
    </row>
    <row r="129" spans="1:10" x14ac:dyDescent="0.2">
      <c r="A129" s="103">
        <v>128</v>
      </c>
      <c r="B129" s="103"/>
      <c r="C129" s="304">
        <v>47330</v>
      </c>
      <c r="D129" s="103">
        <v>128</v>
      </c>
      <c r="E129" s="132"/>
      <c r="F129" s="153"/>
      <c r="G129" s="153"/>
      <c r="H129" s="147">
        <v>10.666666666666666</v>
      </c>
      <c r="I129" s="153">
        <v>1.246266863060419E-2</v>
      </c>
      <c r="J129" s="151">
        <v>6.2696304603870878E-5</v>
      </c>
    </row>
    <row r="130" spans="1:10" x14ac:dyDescent="0.2">
      <c r="A130" s="103">
        <v>129</v>
      </c>
      <c r="B130" s="103"/>
      <c r="C130" s="304">
        <v>47361</v>
      </c>
      <c r="D130" s="103">
        <v>129</v>
      </c>
      <c r="E130" s="132"/>
      <c r="F130" s="153"/>
      <c r="G130" s="153"/>
      <c r="H130" s="147">
        <v>10.75</v>
      </c>
      <c r="I130" s="153">
        <v>1.2525360955027431E-2</v>
      </c>
      <c r="J130" s="151">
        <v>6.2692324423241352E-5</v>
      </c>
    </row>
    <row r="131" spans="1:10" x14ac:dyDescent="0.2">
      <c r="A131" s="103">
        <v>130</v>
      </c>
      <c r="B131" s="103"/>
      <c r="C131" s="304">
        <v>47391</v>
      </c>
      <c r="D131" s="103">
        <v>130</v>
      </c>
      <c r="E131" s="132"/>
      <c r="F131" s="153"/>
      <c r="G131" s="153"/>
      <c r="H131" s="147">
        <v>10.833333333333332</v>
      </c>
      <c r="I131" s="153">
        <v>1.2588049299522508E-2</v>
      </c>
      <c r="J131" s="151">
        <v>6.2688344495076542E-5</v>
      </c>
    </row>
    <row r="132" spans="1:10" x14ac:dyDescent="0.2">
      <c r="A132" s="103">
        <v>131</v>
      </c>
      <c r="B132" s="103"/>
      <c r="C132" s="304">
        <v>47422</v>
      </c>
      <c r="D132" s="103">
        <v>131</v>
      </c>
      <c r="E132" s="132"/>
      <c r="F132" s="153"/>
      <c r="G132" s="153"/>
      <c r="H132" s="147">
        <v>10.916666666666666</v>
      </c>
      <c r="I132" s="153">
        <v>1.2650733664342328E-2</v>
      </c>
      <c r="J132" s="151">
        <v>6.2684364819820537E-5</v>
      </c>
    </row>
    <row r="133" spans="1:10" x14ac:dyDescent="0.2">
      <c r="A133" s="103">
        <v>132</v>
      </c>
      <c r="B133" s="103"/>
      <c r="C133" s="304">
        <v>47452</v>
      </c>
      <c r="D133" s="103">
        <v>132</v>
      </c>
      <c r="E133" s="132"/>
      <c r="F133" s="153"/>
      <c r="G133" s="153"/>
      <c r="H133" s="147">
        <v>11</v>
      </c>
      <c r="I133" s="153">
        <v>1.2713414049739136E-2</v>
      </c>
      <c r="J133" s="151">
        <v>6.2680385396807203E-5</v>
      </c>
    </row>
    <row r="134" spans="1:10" x14ac:dyDescent="0.2">
      <c r="A134" s="103">
        <v>133</v>
      </c>
      <c r="B134" s="103"/>
      <c r="C134" s="304">
        <v>47483</v>
      </c>
      <c r="D134" s="103">
        <v>133</v>
      </c>
      <c r="E134" s="132"/>
      <c r="F134" s="153"/>
      <c r="G134" s="153"/>
      <c r="H134" s="147">
        <v>11.083333333333332</v>
      </c>
      <c r="I134" s="153">
        <v>1.4172506116184369E-2</v>
      </c>
      <c r="J134" s="151">
        <v>1.4590920664452334E-3</v>
      </c>
    </row>
    <row r="135" spans="1:10" x14ac:dyDescent="0.2">
      <c r="A135" s="103">
        <v>134</v>
      </c>
      <c r="B135" s="103"/>
      <c r="C135" s="304">
        <v>47514</v>
      </c>
      <c r="D135" s="103">
        <v>134</v>
      </c>
      <c r="E135" s="132"/>
      <c r="F135" s="153"/>
      <c r="G135" s="153"/>
      <c r="H135" s="147">
        <v>11.166666666666666</v>
      </c>
      <c r="I135" s="153">
        <v>1.4240415148392804E-2</v>
      </c>
      <c r="J135" s="151">
        <v>6.7909032208435249E-5</v>
      </c>
    </row>
    <row r="136" spans="1:10" x14ac:dyDescent="0.2">
      <c r="A136" s="103">
        <v>135</v>
      </c>
      <c r="B136" s="103"/>
      <c r="C136" s="304">
        <v>47542</v>
      </c>
      <c r="D136" s="103">
        <v>135</v>
      </c>
      <c r="E136" s="132"/>
      <c r="F136" s="153"/>
      <c r="G136" s="153"/>
      <c r="H136" s="147">
        <v>11.25</v>
      </c>
      <c r="I136" s="153">
        <v>1.4308319502666644E-2</v>
      </c>
      <c r="J136" s="151">
        <v>6.7904354273840006E-5</v>
      </c>
    </row>
    <row r="137" spans="1:10" x14ac:dyDescent="0.2">
      <c r="A137" s="103">
        <v>136</v>
      </c>
      <c r="B137" s="103"/>
      <c r="C137" s="304">
        <v>47573</v>
      </c>
      <c r="D137" s="103">
        <v>136</v>
      </c>
      <c r="E137" s="132"/>
      <c r="F137" s="153"/>
      <c r="G137" s="153"/>
      <c r="H137" s="147">
        <v>11.333333333333332</v>
      </c>
      <c r="I137" s="153">
        <v>1.4376219179327965E-2</v>
      </c>
      <c r="J137" s="151">
        <v>6.7899676661320463E-5</v>
      </c>
    </row>
    <row r="138" spans="1:10" x14ac:dyDescent="0.2">
      <c r="A138" s="103">
        <v>137</v>
      </c>
      <c r="B138" s="103"/>
      <c r="C138" s="304">
        <v>47603</v>
      </c>
      <c r="D138" s="103">
        <v>137</v>
      </c>
      <c r="E138" s="132"/>
      <c r="F138" s="153"/>
      <c r="G138" s="153"/>
      <c r="H138" s="147">
        <v>11.416666666666666</v>
      </c>
      <c r="I138" s="153">
        <v>1.4444114178699063E-2</v>
      </c>
      <c r="J138" s="151">
        <v>6.7894999371098663E-5</v>
      </c>
    </row>
    <row r="139" spans="1:10" x14ac:dyDescent="0.2">
      <c r="A139" s="103">
        <v>138</v>
      </c>
      <c r="B139" s="103"/>
      <c r="C139" s="304">
        <v>47634</v>
      </c>
      <c r="D139" s="103">
        <v>138</v>
      </c>
      <c r="E139" s="132"/>
      <c r="F139" s="153"/>
      <c r="G139" s="153"/>
      <c r="H139" s="147">
        <v>11.5</v>
      </c>
      <c r="I139" s="153">
        <v>1.4512004501102127E-2</v>
      </c>
      <c r="J139" s="151">
        <v>6.7890322403063585E-5</v>
      </c>
    </row>
    <row r="140" spans="1:10" x14ac:dyDescent="0.2">
      <c r="A140" s="103">
        <v>139</v>
      </c>
      <c r="B140" s="103"/>
      <c r="C140" s="304">
        <v>47664</v>
      </c>
      <c r="D140" s="103">
        <v>139</v>
      </c>
      <c r="E140" s="132"/>
      <c r="F140" s="153"/>
      <c r="G140" s="153"/>
      <c r="H140" s="147">
        <v>11.583333333333332</v>
      </c>
      <c r="I140" s="153">
        <v>1.4579890146859231E-2</v>
      </c>
      <c r="J140" s="151">
        <v>6.7885645757104207E-5</v>
      </c>
    </row>
    <row r="141" spans="1:10" x14ac:dyDescent="0.2">
      <c r="A141" s="103">
        <v>140</v>
      </c>
      <c r="B141" s="103"/>
      <c r="C141" s="304">
        <v>47695</v>
      </c>
      <c r="D141" s="103">
        <v>140</v>
      </c>
      <c r="E141" s="132"/>
      <c r="F141" s="153"/>
      <c r="G141" s="153"/>
      <c r="H141" s="147">
        <v>11.666666666666666</v>
      </c>
      <c r="I141" s="153">
        <v>1.4647771116292674E-2</v>
      </c>
      <c r="J141" s="151">
        <v>6.7880969433442573E-5</v>
      </c>
    </row>
    <row r="142" spans="1:10" x14ac:dyDescent="0.2">
      <c r="A142" s="103">
        <v>141</v>
      </c>
      <c r="B142" s="103"/>
      <c r="C142" s="304">
        <v>47726</v>
      </c>
      <c r="D142" s="103">
        <v>141</v>
      </c>
      <c r="E142" s="132"/>
      <c r="F142" s="153"/>
      <c r="G142" s="153"/>
      <c r="H142" s="147">
        <v>11.75</v>
      </c>
      <c r="I142" s="153">
        <v>1.471564740972453E-2</v>
      </c>
      <c r="J142" s="151">
        <v>6.7876293431856638E-5</v>
      </c>
    </row>
    <row r="143" spans="1:10" x14ac:dyDescent="0.2">
      <c r="A143" s="103">
        <v>142</v>
      </c>
      <c r="B143" s="103"/>
      <c r="C143" s="304">
        <v>47756</v>
      </c>
      <c r="D143" s="103">
        <v>142</v>
      </c>
      <c r="E143" s="132"/>
      <c r="F143" s="153"/>
      <c r="G143" s="153"/>
      <c r="H143" s="147">
        <v>11.833333333333332</v>
      </c>
      <c r="I143" s="153">
        <v>1.4783519027476766E-2</v>
      </c>
      <c r="J143" s="151">
        <v>6.787161775223538E-5</v>
      </c>
    </row>
    <row r="144" spans="1:10" x14ac:dyDescent="0.2">
      <c r="A144" s="103">
        <v>143</v>
      </c>
      <c r="B144" s="103"/>
      <c r="C144" s="304">
        <v>47787</v>
      </c>
      <c r="D144" s="103">
        <v>143</v>
      </c>
      <c r="E144" s="132"/>
      <c r="F144" s="153"/>
      <c r="G144" s="153"/>
      <c r="H144" s="147">
        <v>11.916666666666666</v>
      </c>
      <c r="I144" s="153">
        <v>1.4851385969871789E-2</v>
      </c>
      <c r="J144" s="151">
        <v>6.7866942395022889E-5</v>
      </c>
    </row>
    <row r="145" spans="1:10" x14ac:dyDescent="0.2">
      <c r="A145" s="103">
        <v>144</v>
      </c>
      <c r="B145" s="103"/>
      <c r="C145" s="304">
        <v>47817</v>
      </c>
      <c r="D145" s="103">
        <v>144</v>
      </c>
      <c r="E145" s="132"/>
      <c r="F145" s="153"/>
      <c r="G145" s="153"/>
      <c r="H145" s="147">
        <v>12</v>
      </c>
      <c r="I145" s="153">
        <v>1.4919248237231231E-2</v>
      </c>
      <c r="J145" s="151">
        <v>6.7862267359442008E-5</v>
      </c>
    </row>
    <row r="146" spans="1:10" x14ac:dyDescent="0.2">
      <c r="A146" s="103">
        <v>145</v>
      </c>
      <c r="B146" s="103"/>
      <c r="C146" s="304">
        <v>47848</v>
      </c>
      <c r="D146" s="103">
        <v>145</v>
      </c>
      <c r="E146" s="132"/>
      <c r="F146" s="153"/>
      <c r="G146" s="153"/>
      <c r="H146" s="147">
        <v>12.083333333333332</v>
      </c>
      <c r="I146" s="153">
        <v>1.6546085742298655E-2</v>
      </c>
      <c r="J146" s="151">
        <v>1.6268375050674244E-3</v>
      </c>
    </row>
    <row r="147" spans="1:10" x14ac:dyDescent="0.2">
      <c r="A147" s="103">
        <v>146</v>
      </c>
      <c r="B147" s="103"/>
      <c r="C147" s="304">
        <v>47879</v>
      </c>
      <c r="D147" s="103">
        <v>146</v>
      </c>
      <c r="E147" s="132"/>
      <c r="F147" s="153"/>
      <c r="G147" s="153"/>
      <c r="H147" s="147">
        <v>12.166666666666666</v>
      </c>
      <c r="I147" s="153">
        <v>1.6619430651752198E-2</v>
      </c>
      <c r="J147" s="151">
        <v>7.3344909453543217E-5</v>
      </c>
    </row>
    <row r="148" spans="1:10" x14ac:dyDescent="0.2">
      <c r="A148" s="103">
        <v>147</v>
      </c>
      <c r="B148" s="103"/>
      <c r="C148" s="304">
        <v>47907</v>
      </c>
      <c r="D148" s="103">
        <v>147</v>
      </c>
      <c r="E148" s="132"/>
      <c r="F148" s="153"/>
      <c r="G148" s="153"/>
      <c r="H148" s="147">
        <v>12.25</v>
      </c>
      <c r="I148" s="153">
        <v>1.6692770091223164E-2</v>
      </c>
      <c r="J148" s="151">
        <v>7.3339439470965218E-5</v>
      </c>
    </row>
    <row r="149" spans="1:10" x14ac:dyDescent="0.2">
      <c r="A149" s="103">
        <v>148</v>
      </c>
      <c r="B149" s="103"/>
      <c r="C149" s="304">
        <v>47938</v>
      </c>
      <c r="D149" s="103">
        <v>148</v>
      </c>
      <c r="E149" s="132"/>
      <c r="F149" s="153"/>
      <c r="G149" s="153"/>
      <c r="H149" s="147">
        <v>12.333333333333332</v>
      </c>
      <c r="I149" s="153">
        <v>1.6766104061119558E-2</v>
      </c>
      <c r="J149" s="151">
        <v>7.333396989639418E-5</v>
      </c>
    </row>
    <row r="150" spans="1:10" x14ac:dyDescent="0.2">
      <c r="A150" s="103">
        <v>149</v>
      </c>
      <c r="B150" s="103"/>
      <c r="C150" s="304">
        <v>47968</v>
      </c>
      <c r="D150" s="103">
        <v>149</v>
      </c>
      <c r="E150" s="132"/>
      <c r="F150" s="153"/>
      <c r="G150" s="153"/>
      <c r="H150" s="147">
        <v>12.416666666666666</v>
      </c>
      <c r="I150" s="153">
        <v>1.6839432561849277E-2</v>
      </c>
      <c r="J150" s="151">
        <v>7.3328500729719082E-5</v>
      </c>
    </row>
    <row r="151" spans="1:10" x14ac:dyDescent="0.2">
      <c r="A151" s="103">
        <v>150</v>
      </c>
      <c r="B151" s="103"/>
      <c r="C151" s="304">
        <v>47999</v>
      </c>
      <c r="D151" s="103">
        <v>150</v>
      </c>
      <c r="E151" s="132"/>
      <c r="F151" s="153"/>
      <c r="G151" s="153"/>
      <c r="H151" s="147">
        <v>12.5</v>
      </c>
      <c r="I151" s="153">
        <v>1.6912755593820106E-2</v>
      </c>
      <c r="J151" s="151">
        <v>7.33230319708289E-5</v>
      </c>
    </row>
    <row r="152" spans="1:10" x14ac:dyDescent="0.2">
      <c r="A152" s="103">
        <v>151</v>
      </c>
      <c r="B152" s="103"/>
      <c r="C152" s="304">
        <v>48029</v>
      </c>
      <c r="D152" s="103">
        <v>151</v>
      </c>
      <c r="E152" s="132"/>
      <c r="F152" s="153"/>
      <c r="G152" s="153"/>
      <c r="H152" s="147">
        <v>12.583333333333332</v>
      </c>
      <c r="I152" s="153">
        <v>1.6986073157440051E-2</v>
      </c>
      <c r="J152" s="151">
        <v>7.331756361994568E-5</v>
      </c>
    </row>
    <row r="153" spans="1:10" x14ac:dyDescent="0.2">
      <c r="A153" s="103">
        <v>152</v>
      </c>
      <c r="B153" s="103"/>
      <c r="C153" s="304">
        <v>48060</v>
      </c>
      <c r="D153" s="103">
        <v>152</v>
      </c>
      <c r="E153" s="132"/>
      <c r="F153" s="153"/>
      <c r="G153" s="153"/>
      <c r="H153" s="147">
        <v>12.666666666666666</v>
      </c>
      <c r="I153" s="153">
        <v>1.7059385253116899E-2</v>
      </c>
      <c r="J153" s="151">
        <v>7.3312095676847377E-5</v>
      </c>
    </row>
    <row r="154" spans="1:10" x14ac:dyDescent="0.2">
      <c r="A154" s="103">
        <v>153</v>
      </c>
      <c r="B154" s="103"/>
      <c r="C154" s="304">
        <v>48091</v>
      </c>
      <c r="D154" s="103">
        <v>153</v>
      </c>
      <c r="E154" s="132"/>
      <c r="F154" s="153"/>
      <c r="G154" s="153"/>
      <c r="H154" s="147">
        <v>12.75</v>
      </c>
      <c r="I154" s="153">
        <v>1.7132691881258433E-2</v>
      </c>
      <c r="J154" s="151">
        <v>7.3306628141533992E-5</v>
      </c>
    </row>
    <row r="155" spans="1:10" x14ac:dyDescent="0.2">
      <c r="A155" s="103">
        <v>154</v>
      </c>
      <c r="B155" s="103"/>
      <c r="C155" s="304">
        <v>48121</v>
      </c>
      <c r="D155" s="103">
        <v>154</v>
      </c>
      <c r="E155" s="132"/>
      <c r="F155" s="153"/>
      <c r="G155" s="153"/>
      <c r="H155" s="147">
        <v>12.833333333333332</v>
      </c>
      <c r="I155" s="153">
        <v>1.7205993042272327E-2</v>
      </c>
      <c r="J155" s="151">
        <v>7.33011610138945E-5</v>
      </c>
    </row>
    <row r="156" spans="1:10" x14ac:dyDescent="0.2">
      <c r="A156" s="103">
        <v>155</v>
      </c>
      <c r="B156" s="103"/>
      <c r="C156" s="304">
        <v>48152</v>
      </c>
      <c r="D156" s="103">
        <v>155</v>
      </c>
      <c r="E156" s="132"/>
      <c r="F156" s="153"/>
      <c r="G156" s="153"/>
      <c r="H156" s="147">
        <v>12.916666666666666</v>
      </c>
      <c r="I156" s="153">
        <v>1.7279288736566478E-2</v>
      </c>
      <c r="J156" s="151">
        <v>7.3295694294150948E-5</v>
      </c>
    </row>
    <row r="157" spans="1:10" x14ac:dyDescent="0.2">
      <c r="A157" s="103">
        <v>156</v>
      </c>
      <c r="B157" s="103"/>
      <c r="C157" s="304">
        <v>48182</v>
      </c>
      <c r="D157" s="103">
        <v>156</v>
      </c>
      <c r="E157" s="132"/>
      <c r="F157" s="153"/>
      <c r="G157" s="153"/>
      <c r="H157" s="147">
        <v>13</v>
      </c>
      <c r="I157" s="153">
        <v>1.7352578964547893E-2</v>
      </c>
      <c r="J157" s="151">
        <v>7.3290227981415157E-5</v>
      </c>
    </row>
    <row r="158" spans="1:10" x14ac:dyDescent="0.2">
      <c r="A158" s="103">
        <v>157</v>
      </c>
      <c r="B158" s="103"/>
      <c r="C158" s="304">
        <v>48213</v>
      </c>
      <c r="D158" s="103">
        <v>157</v>
      </c>
      <c r="E158" s="132"/>
      <c r="F158" s="153"/>
      <c r="G158" s="153"/>
      <c r="H158" s="147">
        <v>13.083333333333332</v>
      </c>
      <c r="I158" s="153">
        <v>1.9150467037025165E-2</v>
      </c>
      <c r="J158" s="151">
        <v>1.7978880724772717E-3</v>
      </c>
    </row>
    <row r="159" spans="1:10" x14ac:dyDescent="0.2">
      <c r="A159" s="103">
        <v>158</v>
      </c>
      <c r="B159" s="103"/>
      <c r="C159" s="304">
        <v>48244</v>
      </c>
      <c r="D159" s="103">
        <v>158</v>
      </c>
      <c r="E159" s="132"/>
      <c r="F159" s="153"/>
      <c r="G159" s="153"/>
      <c r="H159" s="147">
        <v>13.166666666666666</v>
      </c>
      <c r="I159" s="153">
        <v>1.9229446559468011E-2</v>
      </c>
      <c r="J159" s="151">
        <v>7.8979522442845784E-5</v>
      </c>
    </row>
    <row r="160" spans="1:10" x14ac:dyDescent="0.2">
      <c r="A160" s="103">
        <v>159</v>
      </c>
      <c r="B160" s="103"/>
      <c r="C160" s="304">
        <v>48273</v>
      </c>
      <c r="D160" s="103">
        <v>159</v>
      </c>
      <c r="E160" s="132"/>
      <c r="F160" s="153"/>
      <c r="G160" s="153"/>
      <c r="H160" s="147">
        <v>13.25</v>
      </c>
      <c r="I160" s="153">
        <v>1.9308419722357528E-2</v>
      </c>
      <c r="J160" s="151">
        <v>7.897316288951739E-5</v>
      </c>
    </row>
    <row r="161" spans="1:10" x14ac:dyDescent="0.2">
      <c r="A161" s="103">
        <v>160</v>
      </c>
      <c r="B161" s="103"/>
      <c r="C161" s="304">
        <v>48304</v>
      </c>
      <c r="D161" s="103">
        <v>160</v>
      </c>
      <c r="E161" s="132"/>
      <c r="F161" s="153"/>
      <c r="G161" s="153"/>
      <c r="H161" s="147">
        <v>13.333333333333332</v>
      </c>
      <c r="I161" s="153">
        <v>1.9387386526205752E-2</v>
      </c>
      <c r="J161" s="151">
        <v>7.8966803848223854E-5</v>
      </c>
    </row>
    <row r="162" spans="1:10" x14ac:dyDescent="0.2">
      <c r="A162" s="103">
        <v>161</v>
      </c>
      <c r="B162" s="103"/>
      <c r="C162" s="304">
        <v>48334</v>
      </c>
      <c r="D162" s="103">
        <v>161</v>
      </c>
      <c r="E162" s="132"/>
      <c r="F162" s="153"/>
      <c r="G162" s="153"/>
      <c r="H162" s="147">
        <v>13.416666666666666</v>
      </c>
      <c r="I162" s="153">
        <v>1.9466346971524717E-2</v>
      </c>
      <c r="J162" s="151">
        <v>7.8960445318965178E-5</v>
      </c>
    </row>
    <row r="163" spans="1:10" x14ac:dyDescent="0.2">
      <c r="A163" s="103">
        <v>162</v>
      </c>
      <c r="B163" s="103"/>
      <c r="C163" s="304">
        <v>48365</v>
      </c>
      <c r="D163" s="103">
        <v>162</v>
      </c>
      <c r="E163" s="132"/>
      <c r="F163" s="153"/>
      <c r="G163" s="153"/>
      <c r="H163" s="147">
        <v>13.5</v>
      </c>
      <c r="I163" s="153">
        <v>1.9545301058826237E-2</v>
      </c>
      <c r="J163" s="151">
        <v>7.8954087301519316E-5</v>
      </c>
    </row>
    <row r="164" spans="1:10" x14ac:dyDescent="0.2">
      <c r="A164" s="103">
        <v>163</v>
      </c>
      <c r="B164" s="103"/>
      <c r="C164" s="304">
        <v>48395</v>
      </c>
      <c r="D164" s="103">
        <v>163</v>
      </c>
      <c r="E164" s="132"/>
      <c r="F164" s="153"/>
      <c r="G164" s="153"/>
      <c r="H164" s="147">
        <v>13.583333333333332</v>
      </c>
      <c r="I164" s="153">
        <v>1.9624248788622678E-2</v>
      </c>
      <c r="J164" s="151">
        <v>7.8947729796441379E-5</v>
      </c>
    </row>
    <row r="165" spans="1:10" x14ac:dyDescent="0.2">
      <c r="A165" s="103">
        <v>164</v>
      </c>
      <c r="B165" s="103"/>
      <c r="C165" s="304">
        <v>48426</v>
      </c>
      <c r="D165" s="103">
        <v>164</v>
      </c>
      <c r="E165" s="132"/>
      <c r="F165" s="153"/>
      <c r="G165" s="153"/>
      <c r="H165" s="147">
        <v>13.666666666666666</v>
      </c>
      <c r="I165" s="153">
        <v>1.9703190161425632E-2</v>
      </c>
      <c r="J165" s="151">
        <v>7.8941372802954213E-5</v>
      </c>
    </row>
    <row r="166" spans="1:10" x14ac:dyDescent="0.2">
      <c r="A166" s="103">
        <v>165</v>
      </c>
      <c r="B166" s="103"/>
      <c r="C166" s="304">
        <v>48457</v>
      </c>
      <c r="D166" s="103">
        <v>165</v>
      </c>
      <c r="E166" s="132"/>
      <c r="F166" s="153"/>
      <c r="G166" s="153"/>
      <c r="H166" s="147">
        <v>13.75</v>
      </c>
      <c r="I166" s="153">
        <v>1.9782125177747023E-2</v>
      </c>
      <c r="J166" s="151">
        <v>7.8935016321390883E-5</v>
      </c>
    </row>
    <row r="167" spans="1:10" x14ac:dyDescent="0.2">
      <c r="A167" s="103">
        <v>166</v>
      </c>
      <c r="B167" s="103"/>
      <c r="C167" s="304">
        <v>48487</v>
      </c>
      <c r="D167" s="103">
        <v>166</v>
      </c>
      <c r="E167" s="132"/>
      <c r="F167" s="153"/>
      <c r="G167" s="153"/>
      <c r="H167" s="147">
        <v>13.833333333333332</v>
      </c>
      <c r="I167" s="153">
        <v>1.9861053838098885E-2</v>
      </c>
      <c r="J167" s="151">
        <v>7.8928660351862412E-5</v>
      </c>
    </row>
    <row r="168" spans="1:10" x14ac:dyDescent="0.2">
      <c r="A168" s="103">
        <v>167</v>
      </c>
      <c r="B168" s="103"/>
      <c r="C168" s="304">
        <v>48518</v>
      </c>
      <c r="D168" s="103">
        <v>167</v>
      </c>
      <c r="E168" s="132"/>
      <c r="F168" s="153"/>
      <c r="G168" s="153"/>
      <c r="H168" s="147">
        <v>13.916666666666666</v>
      </c>
      <c r="I168" s="153">
        <v>1.9939976142992699E-2</v>
      </c>
      <c r="J168" s="151">
        <v>7.8922304893813688E-5</v>
      </c>
    </row>
    <row r="169" spans="1:10" x14ac:dyDescent="0.2">
      <c r="A169" s="103">
        <v>168</v>
      </c>
      <c r="B169" s="103"/>
      <c r="C169" s="304">
        <v>48548</v>
      </c>
      <c r="D169" s="103">
        <v>168</v>
      </c>
      <c r="E169" s="132"/>
      <c r="F169" s="153"/>
      <c r="G169" s="153"/>
      <c r="H169" s="147">
        <v>14</v>
      </c>
      <c r="I169" s="153">
        <v>2.0018892092940721E-2</v>
      </c>
      <c r="J169" s="151">
        <v>7.8915949948021868E-5</v>
      </c>
    </row>
    <row r="170" spans="1:10" x14ac:dyDescent="0.2">
      <c r="A170" s="103">
        <v>169</v>
      </c>
      <c r="B170" s="103"/>
      <c r="C170" s="304">
        <v>48579</v>
      </c>
      <c r="D170" s="103">
        <v>169</v>
      </c>
      <c r="E170" s="132"/>
      <c r="F170" s="153"/>
      <c r="G170" s="153"/>
      <c r="H170" s="147">
        <v>14.083333333333332</v>
      </c>
      <c r="I170" s="153">
        <v>2.198919912122943E-2</v>
      </c>
      <c r="J170" s="151">
        <v>1.9703070282887092E-3</v>
      </c>
    </row>
    <row r="171" spans="1:10" x14ac:dyDescent="0.2">
      <c r="A171" s="103">
        <v>170</v>
      </c>
      <c r="B171" s="103"/>
      <c r="C171" s="304">
        <v>48610</v>
      </c>
      <c r="D171" s="103">
        <v>170</v>
      </c>
      <c r="E171" s="132"/>
      <c r="F171" s="153"/>
      <c r="G171" s="153"/>
      <c r="H171" s="147">
        <v>14.166666666666666</v>
      </c>
      <c r="I171" s="153">
        <v>2.2073965622220082E-2</v>
      </c>
      <c r="J171" s="151">
        <v>8.476650099065175E-5</v>
      </c>
    </row>
    <row r="172" spans="1:10" x14ac:dyDescent="0.2">
      <c r="A172" s="103">
        <v>171</v>
      </c>
      <c r="B172" s="103"/>
      <c r="C172" s="304">
        <v>48638</v>
      </c>
      <c r="D172" s="103">
        <v>171</v>
      </c>
      <c r="E172" s="132"/>
      <c r="F172" s="153"/>
      <c r="G172" s="153"/>
      <c r="H172" s="147">
        <v>14.25</v>
      </c>
      <c r="I172" s="153">
        <v>2.21587247762981E-2</v>
      </c>
      <c r="J172" s="151">
        <v>8.4759154078017929E-5</v>
      </c>
    </row>
    <row r="173" spans="1:10" x14ac:dyDescent="0.2">
      <c r="A173" s="103">
        <v>172</v>
      </c>
      <c r="B173" s="103"/>
      <c r="C173" s="304">
        <v>48669</v>
      </c>
      <c r="D173" s="103">
        <v>172</v>
      </c>
      <c r="E173" s="132"/>
      <c r="F173" s="153"/>
      <c r="G173" s="153"/>
      <c r="H173" s="147">
        <v>14.333333333333332</v>
      </c>
      <c r="I173" s="153">
        <v>2.2243476584100641E-2</v>
      </c>
      <c r="J173" s="151">
        <v>8.4751807802541101E-5</v>
      </c>
    </row>
    <row r="174" spans="1:10" x14ac:dyDescent="0.2">
      <c r="A174" s="103">
        <v>173</v>
      </c>
      <c r="B174" s="103"/>
      <c r="C174" s="304">
        <v>48699</v>
      </c>
      <c r="D174" s="103">
        <v>173</v>
      </c>
      <c r="E174" s="132"/>
      <c r="F174" s="153"/>
      <c r="G174" s="153"/>
      <c r="H174" s="147">
        <v>14.416666666666666</v>
      </c>
      <c r="I174" s="153">
        <v>2.2328221046264307E-2</v>
      </c>
      <c r="J174" s="151">
        <v>8.4744462163666157E-5</v>
      </c>
    </row>
    <row r="175" spans="1:10" x14ac:dyDescent="0.2">
      <c r="A175" s="103">
        <v>174</v>
      </c>
      <c r="B175" s="103"/>
      <c r="C175" s="304">
        <v>48730</v>
      </c>
      <c r="D175" s="103">
        <v>174</v>
      </c>
      <c r="E175" s="132"/>
      <c r="F175" s="153"/>
      <c r="G175" s="153"/>
      <c r="H175" s="147">
        <v>14.5</v>
      </c>
      <c r="I175" s="153">
        <v>2.24129581634257E-2</v>
      </c>
      <c r="J175" s="151">
        <v>8.4737117161393094E-5</v>
      </c>
    </row>
    <row r="176" spans="1:10" x14ac:dyDescent="0.2">
      <c r="A176" s="103">
        <v>175</v>
      </c>
      <c r="B176" s="103"/>
      <c r="C176" s="304">
        <v>48760</v>
      </c>
      <c r="D176" s="103">
        <v>175</v>
      </c>
      <c r="E176" s="132"/>
      <c r="F176" s="153"/>
      <c r="G176" s="153"/>
      <c r="H176" s="147">
        <v>14.583333333333332</v>
      </c>
      <c r="I176" s="153">
        <v>2.2497687936221311E-2</v>
      </c>
      <c r="J176" s="151">
        <v>8.4729772795610891E-5</v>
      </c>
    </row>
    <row r="177" spans="1:10" x14ac:dyDescent="0.2">
      <c r="A177" s="103">
        <v>176</v>
      </c>
      <c r="B177" s="103"/>
      <c r="C177" s="304">
        <v>48791</v>
      </c>
      <c r="D177" s="103">
        <v>176</v>
      </c>
      <c r="E177" s="132"/>
      <c r="F177" s="153"/>
      <c r="G177" s="153"/>
      <c r="H177" s="147">
        <v>14.666666666666666</v>
      </c>
      <c r="I177" s="153">
        <v>2.2582410365287964E-2</v>
      </c>
      <c r="J177" s="151">
        <v>8.4722429066652616E-5</v>
      </c>
    </row>
    <row r="178" spans="1:10" x14ac:dyDescent="0.2">
      <c r="A178" s="103">
        <v>177</v>
      </c>
      <c r="B178" s="103"/>
      <c r="C178" s="304">
        <v>48822</v>
      </c>
      <c r="D178" s="103">
        <v>177</v>
      </c>
      <c r="E178" s="132"/>
      <c r="F178" s="153"/>
      <c r="G178" s="153"/>
      <c r="H178" s="147">
        <v>14.75</v>
      </c>
      <c r="I178" s="153">
        <v>2.2667125451262038E-2</v>
      </c>
      <c r="J178" s="151">
        <v>8.4715085974074178E-5</v>
      </c>
    </row>
    <row r="179" spans="1:10" x14ac:dyDescent="0.2">
      <c r="A179" s="103">
        <v>178</v>
      </c>
      <c r="B179" s="103"/>
      <c r="C179" s="304">
        <v>48852</v>
      </c>
      <c r="D179" s="103">
        <v>178</v>
      </c>
      <c r="E179" s="132"/>
      <c r="F179" s="153"/>
      <c r="G179" s="153"/>
      <c r="H179" s="147">
        <v>14.833333333333332</v>
      </c>
      <c r="I179" s="153">
        <v>2.2751833194779914E-2</v>
      </c>
      <c r="J179" s="151">
        <v>8.4707743517875578E-5</v>
      </c>
    </row>
    <row r="180" spans="1:10" x14ac:dyDescent="0.2">
      <c r="A180" s="103">
        <v>179</v>
      </c>
      <c r="B180" s="103"/>
      <c r="C180" s="304">
        <v>48883</v>
      </c>
      <c r="D180" s="103">
        <v>179</v>
      </c>
      <c r="E180" s="132"/>
      <c r="F180" s="153"/>
      <c r="G180" s="153"/>
      <c r="H180" s="147">
        <v>14.916666666666666</v>
      </c>
      <c r="I180" s="153">
        <v>2.283653359647797E-2</v>
      </c>
      <c r="J180" s="151">
        <v>8.4700401698056815E-5</v>
      </c>
    </row>
    <row r="181" spans="1:10" x14ac:dyDescent="0.2">
      <c r="A181" s="103">
        <v>180</v>
      </c>
      <c r="B181" s="103"/>
      <c r="C181" s="304">
        <v>48913</v>
      </c>
      <c r="D181" s="103">
        <v>180</v>
      </c>
      <c r="E181" s="132"/>
      <c r="F181" s="153"/>
      <c r="G181" s="153"/>
      <c r="H181" s="147">
        <v>15</v>
      </c>
      <c r="I181" s="153">
        <v>2.2921226656992588E-2</v>
      </c>
      <c r="J181" s="151">
        <v>8.4693060514617891E-5</v>
      </c>
    </row>
    <row r="182" spans="1:10" x14ac:dyDescent="0.2">
      <c r="A182" s="103">
        <v>181</v>
      </c>
      <c r="B182" s="103"/>
      <c r="C182" s="304">
        <v>48944</v>
      </c>
      <c r="D182" s="103">
        <v>181</v>
      </c>
      <c r="E182" s="132"/>
      <c r="F182" s="153"/>
      <c r="G182" s="153"/>
      <c r="H182" s="147">
        <v>15.083333333333332</v>
      </c>
      <c r="I182" s="153">
        <v>2.5063578117982543E-2</v>
      </c>
      <c r="J182" s="151">
        <v>2.1423514609899552E-3</v>
      </c>
    </row>
    <row r="183" spans="1:10" x14ac:dyDescent="0.2">
      <c r="A183" s="103">
        <v>182</v>
      </c>
      <c r="B183" s="103"/>
      <c r="C183" s="304">
        <v>48975</v>
      </c>
      <c r="D183" s="103">
        <v>182</v>
      </c>
      <c r="E183" s="132"/>
      <c r="F183" s="153"/>
      <c r="G183" s="153"/>
      <c r="H183" s="147">
        <v>15.166666666666666</v>
      </c>
      <c r="I183" s="153">
        <v>2.5154240045384357E-2</v>
      </c>
      <c r="J183" s="151">
        <v>9.0661927401813891E-5</v>
      </c>
    </row>
    <row r="184" spans="1:10" x14ac:dyDescent="0.2">
      <c r="A184" s="103">
        <v>183</v>
      </c>
      <c r="B184" s="103"/>
      <c r="C184" s="304">
        <v>49003</v>
      </c>
      <c r="D184" s="103">
        <v>183</v>
      </c>
      <c r="E184" s="132"/>
      <c r="F184" s="153"/>
      <c r="G184" s="153"/>
      <c r="H184" s="147">
        <v>15.25</v>
      </c>
      <c r="I184" s="153">
        <v>2.5244893541892743E-2</v>
      </c>
      <c r="J184" s="151">
        <v>9.0653496508386056E-5</v>
      </c>
    </row>
    <row r="185" spans="1:10" x14ac:dyDescent="0.2">
      <c r="A185" s="103">
        <v>184</v>
      </c>
      <c r="B185" s="103"/>
      <c r="C185" s="304">
        <v>49034</v>
      </c>
      <c r="D185" s="103">
        <v>184</v>
      </c>
      <c r="E185" s="132"/>
      <c r="F185" s="153"/>
      <c r="G185" s="153"/>
      <c r="H185" s="147">
        <v>15.333333333333332</v>
      </c>
      <c r="I185" s="153">
        <v>2.5335538608291519E-2</v>
      </c>
      <c r="J185" s="151">
        <v>9.0645066398775676E-5</v>
      </c>
    </row>
    <row r="186" spans="1:10" x14ac:dyDescent="0.2">
      <c r="A186" s="103">
        <v>185</v>
      </c>
      <c r="B186" s="103"/>
      <c r="C186" s="304">
        <v>49064</v>
      </c>
      <c r="D186" s="103">
        <v>185</v>
      </c>
      <c r="E186" s="132"/>
      <c r="F186" s="153"/>
      <c r="G186" s="153"/>
      <c r="H186" s="147">
        <v>15.416666666666666</v>
      </c>
      <c r="I186" s="153">
        <v>2.5426175245364946E-2</v>
      </c>
      <c r="J186" s="151">
        <v>9.063663707342684E-5</v>
      </c>
    </row>
    <row r="187" spans="1:10" x14ac:dyDescent="0.2">
      <c r="A187" s="103">
        <v>186</v>
      </c>
      <c r="B187" s="103"/>
      <c r="C187" s="304">
        <v>49095</v>
      </c>
      <c r="D187" s="103">
        <v>186</v>
      </c>
      <c r="E187" s="132"/>
      <c r="F187" s="153"/>
      <c r="G187" s="153"/>
      <c r="H187" s="147">
        <v>15.5</v>
      </c>
      <c r="I187" s="153">
        <v>2.5516803453896841E-2</v>
      </c>
      <c r="J187" s="151">
        <v>9.062820853189546E-5</v>
      </c>
    </row>
    <row r="188" spans="1:10" x14ac:dyDescent="0.2">
      <c r="A188" s="103">
        <v>187</v>
      </c>
      <c r="B188" s="103"/>
      <c r="C188" s="304">
        <v>49125</v>
      </c>
      <c r="D188" s="103">
        <v>187</v>
      </c>
      <c r="E188" s="132"/>
      <c r="F188" s="153"/>
      <c r="G188" s="153"/>
      <c r="H188" s="147">
        <v>15.583333333333332</v>
      </c>
      <c r="I188" s="153">
        <v>2.5607423234670801E-2</v>
      </c>
      <c r="J188" s="151">
        <v>9.0619780773959491E-5</v>
      </c>
    </row>
    <row r="189" spans="1:10" x14ac:dyDescent="0.2">
      <c r="A189" s="103">
        <v>188</v>
      </c>
      <c r="B189" s="103"/>
      <c r="C189" s="304">
        <v>49156</v>
      </c>
      <c r="D189" s="103">
        <v>188</v>
      </c>
      <c r="E189" s="132"/>
      <c r="F189" s="153"/>
      <c r="G189" s="153"/>
      <c r="H189" s="147">
        <v>15.666666666666666</v>
      </c>
      <c r="I189" s="153">
        <v>2.5698034588470642E-2</v>
      </c>
      <c r="J189" s="151">
        <v>9.0611353799840977E-5</v>
      </c>
    </row>
    <row r="190" spans="1:10" x14ac:dyDescent="0.2">
      <c r="A190" s="103">
        <v>189</v>
      </c>
      <c r="B190" s="103"/>
      <c r="C190" s="304">
        <v>49187</v>
      </c>
      <c r="D190" s="103">
        <v>189</v>
      </c>
      <c r="E190" s="132"/>
      <c r="F190" s="153"/>
      <c r="G190" s="153"/>
      <c r="H190" s="147">
        <v>15.75</v>
      </c>
      <c r="I190" s="153">
        <v>2.578863751607996E-2</v>
      </c>
      <c r="J190" s="151">
        <v>9.0602927609317874E-5</v>
      </c>
    </row>
    <row r="191" spans="1:10" x14ac:dyDescent="0.2">
      <c r="A191" s="103">
        <v>190</v>
      </c>
      <c r="B191" s="103"/>
      <c r="C191" s="304">
        <v>49217</v>
      </c>
      <c r="D191" s="103">
        <v>190</v>
      </c>
      <c r="E191" s="132"/>
      <c r="F191" s="153"/>
      <c r="G191" s="153"/>
      <c r="H191" s="147">
        <v>15.833333333333332</v>
      </c>
      <c r="I191" s="153">
        <v>2.5879232018282572E-2</v>
      </c>
      <c r="J191" s="151">
        <v>9.0594502202612226E-5</v>
      </c>
    </row>
    <row r="192" spans="1:10" x14ac:dyDescent="0.2">
      <c r="A192" s="103">
        <v>191</v>
      </c>
      <c r="B192" s="103"/>
      <c r="C192" s="304">
        <v>49248</v>
      </c>
      <c r="D192" s="103">
        <v>191</v>
      </c>
      <c r="E192" s="132"/>
      <c r="F192" s="153"/>
      <c r="G192" s="153"/>
      <c r="H192" s="147">
        <v>15.916666666666666</v>
      </c>
      <c r="I192" s="153">
        <v>2.5969818095861741E-2</v>
      </c>
      <c r="J192" s="151">
        <v>9.0586077579168922E-5</v>
      </c>
    </row>
    <row r="193" spans="1:10" x14ac:dyDescent="0.2">
      <c r="A193" s="103">
        <v>192</v>
      </c>
      <c r="B193" s="103"/>
      <c r="C193" s="304">
        <v>49278</v>
      </c>
      <c r="D193" s="103">
        <v>192</v>
      </c>
      <c r="E193" s="132"/>
      <c r="F193" s="153"/>
      <c r="G193" s="153"/>
      <c r="H193" s="147">
        <v>16</v>
      </c>
      <c r="I193" s="153">
        <v>2.6060395749600507E-2</v>
      </c>
      <c r="J193" s="151">
        <v>9.0577653738765918E-5</v>
      </c>
    </row>
    <row r="194" spans="1:10" x14ac:dyDescent="0.2">
      <c r="A194" s="103">
        <v>193</v>
      </c>
      <c r="B194" s="103"/>
      <c r="C194" s="304">
        <v>49309</v>
      </c>
      <c r="D194" s="103">
        <v>193</v>
      </c>
      <c r="E194" s="132"/>
      <c r="F194" s="153"/>
      <c r="G194" s="153"/>
      <c r="H194" s="147">
        <v>16.083333333333332</v>
      </c>
      <c r="I194" s="153">
        <v>2.8372874979748941E-2</v>
      </c>
      <c r="J194" s="151">
        <v>2.3124792301484343E-3</v>
      </c>
    </row>
    <row r="195" spans="1:10" x14ac:dyDescent="0.2">
      <c r="A195" s="103">
        <v>194</v>
      </c>
      <c r="B195" s="103"/>
      <c r="C195" s="304">
        <v>49340</v>
      </c>
      <c r="D195" s="103">
        <v>194</v>
      </c>
      <c r="E195" s="132"/>
      <c r="F195" s="153"/>
      <c r="G195" s="153"/>
      <c r="H195" s="147">
        <v>16.166666666666664</v>
      </c>
      <c r="I195" s="153">
        <v>2.8469499683220767E-2</v>
      </c>
      <c r="J195" s="151">
        <v>9.6624703471825946E-5</v>
      </c>
    </row>
    <row r="196" spans="1:10" x14ac:dyDescent="0.2">
      <c r="A196" s="103">
        <v>195</v>
      </c>
      <c r="B196" s="103"/>
      <c r="C196" s="304">
        <v>49368</v>
      </c>
      <c r="D196" s="103">
        <v>195</v>
      </c>
      <c r="E196" s="132"/>
      <c r="F196" s="153"/>
      <c r="G196" s="153"/>
      <c r="H196" s="147">
        <v>16.25</v>
      </c>
      <c r="I196" s="153">
        <v>2.8566114777725415E-2</v>
      </c>
      <c r="J196" s="151">
        <v>9.6615094504648447E-5</v>
      </c>
    </row>
    <row r="197" spans="1:10" x14ac:dyDescent="0.2">
      <c r="A197" s="103">
        <v>196</v>
      </c>
      <c r="B197" s="103"/>
      <c r="C197" s="304">
        <v>49399</v>
      </c>
      <c r="D197" s="103">
        <v>196</v>
      </c>
      <c r="E197" s="132"/>
      <c r="F197" s="153"/>
      <c r="G197" s="153"/>
      <c r="H197" s="147">
        <v>16.333333333333332</v>
      </c>
      <c r="I197" s="153">
        <v>2.8662720264218233E-2</v>
      </c>
      <c r="J197" s="151">
        <v>9.660548649281786E-5</v>
      </c>
    </row>
    <row r="198" spans="1:10" x14ac:dyDescent="0.2">
      <c r="A198" s="103">
        <v>197</v>
      </c>
      <c r="B198" s="103"/>
      <c r="C198" s="304">
        <v>49429</v>
      </c>
      <c r="D198" s="103">
        <v>197</v>
      </c>
      <c r="E198" s="132"/>
      <c r="F198" s="153"/>
      <c r="G198" s="153"/>
      <c r="H198" s="147">
        <v>16.416666666666664</v>
      </c>
      <c r="I198" s="153">
        <v>2.8759316143654789E-2</v>
      </c>
      <c r="J198" s="151">
        <v>9.6595879436556231E-5</v>
      </c>
    </row>
    <row r="199" spans="1:10" x14ac:dyDescent="0.2">
      <c r="A199" s="103">
        <v>198</v>
      </c>
      <c r="B199" s="103"/>
      <c r="C199" s="304">
        <v>49460</v>
      </c>
      <c r="D199" s="103">
        <v>198</v>
      </c>
      <c r="E199" s="132"/>
      <c r="F199" s="153"/>
      <c r="G199" s="153"/>
      <c r="H199" s="147">
        <v>16.5</v>
      </c>
      <c r="I199" s="153">
        <v>2.8855902416990431E-2</v>
      </c>
      <c r="J199" s="151">
        <v>9.6586273335641515E-5</v>
      </c>
    </row>
    <row r="200" spans="1:10" x14ac:dyDescent="0.2">
      <c r="A200" s="103">
        <v>199</v>
      </c>
      <c r="B200" s="103"/>
      <c r="C200" s="304">
        <v>49490</v>
      </c>
      <c r="D200" s="103">
        <v>199</v>
      </c>
      <c r="E200" s="132"/>
      <c r="F200" s="153"/>
      <c r="G200" s="153"/>
      <c r="H200" s="147">
        <v>16.583333333333332</v>
      </c>
      <c r="I200" s="153">
        <v>2.8952479085180394E-2</v>
      </c>
      <c r="J200" s="151">
        <v>9.6576668189962689E-5</v>
      </c>
    </row>
    <row r="201" spans="1:10" x14ac:dyDescent="0.2">
      <c r="A201" s="103">
        <v>200</v>
      </c>
      <c r="B201" s="103"/>
      <c r="C201" s="304">
        <v>49521</v>
      </c>
      <c r="D201" s="103">
        <v>200</v>
      </c>
      <c r="E201" s="132"/>
      <c r="F201" s="153"/>
      <c r="G201" s="153"/>
      <c r="H201" s="147">
        <v>16.666666666666664</v>
      </c>
      <c r="I201" s="153">
        <v>2.9049046149180024E-2</v>
      </c>
      <c r="J201" s="151">
        <v>9.6567063999630776E-5</v>
      </c>
    </row>
    <row r="202" spans="1:10" x14ac:dyDescent="0.2">
      <c r="A202" s="103">
        <v>201</v>
      </c>
      <c r="B202" s="103"/>
      <c r="C202" s="304">
        <v>49552</v>
      </c>
      <c r="D202" s="103">
        <v>201</v>
      </c>
      <c r="E202" s="132"/>
      <c r="F202" s="153"/>
      <c r="G202" s="153"/>
      <c r="H202" s="147">
        <v>16.75</v>
      </c>
      <c r="I202" s="153">
        <v>2.9145603609944337E-2</v>
      </c>
      <c r="J202" s="151">
        <v>9.6557460764312708E-5</v>
      </c>
    </row>
    <row r="203" spans="1:10" x14ac:dyDescent="0.2">
      <c r="A203" s="103">
        <v>202</v>
      </c>
      <c r="B203" s="103"/>
      <c r="C203" s="304">
        <v>49582</v>
      </c>
      <c r="D203" s="103">
        <v>202</v>
      </c>
      <c r="E203" s="132"/>
      <c r="F203" s="153"/>
      <c r="G203" s="153"/>
      <c r="H203" s="147">
        <v>16.833333333333332</v>
      </c>
      <c r="I203" s="153">
        <v>2.9242151468428235E-2</v>
      </c>
      <c r="J203" s="151">
        <v>9.6547858483897464E-5</v>
      </c>
    </row>
    <row r="204" spans="1:10" x14ac:dyDescent="0.2">
      <c r="A204" s="103">
        <v>203</v>
      </c>
      <c r="B204" s="103"/>
      <c r="C204" s="304">
        <v>49613</v>
      </c>
      <c r="D204" s="103">
        <v>203</v>
      </c>
      <c r="E204" s="132"/>
      <c r="F204" s="153"/>
      <c r="G204" s="153"/>
      <c r="H204" s="147">
        <v>16.916666666666664</v>
      </c>
      <c r="I204" s="153">
        <v>2.9338689725586842E-2</v>
      </c>
      <c r="J204" s="151">
        <v>9.6538257158607088E-5</v>
      </c>
    </row>
    <row r="205" spans="1:10" x14ac:dyDescent="0.2">
      <c r="A205" s="103">
        <v>204</v>
      </c>
      <c r="B205" s="103"/>
      <c r="C205" s="304">
        <v>49643</v>
      </c>
      <c r="D205" s="103">
        <v>204</v>
      </c>
      <c r="E205" s="132"/>
      <c r="F205" s="153"/>
      <c r="G205" s="153"/>
      <c r="H205" s="147">
        <v>17</v>
      </c>
      <c r="I205" s="153">
        <v>2.943521838237495E-2</v>
      </c>
      <c r="J205" s="151">
        <v>9.6528656788108513E-5</v>
      </c>
    </row>
    <row r="206" spans="1:10" x14ac:dyDescent="0.2">
      <c r="A206" s="103">
        <v>205</v>
      </c>
      <c r="B206" s="103"/>
      <c r="C206" s="304">
        <v>49674</v>
      </c>
      <c r="D206" s="103">
        <v>205</v>
      </c>
      <c r="E206" s="132"/>
      <c r="F206" s="153"/>
      <c r="G206" s="153"/>
      <c r="H206" s="147">
        <v>17.083333333333332</v>
      </c>
      <c r="I206" s="153">
        <v>3.1914567071232525E-2</v>
      </c>
      <c r="J206" s="151">
        <v>2.4793486888575744E-3</v>
      </c>
    </row>
    <row r="207" spans="1:10" x14ac:dyDescent="0.2">
      <c r="A207" s="103">
        <v>206</v>
      </c>
      <c r="B207" s="103"/>
      <c r="C207" s="304">
        <v>49705</v>
      </c>
      <c r="D207" s="103">
        <v>206</v>
      </c>
      <c r="E207" s="132"/>
      <c r="F207" s="153"/>
      <c r="G207" s="153"/>
      <c r="H207" s="147">
        <v>17.166666666666664</v>
      </c>
      <c r="I207" s="153">
        <v>3.201718386049579E-2</v>
      </c>
      <c r="J207" s="151">
        <v>1.0261678926326567E-4</v>
      </c>
    </row>
    <row r="208" spans="1:10" x14ac:dyDescent="0.2">
      <c r="A208" s="103">
        <v>207</v>
      </c>
      <c r="B208" s="103"/>
      <c r="C208" s="304">
        <v>49734</v>
      </c>
      <c r="D208" s="103">
        <v>207</v>
      </c>
      <c r="E208" s="132"/>
      <c r="F208" s="153"/>
      <c r="G208" s="153"/>
      <c r="H208" s="147">
        <v>17.25</v>
      </c>
      <c r="I208" s="153">
        <v>3.2119789772407592E-2</v>
      </c>
      <c r="J208" s="151">
        <v>1.0260591191180168E-4</v>
      </c>
    </row>
    <row r="209" spans="1:10" x14ac:dyDescent="0.2">
      <c r="A209" s="103">
        <v>208</v>
      </c>
      <c r="B209" s="103"/>
      <c r="C209" s="304">
        <v>49765</v>
      </c>
      <c r="D209" s="103">
        <v>208</v>
      </c>
      <c r="E209" s="132"/>
      <c r="F209" s="153"/>
      <c r="G209" s="153"/>
      <c r="H209" s="147">
        <v>17.333333333333332</v>
      </c>
      <c r="I209" s="153">
        <v>3.2222384808121007E-2</v>
      </c>
      <c r="J209" s="151">
        <v>1.0259503571341533E-4</v>
      </c>
    </row>
    <row r="210" spans="1:10" x14ac:dyDescent="0.2">
      <c r="A210" s="103">
        <v>209</v>
      </c>
      <c r="B210" s="103"/>
      <c r="C210" s="304">
        <v>49795</v>
      </c>
      <c r="D210" s="103">
        <v>209</v>
      </c>
      <c r="E210" s="132"/>
      <c r="F210" s="153"/>
      <c r="G210" s="153"/>
      <c r="H210" s="147">
        <v>17.416666666666664</v>
      </c>
      <c r="I210" s="153">
        <v>3.2324968968788892E-2</v>
      </c>
      <c r="J210" s="151">
        <v>1.0258416066788456E-4</v>
      </c>
    </row>
    <row r="211" spans="1:10" x14ac:dyDescent="0.2">
      <c r="A211" s="103">
        <v>210</v>
      </c>
      <c r="B211" s="103"/>
      <c r="C211" s="304">
        <v>49826</v>
      </c>
      <c r="D211" s="103">
        <v>210</v>
      </c>
      <c r="E211" s="132"/>
      <c r="F211" s="153"/>
      <c r="G211" s="153"/>
      <c r="H211" s="147">
        <v>17.5</v>
      </c>
      <c r="I211" s="153">
        <v>3.242754225556399E-2</v>
      </c>
      <c r="J211" s="151">
        <v>1.0257328677509836E-4</v>
      </c>
    </row>
    <row r="212" spans="1:10" x14ac:dyDescent="0.2">
      <c r="A212" s="103">
        <v>211</v>
      </c>
      <c r="B212" s="103"/>
      <c r="C212" s="304">
        <v>49856</v>
      </c>
      <c r="D212" s="103">
        <v>211</v>
      </c>
      <c r="E212" s="132"/>
      <c r="F212" s="153"/>
      <c r="G212" s="153"/>
      <c r="H212" s="147">
        <v>17.583333333333332</v>
      </c>
      <c r="I212" s="153">
        <v>3.2530104669598936E-2</v>
      </c>
      <c r="J212" s="151">
        <v>1.025624140349457E-4</v>
      </c>
    </row>
    <row r="213" spans="1:10" x14ac:dyDescent="0.2">
      <c r="A213" s="103">
        <v>212</v>
      </c>
      <c r="B213" s="103"/>
      <c r="C213" s="304">
        <v>49887</v>
      </c>
      <c r="D213" s="103">
        <v>212</v>
      </c>
      <c r="E213" s="132"/>
      <c r="F213" s="153"/>
      <c r="G213" s="153"/>
      <c r="H213" s="147">
        <v>17.666666666666664</v>
      </c>
      <c r="I213" s="153">
        <v>3.2632656212046363E-2</v>
      </c>
      <c r="J213" s="151">
        <v>1.0255154244742659E-4</v>
      </c>
    </row>
    <row r="214" spans="1:10" x14ac:dyDescent="0.2">
      <c r="A214" s="103">
        <v>213</v>
      </c>
      <c r="B214" s="103"/>
      <c r="C214" s="304">
        <v>49918</v>
      </c>
      <c r="D214" s="103">
        <v>213</v>
      </c>
      <c r="E214" s="132"/>
      <c r="F214" s="153"/>
      <c r="G214" s="153"/>
      <c r="H214" s="147">
        <v>17.75</v>
      </c>
      <c r="I214" s="153">
        <v>3.273519688405846E-2</v>
      </c>
      <c r="J214" s="151">
        <v>1.0254067201209693E-4</v>
      </c>
    </row>
    <row r="215" spans="1:10" x14ac:dyDescent="0.2">
      <c r="A215" s="103">
        <v>214</v>
      </c>
      <c r="B215" s="103"/>
      <c r="C215" s="304">
        <v>49948</v>
      </c>
      <c r="D215" s="103">
        <v>214</v>
      </c>
      <c r="E215" s="132"/>
      <c r="F215" s="153"/>
      <c r="G215" s="153"/>
      <c r="H215" s="147">
        <v>17.833333333333332</v>
      </c>
      <c r="I215" s="153">
        <v>3.2837726686787527E-2</v>
      </c>
      <c r="J215" s="151">
        <v>1.0252980272906775E-4</v>
      </c>
    </row>
    <row r="216" spans="1:10" x14ac:dyDescent="0.2">
      <c r="A216" s="103">
        <v>215</v>
      </c>
      <c r="B216" s="103"/>
      <c r="C216" s="304">
        <v>49979</v>
      </c>
      <c r="D216" s="103">
        <v>215</v>
      </c>
      <c r="E216" s="132"/>
      <c r="F216" s="153"/>
      <c r="G216" s="153"/>
      <c r="H216" s="147">
        <v>17.916666666666664</v>
      </c>
      <c r="I216" s="153">
        <v>3.2940245621385755E-2</v>
      </c>
      <c r="J216" s="151">
        <v>1.0251893459822803E-4</v>
      </c>
    </row>
    <row r="217" spans="1:10" x14ac:dyDescent="0.2">
      <c r="A217" s="103">
        <v>216</v>
      </c>
      <c r="B217" s="103"/>
      <c r="C217" s="304">
        <v>50009</v>
      </c>
      <c r="D217" s="103">
        <v>216</v>
      </c>
      <c r="E217" s="132"/>
      <c r="F217" s="153"/>
      <c r="G217" s="153"/>
      <c r="H217" s="147">
        <v>18</v>
      </c>
      <c r="I217" s="153">
        <v>3.3042753689005E-2</v>
      </c>
      <c r="J217" s="151">
        <v>1.0250806761924469E-4</v>
      </c>
    </row>
    <row r="218" spans="1:10" x14ac:dyDescent="0.2">
      <c r="A218" s="103">
        <v>217</v>
      </c>
      <c r="B218" s="103"/>
      <c r="C218" s="304">
        <v>50040</v>
      </c>
      <c r="D218" s="103">
        <v>217</v>
      </c>
      <c r="E218" s="132"/>
      <c r="F218" s="153"/>
      <c r="G218" s="153"/>
      <c r="H218" s="147">
        <v>18.083333333333332</v>
      </c>
      <c r="I218" s="153">
        <v>3.5684566779894733E-2</v>
      </c>
      <c r="J218" s="151">
        <v>2.641813090889733E-3</v>
      </c>
    </row>
    <row r="219" spans="1:10" x14ac:dyDescent="0.2">
      <c r="A219" s="103">
        <v>218</v>
      </c>
      <c r="B219" s="103"/>
      <c r="C219" s="304">
        <v>50071</v>
      </c>
      <c r="D219" s="103">
        <v>218</v>
      </c>
      <c r="E219" s="132"/>
      <c r="F219" s="153"/>
      <c r="G219" s="153"/>
      <c r="H219" s="147">
        <v>18.166666666666664</v>
      </c>
      <c r="I219" s="153">
        <v>3.5793170117043749E-2</v>
      </c>
      <c r="J219" s="151">
        <v>1.0860333714901582E-4</v>
      </c>
    </row>
    <row r="220" spans="1:10" x14ac:dyDescent="0.2">
      <c r="A220" s="103">
        <v>219</v>
      </c>
      <c r="B220" s="103"/>
      <c r="C220" s="304">
        <v>50099</v>
      </c>
      <c r="D220" s="103">
        <v>219</v>
      </c>
      <c r="E220" s="132"/>
      <c r="F220" s="153"/>
      <c r="G220" s="153"/>
      <c r="H220" s="147">
        <v>18.25</v>
      </c>
      <c r="I220" s="153">
        <v>3.5901761223044892E-2</v>
      </c>
      <c r="J220" s="151">
        <v>1.0859110600114352E-4</v>
      </c>
    </row>
    <row r="221" spans="1:10" x14ac:dyDescent="0.2">
      <c r="A221" s="103">
        <v>220</v>
      </c>
      <c r="B221" s="103"/>
      <c r="C221" s="304">
        <v>50130</v>
      </c>
      <c r="D221" s="103">
        <v>220</v>
      </c>
      <c r="E221" s="132"/>
      <c r="F221" s="153"/>
      <c r="G221" s="153"/>
      <c r="H221" s="147">
        <v>18.333333333333332</v>
      </c>
      <c r="I221" s="153">
        <v>3.6010340099275395E-2</v>
      </c>
      <c r="J221" s="151">
        <v>1.0857887623050289E-4</v>
      </c>
    </row>
    <row r="222" spans="1:10" x14ac:dyDescent="0.2">
      <c r="A222" s="103">
        <v>221</v>
      </c>
      <c r="B222" s="103"/>
      <c r="C222" s="304">
        <v>50160</v>
      </c>
      <c r="D222" s="103">
        <v>221</v>
      </c>
      <c r="E222" s="132"/>
      <c r="F222" s="153"/>
      <c r="G222" s="153"/>
      <c r="H222" s="147">
        <v>18.416666666666664</v>
      </c>
      <c r="I222" s="153">
        <v>3.6118906747112711E-2</v>
      </c>
      <c r="J222" s="151">
        <v>1.0856664783731595E-4</v>
      </c>
    </row>
    <row r="223" spans="1:10" x14ac:dyDescent="0.2">
      <c r="A223" s="103">
        <v>222</v>
      </c>
      <c r="B223" s="103"/>
      <c r="C223" s="304">
        <v>50191</v>
      </c>
      <c r="D223" s="103">
        <v>222</v>
      </c>
      <c r="E223" s="132"/>
      <c r="F223" s="153"/>
      <c r="G223" s="153"/>
      <c r="H223" s="147">
        <v>18.5</v>
      </c>
      <c r="I223" s="153">
        <v>3.622746116793385E-2</v>
      </c>
      <c r="J223" s="151">
        <v>1.0855442082113864E-4</v>
      </c>
    </row>
    <row r="224" spans="1:10" x14ac:dyDescent="0.2">
      <c r="A224" s="103">
        <v>223</v>
      </c>
      <c r="B224" s="103"/>
      <c r="C224" s="304">
        <v>50221</v>
      </c>
      <c r="D224" s="103">
        <v>223</v>
      </c>
      <c r="E224" s="132"/>
      <c r="F224" s="153"/>
      <c r="G224" s="153"/>
      <c r="H224" s="147">
        <v>18.583333333333332</v>
      </c>
      <c r="I224" s="153">
        <v>3.6336003363116265E-2</v>
      </c>
      <c r="J224" s="151">
        <v>1.0854219518241504E-4</v>
      </c>
    </row>
    <row r="225" spans="1:10" x14ac:dyDescent="0.2">
      <c r="A225" s="103">
        <v>224</v>
      </c>
      <c r="B225" s="103"/>
      <c r="C225" s="304">
        <v>50252</v>
      </c>
      <c r="D225" s="103">
        <v>224</v>
      </c>
      <c r="E225" s="132"/>
      <c r="F225" s="153"/>
      <c r="G225" s="153"/>
      <c r="H225" s="147">
        <v>18.666666666666664</v>
      </c>
      <c r="I225" s="153">
        <v>3.64445333340363E-2</v>
      </c>
      <c r="J225" s="151">
        <v>1.0852997092003491E-4</v>
      </c>
    </row>
    <row r="226" spans="1:10" x14ac:dyDescent="0.2">
      <c r="A226" s="103">
        <v>225</v>
      </c>
      <c r="B226" s="103"/>
      <c r="C226" s="304">
        <v>50283</v>
      </c>
      <c r="D226" s="103">
        <v>225</v>
      </c>
      <c r="E226" s="132"/>
      <c r="F226" s="153"/>
      <c r="G226" s="153"/>
      <c r="H226" s="147">
        <v>18.75</v>
      </c>
      <c r="I226" s="153">
        <v>3.6553051082071075E-2</v>
      </c>
      <c r="J226" s="151">
        <v>1.0851774803477543E-4</v>
      </c>
    </row>
    <row r="227" spans="1:10" x14ac:dyDescent="0.2">
      <c r="A227" s="103">
        <v>226</v>
      </c>
      <c r="B227" s="103"/>
      <c r="C227" s="304">
        <v>50313</v>
      </c>
      <c r="D227" s="103">
        <v>226</v>
      </c>
      <c r="E227" s="132"/>
      <c r="F227" s="153"/>
      <c r="G227" s="153"/>
      <c r="H227" s="147">
        <v>18.833333333333332</v>
      </c>
      <c r="I227" s="153">
        <v>3.6661556608597046E-2</v>
      </c>
      <c r="J227" s="151">
        <v>1.0850552652597045E-4</v>
      </c>
    </row>
    <row r="228" spans="1:10" x14ac:dyDescent="0.2">
      <c r="A228" s="103">
        <v>227</v>
      </c>
      <c r="B228" s="103"/>
      <c r="C228" s="304">
        <v>50344</v>
      </c>
      <c r="D228" s="103">
        <v>227</v>
      </c>
      <c r="E228" s="132"/>
      <c r="F228" s="153"/>
      <c r="G228" s="153"/>
      <c r="H228" s="147">
        <v>18.916666666666664</v>
      </c>
      <c r="I228" s="153">
        <v>3.6770049914990555E-2</v>
      </c>
      <c r="J228" s="151">
        <v>1.0849330639350896E-4</v>
      </c>
    </row>
    <row r="229" spans="1:10" x14ac:dyDescent="0.2">
      <c r="A229" s="103">
        <v>228</v>
      </c>
      <c r="B229" s="103"/>
      <c r="C229" s="304">
        <v>50374</v>
      </c>
      <c r="D229" s="103">
        <v>228</v>
      </c>
      <c r="E229" s="132"/>
      <c r="F229" s="153"/>
      <c r="G229" s="153"/>
      <c r="H229" s="147">
        <v>19</v>
      </c>
      <c r="I229" s="153">
        <v>3.6878531002627946E-2</v>
      </c>
      <c r="J229" s="151">
        <v>1.0848108763739095E-4</v>
      </c>
    </row>
    <row r="230" spans="1:10" x14ac:dyDescent="0.2">
      <c r="A230" s="103">
        <v>229</v>
      </c>
      <c r="B230" s="103"/>
      <c r="C230" s="304">
        <v>50405</v>
      </c>
      <c r="D230" s="103">
        <v>229</v>
      </c>
      <c r="E230" s="132"/>
      <c r="F230" s="153"/>
      <c r="G230" s="153"/>
      <c r="H230" s="147">
        <v>19.083333333333332</v>
      </c>
      <c r="I230" s="153">
        <v>3.9677442220096282E-2</v>
      </c>
      <c r="J230" s="151">
        <v>2.7989112174683362E-3</v>
      </c>
    </row>
    <row r="231" spans="1:10" x14ac:dyDescent="0.2">
      <c r="A231" s="103">
        <v>230</v>
      </c>
      <c r="B231" s="103"/>
      <c r="C231" s="304">
        <v>50436</v>
      </c>
      <c r="D231" s="103">
        <v>230</v>
      </c>
      <c r="E231" s="132"/>
      <c r="F231" s="153"/>
      <c r="G231" s="153"/>
      <c r="H231" s="147">
        <v>19.166666666666664</v>
      </c>
      <c r="I231" s="153">
        <v>3.9791994961411503E-2</v>
      </c>
      <c r="J231" s="151">
        <v>1.1455274131522142E-4</v>
      </c>
    </row>
    <row r="232" spans="1:10" x14ac:dyDescent="0.2">
      <c r="A232" s="103">
        <v>231</v>
      </c>
      <c r="B232" s="103"/>
      <c r="C232" s="304">
        <v>50464</v>
      </c>
      <c r="D232" s="103">
        <v>231</v>
      </c>
      <c r="E232" s="132"/>
      <c r="F232" s="153"/>
      <c r="G232" s="153"/>
      <c r="H232" s="147">
        <v>19.25</v>
      </c>
      <c r="I232" s="153">
        <v>3.990653403822364E-2</v>
      </c>
      <c r="J232" s="151">
        <v>1.1453907681213682E-4</v>
      </c>
    </row>
    <row r="233" spans="1:10" x14ac:dyDescent="0.2">
      <c r="A233" s="103">
        <v>232</v>
      </c>
      <c r="B233" s="103"/>
      <c r="C233" s="304">
        <v>50495</v>
      </c>
      <c r="D233" s="103">
        <v>232</v>
      </c>
      <c r="E233" s="132"/>
      <c r="F233" s="153"/>
      <c r="G233" s="153"/>
      <c r="H233" s="147">
        <v>19.333333333333332</v>
      </c>
      <c r="I233" s="153">
        <v>4.0021059452162611E-2</v>
      </c>
      <c r="J233" s="151">
        <v>1.1452541393897064E-4</v>
      </c>
    </row>
    <row r="234" spans="1:10" x14ac:dyDescent="0.2">
      <c r="A234" s="103">
        <v>233</v>
      </c>
      <c r="B234" s="103"/>
      <c r="C234" s="304">
        <v>50525</v>
      </c>
      <c r="D234" s="103">
        <v>233</v>
      </c>
      <c r="E234" s="132"/>
      <c r="F234" s="153"/>
      <c r="G234" s="153"/>
      <c r="H234" s="147">
        <v>19.416666666666664</v>
      </c>
      <c r="I234" s="153">
        <v>4.0135571204858222E-2</v>
      </c>
      <c r="J234" s="151">
        <v>1.1451175269561187E-4</v>
      </c>
    </row>
    <row r="235" spans="1:10" x14ac:dyDescent="0.2">
      <c r="A235" s="103">
        <v>234</v>
      </c>
      <c r="B235" s="103"/>
      <c r="C235" s="304">
        <v>50556</v>
      </c>
      <c r="D235" s="103">
        <v>234</v>
      </c>
      <c r="E235" s="132"/>
      <c r="F235" s="153"/>
      <c r="G235" s="153"/>
      <c r="H235" s="147">
        <v>19.5</v>
      </c>
      <c r="I235" s="153">
        <v>4.0250069297940172E-2</v>
      </c>
      <c r="J235" s="151">
        <v>1.1449809308194947E-4</v>
      </c>
    </row>
    <row r="236" spans="1:10" x14ac:dyDescent="0.2">
      <c r="A236" s="103">
        <v>235</v>
      </c>
      <c r="B236" s="103"/>
      <c r="C236" s="304">
        <v>50586</v>
      </c>
      <c r="D236" s="103">
        <v>235</v>
      </c>
      <c r="E236" s="132"/>
      <c r="F236" s="153"/>
      <c r="G236" s="153"/>
      <c r="H236" s="147">
        <v>19.583333333333332</v>
      </c>
      <c r="I236" s="153">
        <v>4.0364553733037822E-2</v>
      </c>
      <c r="J236" s="151">
        <v>1.1448443509765038E-4</v>
      </c>
    </row>
    <row r="237" spans="1:10" x14ac:dyDescent="0.2">
      <c r="A237" s="103">
        <v>236</v>
      </c>
      <c r="B237" s="103"/>
      <c r="C237" s="304">
        <v>50617</v>
      </c>
      <c r="D237" s="103">
        <v>236</v>
      </c>
      <c r="E237" s="132"/>
      <c r="F237" s="153"/>
      <c r="G237" s="153"/>
      <c r="H237" s="147">
        <v>19.666666666666664</v>
      </c>
      <c r="I237" s="153">
        <v>4.0479024511780315E-2</v>
      </c>
      <c r="J237" s="151">
        <v>1.1447077874249256E-4</v>
      </c>
    </row>
    <row r="238" spans="1:10" x14ac:dyDescent="0.2">
      <c r="A238" s="103">
        <v>237</v>
      </c>
      <c r="B238" s="103"/>
      <c r="C238" s="304">
        <v>50648</v>
      </c>
      <c r="D238" s="103">
        <v>237</v>
      </c>
      <c r="E238" s="132"/>
      <c r="F238" s="153"/>
      <c r="G238" s="153"/>
      <c r="H238" s="147">
        <v>19.75</v>
      </c>
      <c r="I238" s="153">
        <v>4.059348163579668E-2</v>
      </c>
      <c r="J238" s="151">
        <v>1.1445712401636499E-4</v>
      </c>
    </row>
    <row r="239" spans="1:10" x14ac:dyDescent="0.2">
      <c r="A239" s="103">
        <v>238</v>
      </c>
      <c r="B239" s="103"/>
      <c r="C239" s="304">
        <v>50678</v>
      </c>
      <c r="D239" s="103">
        <v>238</v>
      </c>
      <c r="E239" s="132"/>
      <c r="F239" s="153"/>
      <c r="G239" s="153"/>
      <c r="H239" s="147">
        <v>19.833333333333332</v>
      </c>
      <c r="I239" s="153">
        <v>4.0707925106715837E-2</v>
      </c>
      <c r="J239" s="151">
        <v>1.1444347091915663E-4</v>
      </c>
    </row>
    <row r="240" spans="1:10" x14ac:dyDescent="0.2">
      <c r="A240" s="103">
        <v>239</v>
      </c>
      <c r="B240" s="103"/>
      <c r="C240" s="304">
        <v>50709</v>
      </c>
      <c r="D240" s="103">
        <v>239</v>
      </c>
      <c r="E240" s="132"/>
      <c r="F240" s="153"/>
      <c r="G240" s="153"/>
      <c r="H240" s="147">
        <v>19.916666666666664</v>
      </c>
      <c r="I240" s="153">
        <v>4.082235492616626E-2</v>
      </c>
      <c r="J240" s="151">
        <v>1.1442981945042341E-4</v>
      </c>
    </row>
    <row r="241" spans="1:10" x14ac:dyDescent="0.2">
      <c r="A241" s="103">
        <v>240</v>
      </c>
      <c r="B241" s="103"/>
      <c r="C241" s="304">
        <v>50739</v>
      </c>
      <c r="D241" s="103">
        <v>240</v>
      </c>
      <c r="E241" s="132"/>
      <c r="F241" s="153"/>
      <c r="G241" s="153"/>
      <c r="H241" s="147">
        <v>20</v>
      </c>
      <c r="I241" s="153">
        <v>4.0936771095776314E-2</v>
      </c>
      <c r="J241" s="151">
        <v>1.144161696100543E-4</v>
      </c>
    </row>
    <row r="242" spans="1:10" x14ac:dyDescent="0.2">
      <c r="A242" s="103">
        <v>241</v>
      </c>
      <c r="B242" s="103"/>
      <c r="C242" s="304">
        <v>50770</v>
      </c>
      <c r="D242" s="103">
        <v>241</v>
      </c>
      <c r="E242" s="132"/>
      <c r="F242" s="153"/>
      <c r="G242" s="153"/>
      <c r="H242" s="147">
        <v>20.083333333333332</v>
      </c>
      <c r="I242" s="153">
        <v>4.3886626542300577E-2</v>
      </c>
      <c r="J242" s="151">
        <v>2.9498554465242632E-3</v>
      </c>
    </row>
    <row r="243" spans="1:10" x14ac:dyDescent="0.2">
      <c r="A243" s="103">
        <v>242</v>
      </c>
      <c r="B243" s="103"/>
      <c r="C243" s="304">
        <v>50801</v>
      </c>
      <c r="D243" s="103">
        <v>242</v>
      </c>
      <c r="E243" s="132"/>
      <c r="F243" s="153"/>
      <c r="G243" s="153"/>
      <c r="H243" s="147">
        <v>20.166666666666664</v>
      </c>
      <c r="I243" s="153">
        <v>4.4007063162266435E-2</v>
      </c>
      <c r="J243" s="151">
        <v>1.2043661996585797E-4</v>
      </c>
    </row>
    <row r="244" spans="1:10" x14ac:dyDescent="0.2">
      <c r="A244" s="103">
        <v>243</v>
      </c>
      <c r="B244" s="103"/>
      <c r="C244" s="304">
        <v>50829</v>
      </c>
      <c r="D244" s="103">
        <v>243</v>
      </c>
      <c r="E244" s="132"/>
      <c r="F244" s="153"/>
      <c r="G244" s="153"/>
      <c r="H244" s="147">
        <v>20.25</v>
      </c>
      <c r="I244" s="153">
        <v>4.4127484611458767E-2</v>
      </c>
      <c r="J244" s="151">
        <v>1.2042144919233166E-4</v>
      </c>
    </row>
    <row r="245" spans="1:10" x14ac:dyDescent="0.2">
      <c r="A245" s="103">
        <v>244</v>
      </c>
      <c r="B245" s="103"/>
      <c r="C245" s="304">
        <v>50860</v>
      </c>
      <c r="D245" s="103">
        <v>244</v>
      </c>
      <c r="E245" s="132"/>
      <c r="F245" s="153"/>
      <c r="G245" s="153"/>
      <c r="H245" s="147">
        <v>20.333333333333332</v>
      </c>
      <c r="I245" s="153">
        <v>4.4247890891788599E-2</v>
      </c>
      <c r="J245" s="151">
        <v>1.2040628032983225E-4</v>
      </c>
    </row>
    <row r="246" spans="1:10" x14ac:dyDescent="0.2">
      <c r="A246" s="103">
        <v>245</v>
      </c>
      <c r="B246" s="103"/>
      <c r="C246" s="304">
        <v>50890</v>
      </c>
      <c r="D246" s="103">
        <v>245</v>
      </c>
      <c r="E246" s="132"/>
      <c r="F246" s="153"/>
      <c r="G246" s="153"/>
      <c r="H246" s="147">
        <v>20.416666666666664</v>
      </c>
      <c r="I246" s="153">
        <v>4.4368282005166626E-2</v>
      </c>
      <c r="J246" s="151">
        <v>1.2039111337802666E-4</v>
      </c>
    </row>
    <row r="247" spans="1:10" x14ac:dyDescent="0.2">
      <c r="A247" s="103">
        <v>246</v>
      </c>
      <c r="B247" s="103"/>
      <c r="C247" s="304">
        <v>50921</v>
      </c>
      <c r="D247" s="103">
        <v>246</v>
      </c>
      <c r="E247" s="132"/>
      <c r="F247" s="153"/>
      <c r="G247" s="153"/>
      <c r="H247" s="147">
        <v>20.5</v>
      </c>
      <c r="I247" s="153">
        <v>4.4488657953503319E-2</v>
      </c>
      <c r="J247" s="151">
        <v>1.2037594833669285E-4</v>
      </c>
    </row>
    <row r="248" spans="1:10" x14ac:dyDescent="0.2">
      <c r="A248" s="103">
        <v>247</v>
      </c>
      <c r="B248" s="103"/>
      <c r="C248" s="304">
        <v>50951</v>
      </c>
      <c r="D248" s="103">
        <v>247</v>
      </c>
      <c r="E248" s="132"/>
      <c r="F248" s="153"/>
      <c r="G248" s="153"/>
      <c r="H248" s="147">
        <v>20.583333333333332</v>
      </c>
      <c r="I248" s="153">
        <v>4.460901873870915E-2</v>
      </c>
      <c r="J248" s="151">
        <v>1.2036078520583082E-4</v>
      </c>
    </row>
    <row r="249" spans="1:10" x14ac:dyDescent="0.2">
      <c r="A249" s="103">
        <v>248</v>
      </c>
      <c r="B249" s="103"/>
      <c r="C249" s="304">
        <v>50982</v>
      </c>
      <c r="D249" s="103">
        <v>248</v>
      </c>
      <c r="E249" s="132"/>
      <c r="F249" s="153"/>
      <c r="G249" s="153"/>
      <c r="H249" s="147">
        <v>20.666666666666664</v>
      </c>
      <c r="I249" s="153">
        <v>4.4729364362693813E-2</v>
      </c>
      <c r="J249" s="151">
        <v>1.2034562398466342E-4</v>
      </c>
    </row>
    <row r="250" spans="1:10" x14ac:dyDescent="0.2">
      <c r="A250" s="103">
        <v>249</v>
      </c>
      <c r="B250" s="103"/>
      <c r="C250" s="304">
        <v>51013</v>
      </c>
      <c r="D250" s="103">
        <v>249</v>
      </c>
      <c r="E250" s="132"/>
      <c r="F250" s="153"/>
      <c r="G250" s="153"/>
      <c r="H250" s="147">
        <v>20.75</v>
      </c>
      <c r="I250" s="153">
        <v>4.4849694827367448E-2</v>
      </c>
      <c r="J250" s="151">
        <v>1.2033046467363473E-4</v>
      </c>
    </row>
    <row r="251" spans="1:10" x14ac:dyDescent="0.2">
      <c r="A251" s="103">
        <v>250</v>
      </c>
      <c r="B251" s="103"/>
      <c r="C251" s="304">
        <v>51043</v>
      </c>
      <c r="D251" s="103">
        <v>250</v>
      </c>
      <c r="E251" s="132"/>
      <c r="F251" s="153"/>
      <c r="G251" s="153"/>
      <c r="H251" s="147">
        <v>20.833333333333332</v>
      </c>
      <c r="I251" s="153">
        <v>4.4970010134639193E-2</v>
      </c>
      <c r="J251" s="151">
        <v>1.2031530727174555E-4</v>
      </c>
    </row>
    <row r="252" spans="1:10" x14ac:dyDescent="0.2">
      <c r="A252" s="103">
        <v>251</v>
      </c>
      <c r="B252" s="103"/>
      <c r="C252" s="304">
        <v>51074</v>
      </c>
      <c r="D252" s="103">
        <v>251</v>
      </c>
      <c r="E252" s="132"/>
      <c r="F252" s="153"/>
      <c r="G252" s="153"/>
      <c r="H252" s="147">
        <v>20.916666666666664</v>
      </c>
      <c r="I252" s="153">
        <v>4.5090310286418744E-2</v>
      </c>
      <c r="J252" s="151">
        <v>1.20300151779551E-4</v>
      </c>
    </row>
    <row r="253" spans="1:10" x14ac:dyDescent="0.2">
      <c r="A253" s="103">
        <v>252</v>
      </c>
      <c r="B253" s="103"/>
      <c r="C253" s="304">
        <v>51104</v>
      </c>
      <c r="D253" s="103">
        <v>252</v>
      </c>
      <c r="E253" s="132"/>
      <c r="F253" s="153"/>
      <c r="G253" s="153"/>
      <c r="H253" s="147">
        <v>21</v>
      </c>
      <c r="I253" s="153">
        <v>4.5210595284614796E-2</v>
      </c>
      <c r="J253" s="151">
        <v>1.2028499819605187E-4</v>
      </c>
    </row>
    <row r="254" spans="1:10" x14ac:dyDescent="0.2">
      <c r="A254" s="103">
        <v>253</v>
      </c>
      <c r="B254" s="103"/>
      <c r="C254" s="304">
        <v>51135</v>
      </c>
      <c r="D254" s="103">
        <v>253</v>
      </c>
      <c r="E254" s="132"/>
      <c r="F254" s="153"/>
      <c r="G254" s="153"/>
      <c r="H254" s="147">
        <v>21.083333333333332</v>
      </c>
      <c r="I254" s="153">
        <v>4.8304613511780059E-2</v>
      </c>
      <c r="J254" s="151">
        <v>3.0940182271652628E-3</v>
      </c>
    </row>
    <row r="255" spans="1:10" x14ac:dyDescent="0.2">
      <c r="A255" s="103">
        <v>254</v>
      </c>
      <c r="B255" s="103"/>
      <c r="C255" s="304">
        <v>51166</v>
      </c>
      <c r="D255" s="103">
        <v>254</v>
      </c>
      <c r="E255" s="132"/>
      <c r="F255" s="153"/>
      <c r="G255" s="153"/>
      <c r="H255" s="147">
        <v>21.166666666666664</v>
      </c>
      <c r="I255" s="153">
        <v>4.8430843256678346E-2</v>
      </c>
      <c r="J255" s="151">
        <v>1.2622974489828742E-4</v>
      </c>
    </row>
    <row r="256" spans="1:10" x14ac:dyDescent="0.2">
      <c r="A256" s="103">
        <v>255</v>
      </c>
      <c r="B256" s="103"/>
      <c r="C256" s="304">
        <v>51195</v>
      </c>
      <c r="D256" s="103">
        <v>255</v>
      </c>
      <c r="E256" s="132"/>
      <c r="F256" s="153"/>
      <c r="G256" s="153"/>
      <c r="H256" s="147">
        <v>21.25</v>
      </c>
      <c r="I256" s="153">
        <v>4.8557056258878517E-2</v>
      </c>
      <c r="J256" s="151">
        <v>1.2621300220017062E-4</v>
      </c>
    </row>
    <row r="257" spans="1:10" x14ac:dyDescent="0.2">
      <c r="A257" s="103">
        <v>256</v>
      </c>
      <c r="B257" s="103"/>
      <c r="C257" s="304">
        <v>51226</v>
      </c>
      <c r="D257" s="103">
        <v>256</v>
      </c>
      <c r="E257" s="132"/>
      <c r="F257" s="153"/>
      <c r="G257" s="153"/>
      <c r="H257" s="147">
        <v>21.333333333333332</v>
      </c>
      <c r="I257" s="153">
        <v>4.868325252060135E-2</v>
      </c>
      <c r="J257" s="151">
        <v>1.2619626172283294E-4</v>
      </c>
    </row>
    <row r="258" spans="1:10" x14ac:dyDescent="0.2">
      <c r="A258" s="103">
        <v>257</v>
      </c>
      <c r="B258" s="103"/>
      <c r="C258" s="304">
        <v>51256</v>
      </c>
      <c r="D258" s="103">
        <v>257</v>
      </c>
      <c r="E258" s="132"/>
      <c r="F258" s="153"/>
      <c r="G258" s="153"/>
      <c r="H258" s="147">
        <v>21.416666666666664</v>
      </c>
      <c r="I258" s="153">
        <v>4.8809432044067291E-2</v>
      </c>
      <c r="J258" s="151">
        <v>1.261795234659413E-4</v>
      </c>
    </row>
    <row r="259" spans="1:10" x14ac:dyDescent="0.2">
      <c r="A259" s="103">
        <v>258</v>
      </c>
      <c r="B259" s="103"/>
      <c r="C259" s="304">
        <v>51287</v>
      </c>
      <c r="D259" s="103">
        <v>258</v>
      </c>
      <c r="E259" s="132"/>
      <c r="F259" s="153"/>
      <c r="G259" s="153"/>
      <c r="H259" s="147">
        <v>21.5</v>
      </c>
      <c r="I259" s="153">
        <v>4.8935594831496343E-2</v>
      </c>
      <c r="J259" s="151">
        <v>1.2616278742905163E-4</v>
      </c>
    </row>
    <row r="260" spans="1:10" x14ac:dyDescent="0.2">
      <c r="A260" s="103">
        <v>259</v>
      </c>
      <c r="B260" s="103"/>
      <c r="C260" s="304">
        <v>51317</v>
      </c>
      <c r="D260" s="103">
        <v>259</v>
      </c>
      <c r="E260" s="132"/>
      <c r="F260" s="153"/>
      <c r="G260" s="153"/>
      <c r="H260" s="147">
        <v>21.583333333333332</v>
      </c>
      <c r="I260" s="153">
        <v>4.9061740885108285E-2</v>
      </c>
      <c r="J260" s="151">
        <v>1.2614605361194187E-4</v>
      </c>
    </row>
    <row r="261" spans="1:10" x14ac:dyDescent="0.2">
      <c r="A261" s="103">
        <v>260</v>
      </c>
      <c r="B261" s="103"/>
      <c r="C261" s="304">
        <v>51348</v>
      </c>
      <c r="D261" s="103">
        <v>260</v>
      </c>
      <c r="E261" s="132"/>
      <c r="F261" s="153"/>
      <c r="G261" s="153"/>
      <c r="H261" s="147">
        <v>21.666666666666664</v>
      </c>
      <c r="I261" s="153">
        <v>4.9187870207122786E-2</v>
      </c>
      <c r="J261" s="151">
        <v>1.26129322014501E-4</v>
      </c>
    </row>
    <row r="262" spans="1:10" x14ac:dyDescent="0.2">
      <c r="A262" s="103">
        <v>261</v>
      </c>
      <c r="B262" s="103"/>
      <c r="C262" s="304">
        <v>51379</v>
      </c>
      <c r="D262" s="103">
        <v>261</v>
      </c>
      <c r="E262" s="132"/>
      <c r="F262" s="153"/>
      <c r="G262" s="153"/>
      <c r="H262" s="147">
        <v>21.75</v>
      </c>
      <c r="I262" s="153">
        <v>4.931398279975896E-2</v>
      </c>
      <c r="J262" s="151">
        <v>1.2611259263617391E-4</v>
      </c>
    </row>
    <row r="263" spans="1:10" x14ac:dyDescent="0.2">
      <c r="A263" s="103">
        <v>262</v>
      </c>
      <c r="B263" s="103"/>
      <c r="C263" s="304">
        <v>51409</v>
      </c>
      <c r="D263" s="103">
        <v>262</v>
      </c>
      <c r="E263" s="132"/>
      <c r="F263" s="153"/>
      <c r="G263" s="153"/>
      <c r="H263" s="147">
        <v>21.833333333333332</v>
      </c>
      <c r="I263" s="153">
        <v>4.9440078665235809E-2</v>
      </c>
      <c r="J263" s="151">
        <v>1.2609586547684959E-4</v>
      </c>
    </row>
    <row r="264" spans="1:10" x14ac:dyDescent="0.2">
      <c r="A264" s="103">
        <v>263</v>
      </c>
      <c r="B264" s="103"/>
      <c r="C264" s="304">
        <v>51440</v>
      </c>
      <c r="D264" s="103">
        <v>263</v>
      </c>
      <c r="E264" s="132"/>
      <c r="F264" s="153"/>
      <c r="G264" s="153"/>
      <c r="H264" s="147">
        <v>21.916666666666664</v>
      </c>
      <c r="I264" s="153">
        <v>4.9566157805771893E-2</v>
      </c>
      <c r="J264" s="151">
        <v>1.2607914053608393E-4</v>
      </c>
    </row>
    <row r="265" spans="1:10" x14ac:dyDescent="0.2">
      <c r="A265" s="103">
        <v>264</v>
      </c>
      <c r="B265" s="103"/>
      <c r="C265" s="304">
        <v>51470</v>
      </c>
      <c r="D265" s="103">
        <v>264</v>
      </c>
      <c r="E265" s="132"/>
      <c r="F265" s="153"/>
      <c r="G265" s="153"/>
      <c r="H265" s="147">
        <v>22</v>
      </c>
      <c r="I265" s="153">
        <v>4.9692220223585548E-2</v>
      </c>
      <c r="J265" s="151">
        <v>1.260624178136549E-4</v>
      </c>
    </row>
    <row r="266" spans="1:10" x14ac:dyDescent="0.2">
      <c r="A266" s="103">
        <v>265</v>
      </c>
      <c r="B266" s="103"/>
      <c r="C266" s="304">
        <v>51501</v>
      </c>
      <c r="D266" s="103">
        <v>265</v>
      </c>
      <c r="E266" s="132"/>
      <c r="F266" s="153"/>
      <c r="G266" s="153"/>
      <c r="H266" s="147">
        <v>22.083333333333332</v>
      </c>
      <c r="I266" s="153">
        <v>5.292313793087744E-2</v>
      </c>
      <c r="J266" s="151">
        <v>3.2309177072918915E-3</v>
      </c>
    </row>
    <row r="267" spans="1:10" x14ac:dyDescent="0.2">
      <c r="A267" s="103">
        <v>266</v>
      </c>
      <c r="B267" s="103"/>
      <c r="C267" s="304">
        <v>51532</v>
      </c>
      <c r="D267" s="103">
        <v>266</v>
      </c>
      <c r="E267" s="132"/>
      <c r="F267" s="153"/>
      <c r="G267" s="153"/>
      <c r="H267" s="147">
        <v>22.166666666666664</v>
      </c>
      <c r="I267" s="153">
        <v>5.3055047861706783E-2</v>
      </c>
      <c r="J267" s="151">
        <v>1.3190993082934366E-4</v>
      </c>
    </row>
    <row r="268" spans="1:10" x14ac:dyDescent="0.2">
      <c r="A268" s="103">
        <v>267</v>
      </c>
      <c r="B268" s="103"/>
      <c r="C268" s="304">
        <v>51560</v>
      </c>
      <c r="D268" s="103">
        <v>267</v>
      </c>
      <c r="E268" s="132"/>
      <c r="F268" s="153"/>
      <c r="G268" s="153"/>
      <c r="H268" s="147">
        <v>22.25</v>
      </c>
      <c r="I268" s="153">
        <v>5.3186939419972767E-2</v>
      </c>
      <c r="J268" s="151">
        <v>1.3189155826598409E-4</v>
      </c>
    </row>
    <row r="269" spans="1:10" x14ac:dyDescent="0.2">
      <c r="A269" s="103">
        <v>268</v>
      </c>
      <c r="B269" s="103"/>
      <c r="C269" s="304">
        <v>51591</v>
      </c>
      <c r="D269" s="103">
        <v>268</v>
      </c>
      <c r="E269" s="132"/>
      <c r="F269" s="153"/>
      <c r="G269" s="153"/>
      <c r="H269" s="147">
        <v>22.333333333333332</v>
      </c>
      <c r="I269" s="153">
        <v>5.3318812608234012E-2</v>
      </c>
      <c r="J269" s="151">
        <v>1.318731882612445E-4</v>
      </c>
    </row>
    <row r="270" spans="1:10" x14ac:dyDescent="0.2">
      <c r="A270" s="103">
        <v>269</v>
      </c>
      <c r="B270" s="103"/>
      <c r="C270" s="304">
        <v>51621</v>
      </c>
      <c r="D270" s="103">
        <v>269</v>
      </c>
      <c r="E270" s="132"/>
      <c r="F270" s="153"/>
      <c r="G270" s="153"/>
      <c r="H270" s="147">
        <v>22.416666666666664</v>
      </c>
      <c r="I270" s="153">
        <v>5.3450667429049248E-2</v>
      </c>
      <c r="J270" s="151">
        <v>1.3185482081523592E-4</v>
      </c>
    </row>
    <row r="271" spans="1:10" x14ac:dyDescent="0.2">
      <c r="A271" s="103">
        <v>270</v>
      </c>
      <c r="B271" s="103"/>
      <c r="C271" s="304">
        <v>51652</v>
      </c>
      <c r="D271" s="103">
        <v>270</v>
      </c>
      <c r="E271" s="132"/>
      <c r="F271" s="153"/>
      <c r="G271" s="153"/>
      <c r="H271" s="147">
        <v>22.5</v>
      </c>
      <c r="I271" s="153">
        <v>5.3582503884976762E-2</v>
      </c>
      <c r="J271" s="151">
        <v>1.3183645592751425E-4</v>
      </c>
    </row>
    <row r="272" spans="1:10" x14ac:dyDescent="0.2">
      <c r="A272" s="103">
        <v>271</v>
      </c>
      <c r="B272" s="103"/>
      <c r="C272" s="304">
        <v>51682</v>
      </c>
      <c r="D272" s="103">
        <v>271</v>
      </c>
      <c r="E272" s="132"/>
      <c r="F272" s="153"/>
      <c r="G272" s="153"/>
      <c r="H272" s="147">
        <v>22.583333333333332</v>
      </c>
      <c r="I272" s="153">
        <v>5.3714321978574397E-2</v>
      </c>
      <c r="J272" s="151">
        <v>1.3181809359763541E-4</v>
      </c>
    </row>
    <row r="273" spans="1:10" x14ac:dyDescent="0.2">
      <c r="A273" s="103">
        <v>272</v>
      </c>
      <c r="B273" s="103"/>
      <c r="C273" s="304">
        <v>51713</v>
      </c>
      <c r="D273" s="103">
        <v>272</v>
      </c>
      <c r="E273" s="132"/>
      <c r="F273" s="153"/>
      <c r="G273" s="153"/>
      <c r="H273" s="147">
        <v>22.666666666666664</v>
      </c>
      <c r="I273" s="153">
        <v>5.3846121712399553E-2</v>
      </c>
      <c r="J273" s="151">
        <v>1.3179973382515531E-4</v>
      </c>
    </row>
    <row r="274" spans="1:10" x14ac:dyDescent="0.2">
      <c r="A274" s="103">
        <v>273</v>
      </c>
      <c r="B274" s="103"/>
      <c r="C274" s="304">
        <v>51744</v>
      </c>
      <c r="D274" s="103">
        <v>273</v>
      </c>
      <c r="E274" s="132"/>
      <c r="F274" s="153"/>
      <c r="G274" s="153"/>
      <c r="H274" s="147">
        <v>22.75</v>
      </c>
      <c r="I274" s="153">
        <v>5.3977903089009627E-2</v>
      </c>
      <c r="J274" s="151">
        <v>1.3178137661007394E-4</v>
      </c>
    </row>
    <row r="275" spans="1:10" x14ac:dyDescent="0.2">
      <c r="A275" s="103">
        <v>274</v>
      </c>
      <c r="B275" s="103"/>
      <c r="C275" s="304">
        <v>51774</v>
      </c>
      <c r="D275" s="103">
        <v>274</v>
      </c>
      <c r="E275" s="132"/>
      <c r="F275" s="153"/>
      <c r="G275" s="153"/>
      <c r="H275" s="147">
        <v>22.833333333333332</v>
      </c>
      <c r="I275" s="153">
        <v>5.410966611096113E-2</v>
      </c>
      <c r="J275" s="151">
        <v>1.3176302195150313E-4</v>
      </c>
    </row>
    <row r="276" spans="1:10" x14ac:dyDescent="0.2">
      <c r="A276" s="103">
        <v>275</v>
      </c>
      <c r="B276" s="103"/>
      <c r="C276" s="304">
        <v>51805</v>
      </c>
      <c r="D276" s="103">
        <v>275</v>
      </c>
      <c r="E276" s="132"/>
      <c r="F276" s="153"/>
      <c r="G276" s="153"/>
      <c r="H276" s="147">
        <v>22.916666666666664</v>
      </c>
      <c r="I276" s="153">
        <v>5.4241410780810795E-2</v>
      </c>
      <c r="J276" s="151">
        <v>1.3174466984966493E-4</v>
      </c>
    </row>
    <row r="277" spans="1:10" x14ac:dyDescent="0.2">
      <c r="A277" s="103">
        <v>276</v>
      </c>
      <c r="B277" s="103"/>
      <c r="C277" s="304">
        <v>51835</v>
      </c>
      <c r="D277" s="103">
        <v>276</v>
      </c>
      <c r="E277" s="132"/>
      <c r="F277" s="153"/>
      <c r="G277" s="153"/>
      <c r="H277" s="147">
        <v>23</v>
      </c>
      <c r="I277" s="153">
        <v>5.4373137101115132E-2</v>
      </c>
      <c r="J277" s="151">
        <v>1.3172632030433729E-4</v>
      </c>
    </row>
    <row r="278" spans="1:10" x14ac:dyDescent="0.2">
      <c r="A278" s="103">
        <v>277</v>
      </c>
      <c r="B278" s="103"/>
      <c r="C278" s="304">
        <v>51866</v>
      </c>
      <c r="D278" s="103">
        <v>277</v>
      </c>
      <c r="E278" s="132"/>
      <c r="F278" s="153"/>
      <c r="G278" s="153"/>
      <c r="H278" s="147">
        <v>23.083333333333332</v>
      </c>
      <c r="I278" s="153">
        <v>5.7733340187487991E-2</v>
      </c>
      <c r="J278" s="151">
        <v>3.3602030863728594E-3</v>
      </c>
    </row>
    <row r="279" spans="1:10" x14ac:dyDescent="0.2">
      <c r="A279" s="103">
        <v>278</v>
      </c>
      <c r="B279" s="103"/>
      <c r="C279" s="304">
        <v>51897</v>
      </c>
      <c r="D279" s="103">
        <v>278</v>
      </c>
      <c r="E279" s="132"/>
      <c r="F279" s="153"/>
      <c r="G279" s="153"/>
      <c r="H279" s="147">
        <v>23.166666666666664</v>
      </c>
      <c r="I279" s="153">
        <v>5.7870798082366504E-2</v>
      </c>
      <c r="J279" s="151">
        <v>1.3745789487851212E-4</v>
      </c>
    </row>
    <row r="280" spans="1:10" x14ac:dyDescent="0.2">
      <c r="A280" s="103">
        <v>279</v>
      </c>
      <c r="B280" s="103"/>
      <c r="C280" s="304">
        <v>51925</v>
      </c>
      <c r="D280" s="103">
        <v>279</v>
      </c>
      <c r="E280" s="132"/>
      <c r="F280" s="153"/>
      <c r="G280" s="153"/>
      <c r="H280" s="147">
        <v>23.25</v>
      </c>
      <c r="I280" s="153">
        <v>5.8008235924882134E-2</v>
      </c>
      <c r="J280" s="151">
        <v>1.3743784251563085E-4</v>
      </c>
    </row>
    <row r="281" spans="1:10" x14ac:dyDescent="0.2">
      <c r="A281" s="103">
        <v>280</v>
      </c>
      <c r="B281" s="103"/>
      <c r="C281" s="304">
        <v>51956</v>
      </c>
      <c r="D281" s="103">
        <v>280</v>
      </c>
      <c r="E281" s="132"/>
      <c r="F281" s="153"/>
      <c r="G281" s="153"/>
      <c r="H281" s="147">
        <v>23.333333333333332</v>
      </c>
      <c r="I281" s="153">
        <v>5.8145653717960433E-2</v>
      </c>
      <c r="J281" s="151">
        <v>1.3741779307829827E-4</v>
      </c>
    </row>
    <row r="282" spans="1:10" x14ac:dyDescent="0.2">
      <c r="A282" s="103">
        <v>281</v>
      </c>
      <c r="B282" s="103"/>
      <c r="C282" s="304">
        <v>51986</v>
      </c>
      <c r="D282" s="103">
        <v>281</v>
      </c>
      <c r="E282" s="132"/>
      <c r="F282" s="153"/>
      <c r="G282" s="153"/>
      <c r="H282" s="147">
        <v>23.416666666666664</v>
      </c>
      <c r="I282" s="153">
        <v>5.8283051464525837E-2</v>
      </c>
      <c r="J282" s="151">
        <v>1.3739774656540416E-4</v>
      </c>
    </row>
    <row r="283" spans="1:10" x14ac:dyDescent="0.2">
      <c r="A283" s="103">
        <v>282</v>
      </c>
      <c r="B283" s="103"/>
      <c r="C283" s="304">
        <v>52017</v>
      </c>
      <c r="D283" s="103">
        <v>282</v>
      </c>
      <c r="E283" s="132"/>
      <c r="F283" s="153"/>
      <c r="G283" s="153"/>
      <c r="H283" s="147">
        <v>23.5</v>
      </c>
      <c r="I283" s="153">
        <v>5.8420429167503007E-2</v>
      </c>
      <c r="J283" s="151">
        <v>1.3737770297717056E-4</v>
      </c>
    </row>
    <row r="284" spans="1:10" x14ac:dyDescent="0.2">
      <c r="A284" s="103">
        <v>283</v>
      </c>
      <c r="B284" s="103"/>
      <c r="C284" s="304">
        <v>52047</v>
      </c>
      <c r="D284" s="103">
        <v>283</v>
      </c>
      <c r="E284" s="132"/>
      <c r="F284" s="153"/>
      <c r="G284" s="153"/>
      <c r="H284" s="147">
        <v>23.583333333333332</v>
      </c>
      <c r="I284" s="153">
        <v>5.8557786829815939E-2</v>
      </c>
      <c r="J284" s="151">
        <v>1.3735766231293134E-4</v>
      </c>
    </row>
    <row r="285" spans="1:10" x14ac:dyDescent="0.2">
      <c r="A285" s="103">
        <v>284</v>
      </c>
      <c r="B285" s="103"/>
      <c r="C285" s="304">
        <v>52078</v>
      </c>
      <c r="D285" s="103">
        <v>284</v>
      </c>
      <c r="E285" s="132"/>
      <c r="F285" s="153"/>
      <c r="G285" s="153"/>
      <c r="H285" s="147">
        <v>23.666666666666664</v>
      </c>
      <c r="I285" s="153">
        <v>5.8695124454387959E-2</v>
      </c>
      <c r="J285" s="151">
        <v>1.3733762457202037E-4</v>
      </c>
    </row>
    <row r="286" spans="1:10" x14ac:dyDescent="0.2">
      <c r="A286" s="103">
        <v>285</v>
      </c>
      <c r="B286" s="103"/>
      <c r="C286" s="304">
        <v>52109</v>
      </c>
      <c r="D286" s="103">
        <v>285</v>
      </c>
      <c r="E286" s="132"/>
      <c r="F286" s="153"/>
      <c r="G286" s="153"/>
      <c r="H286" s="147">
        <v>23.75</v>
      </c>
      <c r="I286" s="153">
        <v>5.8832442044142286E-2</v>
      </c>
      <c r="J286" s="151">
        <v>1.3731758975432662E-4</v>
      </c>
    </row>
    <row r="287" spans="1:10" x14ac:dyDescent="0.2">
      <c r="A287" s="103">
        <v>286</v>
      </c>
      <c r="B287" s="103"/>
      <c r="C287" s="304">
        <v>52139</v>
      </c>
      <c r="D287" s="103">
        <v>286</v>
      </c>
      <c r="E287" s="132"/>
      <c r="F287" s="153"/>
      <c r="G287" s="153"/>
      <c r="H287" s="147">
        <v>23.833333333333332</v>
      </c>
      <c r="I287" s="153">
        <v>5.8969739602001581E-2</v>
      </c>
      <c r="J287" s="151">
        <v>1.3729755785929498E-4</v>
      </c>
    </row>
    <row r="288" spans="1:10" x14ac:dyDescent="0.2">
      <c r="A288" s="103">
        <v>287</v>
      </c>
      <c r="B288" s="103"/>
      <c r="C288" s="304">
        <v>52170</v>
      </c>
      <c r="D288" s="103">
        <v>287</v>
      </c>
      <c r="E288" s="132"/>
      <c r="F288" s="153"/>
      <c r="G288" s="153"/>
      <c r="H288" s="147">
        <v>23.916666666666664</v>
      </c>
      <c r="I288" s="153">
        <v>5.9107017130888062E-2</v>
      </c>
      <c r="J288" s="151">
        <v>1.3727752888648137E-4</v>
      </c>
    </row>
    <row r="289" spans="1:10" x14ac:dyDescent="0.2">
      <c r="A289" s="103">
        <v>288</v>
      </c>
      <c r="B289" s="103"/>
      <c r="C289" s="304">
        <v>52200</v>
      </c>
      <c r="D289" s="131">
        <v>288</v>
      </c>
      <c r="E289" s="132"/>
      <c r="F289" s="153"/>
      <c r="G289" s="153"/>
      <c r="H289" s="147">
        <v>24</v>
      </c>
      <c r="I289" s="153">
        <v>5.9244274633723726E-2</v>
      </c>
      <c r="J289" s="151">
        <v>1.3725750283566374E-4</v>
      </c>
    </row>
    <row r="290" spans="1:10" x14ac:dyDescent="0.2">
      <c r="A290" s="103">
        <v>289</v>
      </c>
      <c r="B290" s="303"/>
      <c r="C290" s="306">
        <v>52231</v>
      </c>
      <c r="D290" s="131">
        <v>289</v>
      </c>
      <c r="E290" s="303"/>
      <c r="F290" s="303"/>
      <c r="G290" s="303"/>
      <c r="H290" s="147">
        <v>24.083333333333332</v>
      </c>
      <c r="I290" s="153">
        <v>6.2725914755845991E-2</v>
      </c>
      <c r="J290" s="151">
        <v>3.4816401221222648E-3</v>
      </c>
    </row>
    <row r="291" spans="1:10" x14ac:dyDescent="0.2">
      <c r="A291" s="103">
        <v>290</v>
      </c>
      <c r="B291" s="303"/>
      <c r="C291" s="306">
        <v>52262</v>
      </c>
      <c r="D291" s="131">
        <v>290</v>
      </c>
      <c r="E291" s="303"/>
      <c r="F291" s="303"/>
      <c r="G291" s="303"/>
      <c r="H291" s="147">
        <v>24.166666666666664</v>
      </c>
      <c r="I291" s="153">
        <v>6.286877185072004E-2</v>
      </c>
      <c r="J291" s="151">
        <v>1.428570948740493E-4</v>
      </c>
    </row>
    <row r="292" spans="1:10" x14ac:dyDescent="0.2">
      <c r="A292" s="103">
        <v>291</v>
      </c>
      <c r="B292" s="303"/>
      <c r="C292" s="306">
        <v>52290</v>
      </c>
      <c r="D292" s="131">
        <v>291</v>
      </c>
      <c r="E292" s="303"/>
      <c r="F292" s="303"/>
      <c r="G292" s="303"/>
      <c r="H292" s="147">
        <v>24.25</v>
      </c>
      <c r="I292" s="153">
        <v>6.3011607171654327E-2</v>
      </c>
      <c r="J292" s="151">
        <v>1.4283532093428697E-4</v>
      </c>
    </row>
    <row r="293" spans="1:10" x14ac:dyDescent="0.2">
      <c r="A293" s="103">
        <v>292</v>
      </c>
      <c r="B293" s="303"/>
      <c r="C293" s="306">
        <v>52321</v>
      </c>
      <c r="D293" s="131">
        <v>292</v>
      </c>
      <c r="E293" s="303"/>
      <c r="F293" s="303"/>
      <c r="G293" s="303"/>
      <c r="H293" s="147">
        <v>24.333333333333332</v>
      </c>
      <c r="I293" s="153">
        <v>6.315442072196753E-2</v>
      </c>
      <c r="J293" s="151">
        <v>1.4281355031320331E-4</v>
      </c>
    </row>
    <row r="294" spans="1:10" x14ac:dyDescent="0.2">
      <c r="A294" s="103">
        <v>293</v>
      </c>
      <c r="B294" s="303"/>
      <c r="C294" s="306">
        <v>52351</v>
      </c>
      <c r="D294" s="131">
        <v>293</v>
      </c>
      <c r="E294" s="303"/>
      <c r="F294" s="303"/>
      <c r="G294" s="303"/>
      <c r="H294" s="147">
        <v>24.416666666666664</v>
      </c>
      <c r="I294" s="153">
        <v>6.3297212504977662E-2</v>
      </c>
      <c r="J294" s="151">
        <v>1.4279178301013218E-4</v>
      </c>
    </row>
    <row r="295" spans="1:10" x14ac:dyDescent="0.2">
      <c r="A295" s="103">
        <v>294</v>
      </c>
      <c r="B295" s="303"/>
      <c r="C295" s="306">
        <v>52382</v>
      </c>
      <c r="D295" s="131">
        <v>294</v>
      </c>
      <c r="E295" s="303"/>
      <c r="F295" s="303"/>
      <c r="G295" s="303"/>
      <c r="H295" s="147">
        <v>24.5</v>
      </c>
      <c r="I295" s="153">
        <v>6.3439982524002736E-2</v>
      </c>
      <c r="J295" s="151">
        <v>1.4277001902507358E-4</v>
      </c>
    </row>
    <row r="296" spans="1:10" x14ac:dyDescent="0.2">
      <c r="A296" s="103">
        <v>295</v>
      </c>
      <c r="B296" s="303"/>
      <c r="C296" s="306">
        <v>52412</v>
      </c>
      <c r="D296" s="131">
        <v>295</v>
      </c>
      <c r="E296" s="303"/>
      <c r="F296" s="303"/>
      <c r="G296" s="303"/>
      <c r="H296" s="147">
        <v>24.583333333333332</v>
      </c>
      <c r="I296" s="153">
        <v>6.3582730782359875E-2</v>
      </c>
      <c r="J296" s="151">
        <v>1.4274825835713933E-4</v>
      </c>
    </row>
    <row r="297" spans="1:10" x14ac:dyDescent="0.2">
      <c r="A297" s="103">
        <v>296</v>
      </c>
      <c r="B297" s="303"/>
      <c r="C297" s="306">
        <v>52443</v>
      </c>
      <c r="D297" s="131">
        <v>296</v>
      </c>
      <c r="E297" s="303"/>
      <c r="F297" s="303"/>
      <c r="G297" s="303"/>
      <c r="H297" s="147">
        <v>24.666666666666664</v>
      </c>
      <c r="I297" s="153">
        <v>6.3725457283365761E-2</v>
      </c>
      <c r="J297" s="151">
        <v>1.4272650100588535E-4</v>
      </c>
    </row>
    <row r="298" spans="1:10" x14ac:dyDescent="0.2">
      <c r="A298" s="103">
        <v>297</v>
      </c>
      <c r="B298" s="303"/>
      <c r="C298" s="306">
        <v>52474</v>
      </c>
      <c r="D298" s="131">
        <v>297</v>
      </c>
      <c r="E298" s="303"/>
      <c r="F298" s="303"/>
      <c r="G298" s="303"/>
      <c r="H298" s="147">
        <v>24.75</v>
      </c>
      <c r="I298" s="153">
        <v>6.3868162030336628E-2</v>
      </c>
      <c r="J298" s="151">
        <v>1.4270474697086755E-4</v>
      </c>
    </row>
    <row r="299" spans="1:10" x14ac:dyDescent="0.2">
      <c r="A299" s="103">
        <v>298</v>
      </c>
      <c r="B299" s="303"/>
      <c r="C299" s="306">
        <v>52504</v>
      </c>
      <c r="D299" s="131">
        <v>298</v>
      </c>
      <c r="E299" s="303"/>
      <c r="F299" s="303"/>
      <c r="G299" s="303"/>
      <c r="H299" s="147">
        <v>24.833333333333332</v>
      </c>
      <c r="I299" s="153">
        <v>6.4010845026588048E-2</v>
      </c>
      <c r="J299" s="151">
        <v>1.4268299625141978E-4</v>
      </c>
    </row>
    <row r="300" spans="1:10" x14ac:dyDescent="0.2">
      <c r="A300" s="103">
        <v>299</v>
      </c>
      <c r="B300" s="303"/>
      <c r="C300" s="306">
        <v>52535</v>
      </c>
      <c r="D300" s="131">
        <v>299</v>
      </c>
      <c r="E300" s="303"/>
      <c r="F300" s="303"/>
      <c r="G300" s="303"/>
      <c r="H300" s="147">
        <v>24.916666666666664</v>
      </c>
      <c r="I300" s="153">
        <v>6.4153506275435479E-2</v>
      </c>
      <c r="J300" s="151">
        <v>1.4266124884743103E-4</v>
      </c>
    </row>
    <row r="301" spans="1:10" x14ac:dyDescent="0.2">
      <c r="A301" s="103">
        <v>300</v>
      </c>
      <c r="B301" s="303"/>
      <c r="C301" s="306">
        <v>52565</v>
      </c>
      <c r="D301" s="131">
        <v>300</v>
      </c>
      <c r="E301" s="303"/>
      <c r="F301" s="303"/>
      <c r="G301" s="303"/>
      <c r="H301" s="147">
        <v>25</v>
      </c>
      <c r="I301" s="153">
        <v>6.4296145780193381E-2</v>
      </c>
      <c r="J301" s="151">
        <v>1.426395047579021E-4</v>
      </c>
    </row>
    <row r="302" spans="1:10" x14ac:dyDescent="0.2">
      <c r="A302" s="103">
        <v>301</v>
      </c>
      <c r="B302" s="303"/>
      <c r="C302" s="306">
        <v>52596</v>
      </c>
      <c r="D302" s="131">
        <v>301</v>
      </c>
      <c r="E302" s="303"/>
      <c r="F302" s="303"/>
      <c r="G302" s="303"/>
      <c r="H302" s="147">
        <v>25.083333333333332</v>
      </c>
      <c r="I302" s="153">
        <v>6.7891242885029568E-2</v>
      </c>
      <c r="J302" s="151">
        <v>3.5950971048361868E-3</v>
      </c>
    </row>
    <row r="303" spans="1:10" x14ac:dyDescent="0.2">
      <c r="A303" s="103">
        <v>302</v>
      </c>
      <c r="B303" s="303"/>
      <c r="C303" s="306">
        <v>52627</v>
      </c>
      <c r="D303" s="131">
        <v>302</v>
      </c>
      <c r="E303" s="303"/>
      <c r="F303" s="303"/>
      <c r="G303" s="303"/>
      <c r="H303" s="147">
        <v>25.166666666666664</v>
      </c>
      <c r="I303" s="153">
        <v>6.8039336438690201E-2</v>
      </c>
      <c r="J303" s="151">
        <v>1.4809355366063315E-4</v>
      </c>
    </row>
    <row r="304" spans="1:10" x14ac:dyDescent="0.2">
      <c r="A304" s="103">
        <v>303</v>
      </c>
      <c r="B304" s="303"/>
      <c r="C304" s="306">
        <v>52656</v>
      </c>
      <c r="D304" s="131">
        <v>303</v>
      </c>
      <c r="E304" s="303"/>
      <c r="F304" s="303"/>
      <c r="G304" s="303"/>
      <c r="H304" s="147">
        <v>25.25</v>
      </c>
      <c r="I304" s="153">
        <v>6.8187406463228739E-2</v>
      </c>
      <c r="J304" s="151">
        <v>1.4807002453853801E-4</v>
      </c>
    </row>
    <row r="305" spans="1:10" x14ac:dyDescent="0.2">
      <c r="A305" s="103">
        <v>304</v>
      </c>
      <c r="B305" s="303"/>
      <c r="C305" s="306">
        <v>52687</v>
      </c>
      <c r="D305" s="131">
        <v>304</v>
      </c>
      <c r="E305" s="303"/>
      <c r="F305" s="303"/>
      <c r="G305" s="303"/>
      <c r="H305" s="147">
        <v>25.333333333333332</v>
      </c>
      <c r="I305" s="153">
        <v>6.8335452962383747E-2</v>
      </c>
      <c r="J305" s="151">
        <v>1.4804649915500789E-4</v>
      </c>
    </row>
    <row r="306" spans="1:10" x14ac:dyDescent="0.2">
      <c r="A306" s="103">
        <v>305</v>
      </c>
      <c r="B306" s="303"/>
      <c r="C306" s="306">
        <v>52717</v>
      </c>
      <c r="D306" s="131">
        <v>305</v>
      </c>
      <c r="E306" s="303"/>
      <c r="F306" s="303"/>
      <c r="G306" s="303"/>
      <c r="H306" s="147">
        <v>25.416666666666664</v>
      </c>
      <c r="I306" s="153">
        <v>6.8483475939892569E-2</v>
      </c>
      <c r="J306" s="151">
        <v>1.4802297750882154E-4</v>
      </c>
    </row>
    <row r="307" spans="1:10" x14ac:dyDescent="0.2">
      <c r="A307" s="103">
        <v>306</v>
      </c>
      <c r="B307" s="303"/>
      <c r="C307" s="306">
        <v>52748</v>
      </c>
      <c r="D307" s="131">
        <v>306</v>
      </c>
      <c r="E307" s="303"/>
      <c r="F307" s="303"/>
      <c r="G307" s="303"/>
      <c r="H307" s="147">
        <v>25.5</v>
      </c>
      <c r="I307" s="153">
        <v>6.863147539949277E-2</v>
      </c>
      <c r="J307" s="151">
        <v>1.47999459600201E-4</v>
      </c>
    </row>
    <row r="308" spans="1:10" x14ac:dyDescent="0.2">
      <c r="A308" s="103">
        <v>307</v>
      </c>
      <c r="B308" s="303"/>
      <c r="C308" s="306">
        <v>52778</v>
      </c>
      <c r="D308" s="131">
        <v>307</v>
      </c>
      <c r="E308" s="303"/>
      <c r="F308" s="303"/>
      <c r="G308" s="303"/>
      <c r="H308" s="147">
        <v>25.583333333333332</v>
      </c>
      <c r="I308" s="153">
        <v>6.8779451344920584E-2</v>
      </c>
      <c r="J308" s="151">
        <v>1.47975945427814E-4</v>
      </c>
    </row>
    <row r="309" spans="1:10" x14ac:dyDescent="0.2">
      <c r="A309" s="103">
        <v>308</v>
      </c>
      <c r="B309" s="303"/>
      <c r="C309" s="306">
        <v>52809</v>
      </c>
      <c r="D309" s="131">
        <v>308</v>
      </c>
      <c r="E309" s="303"/>
      <c r="F309" s="303"/>
      <c r="G309" s="303"/>
      <c r="H309" s="147">
        <v>25.666666666666664</v>
      </c>
      <c r="I309" s="153">
        <v>6.8927403779912133E-2</v>
      </c>
      <c r="J309" s="151">
        <v>1.4795243499154953E-4</v>
      </c>
    </row>
    <row r="310" spans="1:10" x14ac:dyDescent="0.2">
      <c r="A310" s="103">
        <v>309</v>
      </c>
      <c r="B310" s="303"/>
      <c r="C310" s="306">
        <v>52840</v>
      </c>
      <c r="D310" s="131">
        <v>309</v>
      </c>
      <c r="E310" s="303"/>
      <c r="F310" s="303"/>
      <c r="G310" s="303"/>
      <c r="H310" s="147">
        <v>25.75</v>
      </c>
      <c r="I310" s="153">
        <v>6.9075332708202541E-2</v>
      </c>
      <c r="J310" s="151">
        <v>1.4792892829040838E-4</v>
      </c>
    </row>
    <row r="311" spans="1:10" x14ac:dyDescent="0.2">
      <c r="A311" s="103">
        <v>310</v>
      </c>
      <c r="B311" s="303"/>
      <c r="C311" s="306">
        <v>52870</v>
      </c>
      <c r="D311" s="131">
        <v>310</v>
      </c>
      <c r="E311" s="303"/>
      <c r="F311" s="303"/>
      <c r="G311" s="303"/>
      <c r="H311" s="147">
        <v>25.833333333333332</v>
      </c>
      <c r="I311" s="153">
        <v>6.922323813352671E-2</v>
      </c>
      <c r="J311" s="151">
        <v>1.479054253241685E-4</v>
      </c>
    </row>
    <row r="312" spans="1:10" x14ac:dyDescent="0.2">
      <c r="A312" s="103">
        <v>311</v>
      </c>
      <c r="B312" s="303"/>
      <c r="C312" s="306">
        <v>52901</v>
      </c>
      <c r="D312" s="131">
        <v>311</v>
      </c>
      <c r="E312" s="303"/>
      <c r="F312" s="303"/>
      <c r="G312" s="303"/>
      <c r="H312" s="147">
        <v>25.916666666666664</v>
      </c>
      <c r="I312" s="153">
        <v>6.9371120059618874E-2</v>
      </c>
      <c r="J312" s="151">
        <v>1.4788192609216377E-4</v>
      </c>
    </row>
    <row r="313" spans="1:10" x14ac:dyDescent="0.2">
      <c r="A313" s="103">
        <v>312</v>
      </c>
      <c r="B313" s="303"/>
      <c r="C313" s="306">
        <v>52931</v>
      </c>
      <c r="D313" s="131">
        <v>312</v>
      </c>
      <c r="E313" s="303"/>
      <c r="F313" s="303"/>
      <c r="G313" s="303"/>
      <c r="H313" s="147">
        <v>26</v>
      </c>
      <c r="I313" s="153">
        <v>6.9518978490212824E-2</v>
      </c>
      <c r="J313" s="151">
        <v>1.478584305939501E-4</v>
      </c>
    </row>
    <row r="314" spans="1:10" x14ac:dyDescent="0.2">
      <c r="A314" s="103">
        <v>313</v>
      </c>
      <c r="B314" s="303"/>
      <c r="C314" s="306">
        <v>52962</v>
      </c>
      <c r="D314" s="131">
        <v>313</v>
      </c>
      <c r="E314" s="303"/>
      <c r="F314" s="303"/>
      <c r="G314" s="303"/>
      <c r="H314" s="147">
        <v>26.083333333333332</v>
      </c>
      <c r="I314" s="153">
        <v>7.3219510010459121E-2</v>
      </c>
      <c r="J314" s="151">
        <v>3.7005315202462974E-3</v>
      </c>
    </row>
    <row r="315" spans="1:10" x14ac:dyDescent="0.2">
      <c r="A315" s="103">
        <v>314</v>
      </c>
      <c r="B315" s="303"/>
      <c r="C315" s="306">
        <v>52993</v>
      </c>
      <c r="D315" s="131">
        <v>314</v>
      </c>
      <c r="E315" s="303"/>
      <c r="F315" s="303"/>
      <c r="G315" s="303"/>
      <c r="H315" s="147">
        <v>26.166666666666664</v>
      </c>
      <c r="I315" s="153">
        <v>7.3372665685732308E-2</v>
      </c>
      <c r="J315" s="151">
        <v>1.5315567527318663E-4</v>
      </c>
    </row>
    <row r="316" spans="1:10" x14ac:dyDescent="0.2">
      <c r="A316" s="103">
        <v>315</v>
      </c>
      <c r="B316" s="303"/>
      <c r="C316" s="306">
        <v>53021</v>
      </c>
      <c r="D316" s="131">
        <v>315</v>
      </c>
      <c r="E316" s="303"/>
      <c r="F316" s="303"/>
      <c r="G316" s="303"/>
      <c r="H316" s="147">
        <v>26.25</v>
      </c>
      <c r="I316" s="153">
        <v>7.3525796051170822E-2</v>
      </c>
      <c r="J316" s="151">
        <v>1.531303654385141E-4</v>
      </c>
    </row>
    <row r="317" spans="1:10" x14ac:dyDescent="0.2">
      <c r="A317" s="103">
        <v>316</v>
      </c>
      <c r="B317" s="303"/>
      <c r="C317" s="306">
        <v>53052</v>
      </c>
      <c r="D317" s="131">
        <v>316</v>
      </c>
      <c r="E317" s="303"/>
      <c r="F317" s="303"/>
      <c r="G317" s="303"/>
      <c r="H317" s="147">
        <v>26.333333333333332</v>
      </c>
      <c r="I317" s="153">
        <v>7.3678901110957651E-2</v>
      </c>
      <c r="J317" s="151">
        <v>1.5310505978682887E-4</v>
      </c>
    </row>
    <row r="318" spans="1:10" x14ac:dyDescent="0.2">
      <c r="A318" s="103">
        <v>317</v>
      </c>
      <c r="B318" s="303"/>
      <c r="C318" s="306">
        <v>53082</v>
      </c>
      <c r="D318" s="131">
        <v>317</v>
      </c>
      <c r="E318" s="303"/>
      <c r="F318" s="303"/>
      <c r="G318" s="303"/>
      <c r="H318" s="147">
        <v>26.416666666666664</v>
      </c>
      <c r="I318" s="153">
        <v>7.3831980869274227E-2</v>
      </c>
      <c r="J318" s="151">
        <v>1.5307975831657661E-4</v>
      </c>
    </row>
    <row r="319" spans="1:10" x14ac:dyDescent="0.2">
      <c r="A319" s="103">
        <v>318</v>
      </c>
      <c r="B319" s="303"/>
      <c r="C319" s="306">
        <v>53113</v>
      </c>
      <c r="D319" s="131">
        <v>318</v>
      </c>
      <c r="E319" s="303"/>
      <c r="F319" s="303"/>
      <c r="G319" s="303"/>
      <c r="H319" s="147">
        <v>26.5</v>
      </c>
      <c r="I319" s="153">
        <v>7.3985035330301985E-2</v>
      </c>
      <c r="J319" s="151">
        <v>1.5305446102775733E-4</v>
      </c>
    </row>
    <row r="320" spans="1:10" x14ac:dyDescent="0.2">
      <c r="A320" s="103">
        <v>319</v>
      </c>
      <c r="B320" s="303"/>
      <c r="C320" s="306">
        <v>53143</v>
      </c>
      <c r="D320" s="131">
        <v>319</v>
      </c>
      <c r="E320" s="303"/>
      <c r="F320" s="303"/>
      <c r="G320" s="303"/>
      <c r="H320" s="147">
        <v>26.583333333333332</v>
      </c>
      <c r="I320" s="153">
        <v>7.4138064498221246E-2</v>
      </c>
      <c r="J320" s="151">
        <v>1.530291679192608E-4</v>
      </c>
    </row>
    <row r="321" spans="1:10" x14ac:dyDescent="0.2">
      <c r="A321" s="103">
        <v>320</v>
      </c>
      <c r="B321" s="303"/>
      <c r="C321" s="306">
        <v>53174</v>
      </c>
      <c r="D321" s="131">
        <v>320</v>
      </c>
      <c r="E321" s="303"/>
      <c r="F321" s="303"/>
      <c r="G321" s="303"/>
      <c r="H321" s="147">
        <v>26.666666666666664</v>
      </c>
      <c r="I321" s="153">
        <v>7.4291068377212222E-2</v>
      </c>
      <c r="J321" s="151">
        <v>1.5300387899097601E-4</v>
      </c>
    </row>
    <row r="322" spans="1:10" x14ac:dyDescent="0.2">
      <c r="A322" s="103">
        <v>321</v>
      </c>
      <c r="B322" s="303"/>
      <c r="C322" s="306">
        <v>53205</v>
      </c>
      <c r="D322" s="131">
        <v>321</v>
      </c>
      <c r="E322" s="303"/>
      <c r="F322" s="303"/>
      <c r="G322" s="303"/>
      <c r="H322" s="147">
        <v>26.75</v>
      </c>
      <c r="I322" s="153">
        <v>7.4444046971453792E-2</v>
      </c>
      <c r="J322" s="151">
        <v>1.5297859424157068E-4</v>
      </c>
    </row>
    <row r="323" spans="1:10" x14ac:dyDescent="0.2">
      <c r="A323" s="103">
        <v>322</v>
      </c>
      <c r="B323" s="303"/>
      <c r="C323" s="306">
        <v>53235</v>
      </c>
      <c r="D323" s="131">
        <v>322</v>
      </c>
      <c r="E323" s="303"/>
      <c r="F323" s="303"/>
      <c r="G323" s="303"/>
      <c r="H323" s="147">
        <v>26.833333333333332</v>
      </c>
      <c r="I323" s="153">
        <v>7.4597000285124393E-2</v>
      </c>
      <c r="J323" s="151">
        <v>1.5295331367060072E-4</v>
      </c>
    </row>
    <row r="324" spans="1:10" x14ac:dyDescent="0.2">
      <c r="A324" s="103">
        <v>323</v>
      </c>
      <c r="B324" s="303"/>
      <c r="C324" s="306">
        <v>53266</v>
      </c>
      <c r="D324" s="131">
        <v>323</v>
      </c>
      <c r="E324" s="303"/>
      <c r="F324" s="303"/>
      <c r="G324" s="303"/>
      <c r="H324" s="147">
        <v>26.916666666666664</v>
      </c>
      <c r="I324" s="153">
        <v>7.4749928322401904E-2</v>
      </c>
      <c r="J324" s="151">
        <v>1.5292803727751103E-4</v>
      </c>
    </row>
    <row r="325" spans="1:10" x14ac:dyDescent="0.2">
      <c r="A325" s="103">
        <v>324</v>
      </c>
      <c r="B325" s="303"/>
      <c r="C325" s="306">
        <v>53296</v>
      </c>
      <c r="D325" s="131">
        <v>324</v>
      </c>
      <c r="E325" s="303"/>
      <c r="F325" s="303"/>
      <c r="G325" s="303"/>
      <c r="H325" s="147">
        <v>27</v>
      </c>
      <c r="I325" s="153">
        <v>7.4902831087463762E-2</v>
      </c>
      <c r="J325" s="151">
        <v>1.5290276506185752E-4</v>
      </c>
    </row>
    <row r="326" spans="1:10" x14ac:dyDescent="0.2">
      <c r="A326" s="103">
        <v>325</v>
      </c>
      <c r="B326" s="303"/>
      <c r="C326" s="306">
        <v>53327</v>
      </c>
      <c r="D326" s="131">
        <v>325</v>
      </c>
      <c r="E326" s="303"/>
      <c r="F326" s="303"/>
      <c r="G326" s="303"/>
      <c r="H326" s="147">
        <v>27.083333333333332</v>
      </c>
      <c r="I326" s="153">
        <v>7.8700808636410269E-2</v>
      </c>
      <c r="J326" s="151">
        <v>3.7979775489465073E-3</v>
      </c>
    </row>
    <row r="327" spans="1:10" x14ac:dyDescent="0.2">
      <c r="A327" s="103">
        <v>326</v>
      </c>
      <c r="B327" s="303"/>
      <c r="C327" s="306">
        <v>53358</v>
      </c>
      <c r="D327" s="131">
        <v>326</v>
      </c>
      <c r="E327" s="303"/>
      <c r="F327" s="303"/>
      <c r="G327" s="303"/>
      <c r="H327" s="147">
        <v>27.166666666666664</v>
      </c>
      <c r="I327" s="153">
        <v>7.8858842694153886E-2</v>
      </c>
      <c r="J327" s="151">
        <v>1.5803405774361678E-4</v>
      </c>
    </row>
    <row r="328" spans="1:10" x14ac:dyDescent="0.2">
      <c r="A328" s="103">
        <v>327</v>
      </c>
      <c r="B328" s="303"/>
      <c r="C328" s="306">
        <v>53386</v>
      </c>
      <c r="D328" s="131">
        <v>327</v>
      </c>
      <c r="E328" s="303"/>
      <c r="F328" s="303"/>
      <c r="G328" s="303"/>
      <c r="H328" s="147">
        <v>27.25</v>
      </c>
      <c r="I328" s="153">
        <v>7.9016849643696929E-2</v>
      </c>
      <c r="J328" s="151">
        <v>1.5800694954304362E-4</v>
      </c>
    </row>
    <row r="329" spans="1:10" x14ac:dyDescent="0.2">
      <c r="A329" s="103">
        <v>328</v>
      </c>
      <c r="B329" s="303"/>
      <c r="C329" s="306">
        <v>53417</v>
      </c>
      <c r="D329" s="131">
        <v>328</v>
      </c>
      <c r="E329" s="303"/>
      <c r="F329" s="303"/>
      <c r="G329" s="303"/>
      <c r="H329" s="147">
        <v>27.333333333333332</v>
      </c>
      <c r="I329" s="153">
        <v>7.9174829489689236E-2</v>
      </c>
      <c r="J329" s="151">
        <v>1.5797984599230652E-4</v>
      </c>
    </row>
    <row r="330" spans="1:10" x14ac:dyDescent="0.2">
      <c r="A330" s="103">
        <v>329</v>
      </c>
      <c r="B330" s="303"/>
      <c r="C330" s="306">
        <v>53447</v>
      </c>
      <c r="D330" s="131">
        <v>329</v>
      </c>
      <c r="E330" s="303"/>
      <c r="F330" s="303"/>
      <c r="G330" s="303"/>
      <c r="H330" s="147">
        <v>27.416666666666664</v>
      </c>
      <c r="I330" s="153">
        <v>7.9332782236779864E-2</v>
      </c>
      <c r="J330" s="151">
        <v>1.5795274709062834E-4</v>
      </c>
    </row>
    <row r="331" spans="1:10" x14ac:dyDescent="0.2">
      <c r="A331" s="103">
        <v>330</v>
      </c>
      <c r="B331" s="303"/>
      <c r="C331" s="306">
        <v>53478</v>
      </c>
      <c r="D331" s="131">
        <v>330</v>
      </c>
      <c r="E331" s="303"/>
      <c r="F331" s="303"/>
      <c r="G331" s="303"/>
      <c r="H331" s="147">
        <v>27.5</v>
      </c>
      <c r="I331" s="153">
        <v>7.9490707889617429E-2</v>
      </c>
      <c r="J331" s="151">
        <v>1.5792565283756499E-4</v>
      </c>
    </row>
    <row r="332" spans="1:10" x14ac:dyDescent="0.2">
      <c r="A332" s="103">
        <v>331</v>
      </c>
      <c r="B332" s="303"/>
      <c r="C332" s="306">
        <v>53508</v>
      </c>
      <c r="D332" s="131">
        <v>331</v>
      </c>
      <c r="E332" s="303"/>
      <c r="F332" s="303"/>
      <c r="G332" s="303"/>
      <c r="H332" s="147">
        <v>27.583333333333332</v>
      </c>
      <c r="I332" s="153">
        <v>7.9648606452849213E-2</v>
      </c>
      <c r="J332" s="151">
        <v>1.5789856323178419E-4</v>
      </c>
    </row>
    <row r="333" spans="1:10" x14ac:dyDescent="0.2">
      <c r="A333" s="103">
        <v>332</v>
      </c>
      <c r="B333" s="303"/>
      <c r="C333" s="306">
        <v>53539</v>
      </c>
      <c r="D333" s="131">
        <v>332</v>
      </c>
      <c r="E333" s="303"/>
      <c r="F333" s="303"/>
      <c r="G333" s="303"/>
      <c r="H333" s="147">
        <v>27.666666666666664</v>
      </c>
      <c r="I333" s="153">
        <v>7.9806477931122277E-2</v>
      </c>
      <c r="J333" s="151">
        <v>1.5787147827306391E-4</v>
      </c>
    </row>
    <row r="334" spans="1:10" x14ac:dyDescent="0.2">
      <c r="A334" s="103">
        <v>333</v>
      </c>
      <c r="B334" s="303"/>
      <c r="C334" s="306">
        <v>53570</v>
      </c>
      <c r="D334" s="131">
        <v>333</v>
      </c>
      <c r="E334" s="303"/>
      <c r="F334" s="303"/>
      <c r="G334" s="303"/>
      <c r="H334" s="147">
        <v>27.75</v>
      </c>
      <c r="I334" s="153">
        <v>7.9964322329082571E-2</v>
      </c>
      <c r="J334" s="151">
        <v>1.5784439796029393E-4</v>
      </c>
    </row>
    <row r="335" spans="1:10" x14ac:dyDescent="0.2">
      <c r="A335" s="103">
        <v>334</v>
      </c>
      <c r="B335" s="303"/>
      <c r="C335" s="306">
        <v>53600</v>
      </c>
      <c r="D335" s="131">
        <v>334</v>
      </c>
      <c r="E335" s="303"/>
      <c r="F335" s="303"/>
      <c r="G335" s="303"/>
      <c r="H335" s="147">
        <v>27.833333333333332</v>
      </c>
      <c r="I335" s="153">
        <v>8.0122139651375046E-2</v>
      </c>
      <c r="J335" s="151">
        <v>1.5781732229247503E-4</v>
      </c>
    </row>
    <row r="336" spans="1:10" x14ac:dyDescent="0.2">
      <c r="A336" s="103">
        <v>335</v>
      </c>
      <c r="B336" s="303"/>
      <c r="C336" s="306">
        <v>53631</v>
      </c>
      <c r="D336" s="131">
        <v>335</v>
      </c>
      <c r="E336" s="303"/>
      <c r="F336" s="303"/>
      <c r="G336" s="303"/>
      <c r="H336" s="147">
        <v>27.916666666666664</v>
      </c>
      <c r="I336" s="153">
        <v>8.0279929902644431E-2</v>
      </c>
      <c r="J336" s="151">
        <v>1.5779025126938517E-4</v>
      </c>
    </row>
    <row r="337" spans="1:10" x14ac:dyDescent="0.2">
      <c r="A337" s="103">
        <v>336</v>
      </c>
      <c r="B337" s="303"/>
      <c r="C337" s="306">
        <v>53661</v>
      </c>
      <c r="D337" s="131">
        <v>336</v>
      </c>
      <c r="E337" s="303"/>
      <c r="F337" s="303"/>
      <c r="G337" s="303"/>
      <c r="H337" s="147">
        <v>28</v>
      </c>
      <c r="I337" s="153">
        <v>8.0437693087534234E-2</v>
      </c>
      <c r="J337" s="151">
        <v>1.5776318488980312E-4</v>
      </c>
    </row>
    <row r="338" spans="1:10" x14ac:dyDescent="0.2">
      <c r="A338" s="103">
        <v>337</v>
      </c>
      <c r="B338" s="303"/>
      <c r="C338" s="306">
        <v>53692</v>
      </c>
      <c r="D338" s="131">
        <v>337</v>
      </c>
      <c r="E338" s="303"/>
      <c r="F338" s="303"/>
      <c r="G338" s="303"/>
      <c r="H338" s="147">
        <v>28.083333333333332</v>
      </c>
      <c r="I338" s="153">
        <v>8.4325227580227535E-2</v>
      </c>
      <c r="J338" s="151">
        <v>3.8875344926933009E-3</v>
      </c>
    </row>
    <row r="339" spans="1:10" x14ac:dyDescent="0.2">
      <c r="A339" s="103">
        <v>338</v>
      </c>
      <c r="B339" s="303"/>
      <c r="C339" s="306">
        <v>53723</v>
      </c>
      <c r="D339" s="131">
        <v>338</v>
      </c>
      <c r="E339" s="303"/>
      <c r="F339" s="303"/>
      <c r="G339" s="303"/>
      <c r="H339" s="147">
        <v>28.166666666666664</v>
      </c>
      <c r="I339" s="153">
        <v>8.4487948886563635E-2</v>
      </c>
      <c r="J339" s="151">
        <v>1.6272130633609994E-4</v>
      </c>
    </row>
    <row r="340" spans="1:10" x14ac:dyDescent="0.2">
      <c r="A340" s="103">
        <v>339</v>
      </c>
      <c r="B340" s="303"/>
      <c r="C340" s="306">
        <v>53751</v>
      </c>
      <c r="D340" s="131">
        <v>339</v>
      </c>
      <c r="E340" s="303"/>
      <c r="F340" s="303"/>
      <c r="G340" s="303"/>
      <c r="H340" s="147">
        <v>28.25</v>
      </c>
      <c r="I340" s="153">
        <v>8.4650641276275085E-2</v>
      </c>
      <c r="J340" s="151">
        <v>1.6269238971144961E-4</v>
      </c>
    </row>
    <row r="341" spans="1:10" x14ac:dyDescent="0.2">
      <c r="A341" s="103">
        <v>340</v>
      </c>
      <c r="B341" s="303"/>
      <c r="C341" s="306">
        <v>53782</v>
      </c>
      <c r="D341" s="131">
        <v>340</v>
      </c>
      <c r="E341" s="303"/>
      <c r="F341" s="303"/>
      <c r="G341" s="303"/>
      <c r="H341" s="147">
        <v>28.333333333333332</v>
      </c>
      <c r="I341" s="153">
        <v>8.4813304754500773E-2</v>
      </c>
      <c r="J341" s="151">
        <v>1.6266347822568861E-4</v>
      </c>
    </row>
    <row r="342" spans="1:10" x14ac:dyDescent="0.2">
      <c r="A342" s="103">
        <v>341</v>
      </c>
      <c r="B342" s="303"/>
      <c r="C342" s="306">
        <v>53812</v>
      </c>
      <c r="D342" s="131">
        <v>341</v>
      </c>
      <c r="E342" s="303"/>
      <c r="F342" s="303"/>
      <c r="G342" s="303"/>
      <c r="H342" s="147">
        <v>28.416666666666664</v>
      </c>
      <c r="I342" s="153">
        <v>8.497593932637848E-2</v>
      </c>
      <c r="J342" s="151">
        <v>1.6263457187770669E-4</v>
      </c>
    </row>
    <row r="343" spans="1:10" x14ac:dyDescent="0.2">
      <c r="A343" s="103">
        <v>342</v>
      </c>
      <c r="B343" s="303"/>
      <c r="C343" s="306">
        <v>53843</v>
      </c>
      <c r="D343" s="131">
        <v>342</v>
      </c>
      <c r="E343" s="303"/>
      <c r="F343" s="303"/>
      <c r="G343" s="303"/>
      <c r="H343" s="147">
        <v>28.5</v>
      </c>
      <c r="I343" s="153">
        <v>8.5138544997044985E-2</v>
      </c>
      <c r="J343" s="151">
        <v>1.6260567066650466E-4</v>
      </c>
    </row>
    <row r="344" spans="1:10" x14ac:dyDescent="0.2">
      <c r="A344" s="103">
        <v>343</v>
      </c>
      <c r="B344" s="303"/>
      <c r="C344" s="306">
        <v>53873</v>
      </c>
      <c r="D344" s="131">
        <v>343</v>
      </c>
      <c r="E344" s="303"/>
      <c r="F344" s="303"/>
      <c r="G344" s="303"/>
      <c r="H344" s="147">
        <v>28.583333333333332</v>
      </c>
      <c r="I344" s="153">
        <v>8.5301121771636179E-2</v>
      </c>
      <c r="J344" s="151">
        <v>1.6257677459119435E-4</v>
      </c>
    </row>
    <row r="345" spans="1:10" x14ac:dyDescent="0.2">
      <c r="A345" s="103">
        <v>344</v>
      </c>
      <c r="B345" s="303"/>
      <c r="C345" s="306">
        <v>53904</v>
      </c>
      <c r="D345" s="131">
        <v>344</v>
      </c>
      <c r="E345" s="303"/>
      <c r="F345" s="303"/>
      <c r="G345" s="303"/>
      <c r="H345" s="147">
        <v>28.666666666666664</v>
      </c>
      <c r="I345" s="153">
        <v>8.5463669655287178E-2</v>
      </c>
      <c r="J345" s="151">
        <v>1.6254788365099859E-4</v>
      </c>
    </row>
    <row r="346" spans="1:10" x14ac:dyDescent="0.2">
      <c r="A346" s="103">
        <v>345</v>
      </c>
      <c r="B346" s="303"/>
      <c r="C346" s="306">
        <v>53935</v>
      </c>
      <c r="D346" s="131">
        <v>345</v>
      </c>
      <c r="E346" s="303"/>
      <c r="F346" s="303"/>
      <c r="G346" s="303"/>
      <c r="H346" s="147">
        <v>28.75</v>
      </c>
      <c r="I346" s="153">
        <v>8.5626188653131985E-2</v>
      </c>
      <c r="J346" s="151">
        <v>1.6251899784480717E-4</v>
      </c>
    </row>
    <row r="347" spans="1:10" x14ac:dyDescent="0.2">
      <c r="A347" s="103">
        <v>346</v>
      </c>
      <c r="B347" s="303"/>
      <c r="C347" s="306">
        <v>53965</v>
      </c>
      <c r="D347" s="131">
        <v>346</v>
      </c>
      <c r="E347" s="303"/>
      <c r="F347" s="303"/>
      <c r="G347" s="303"/>
      <c r="H347" s="147">
        <v>28.833333333333332</v>
      </c>
      <c r="I347" s="153">
        <v>8.5788678770303717E-2</v>
      </c>
      <c r="J347" s="151">
        <v>1.624901171717319E-4</v>
      </c>
    </row>
    <row r="348" spans="1:10" x14ac:dyDescent="0.2">
      <c r="A348" s="103">
        <v>347</v>
      </c>
      <c r="B348" s="303"/>
      <c r="C348" s="306">
        <v>53996</v>
      </c>
      <c r="D348" s="131">
        <v>347</v>
      </c>
      <c r="E348" s="303"/>
      <c r="F348" s="303"/>
      <c r="G348" s="303"/>
      <c r="H348" s="147">
        <v>28.916666666666664</v>
      </c>
      <c r="I348" s="153">
        <v>8.5951140011934934E-2</v>
      </c>
      <c r="J348" s="151">
        <v>1.6246124163121767E-4</v>
      </c>
    </row>
    <row r="349" spans="1:10" x14ac:dyDescent="0.2">
      <c r="A349" s="103">
        <v>348</v>
      </c>
      <c r="B349" s="303"/>
      <c r="C349" s="306">
        <v>54026</v>
      </c>
      <c r="D349" s="131">
        <v>348</v>
      </c>
      <c r="E349" s="303"/>
      <c r="F349" s="303"/>
      <c r="G349" s="303"/>
      <c r="H349" s="147">
        <v>29</v>
      </c>
      <c r="I349" s="153">
        <v>8.6113572383156312E-2</v>
      </c>
      <c r="J349" s="151">
        <v>1.624323712213771E-4</v>
      </c>
    </row>
    <row r="350" spans="1:10" x14ac:dyDescent="0.2">
      <c r="A350" s="103">
        <v>349</v>
      </c>
      <c r="B350" s="303"/>
      <c r="C350" s="306">
        <v>54057</v>
      </c>
      <c r="D350" s="131">
        <v>349</v>
      </c>
      <c r="E350" s="303"/>
      <c r="F350" s="303"/>
      <c r="G350" s="303"/>
      <c r="H350" s="147">
        <v>29.083333333333332</v>
      </c>
      <c r="I350" s="153">
        <v>9.0082928556420527E-2</v>
      </c>
      <c r="J350" s="151">
        <v>3.9693561732642157E-3</v>
      </c>
    </row>
    <row r="351" spans="1:10" x14ac:dyDescent="0.2">
      <c r="A351" s="103">
        <v>350</v>
      </c>
      <c r="B351" s="303"/>
      <c r="C351" s="306">
        <v>54088</v>
      </c>
      <c r="D351" s="131">
        <v>350</v>
      </c>
      <c r="E351" s="303"/>
      <c r="F351" s="303"/>
      <c r="G351" s="303"/>
      <c r="H351" s="147">
        <v>29.166666666666664</v>
      </c>
      <c r="I351" s="153">
        <v>9.0250140406619273E-2</v>
      </c>
      <c r="J351" s="151">
        <v>1.6721185019874518E-4</v>
      </c>
    </row>
    <row r="352" spans="1:10" x14ac:dyDescent="0.2">
      <c r="A352" s="103">
        <v>351</v>
      </c>
      <c r="B352" s="303"/>
      <c r="C352" s="306">
        <v>54117</v>
      </c>
      <c r="D352" s="131">
        <v>351</v>
      </c>
      <c r="E352" s="303"/>
      <c r="F352" s="303"/>
      <c r="G352" s="303"/>
      <c r="H352" s="147">
        <v>29.25</v>
      </c>
      <c r="I352" s="153">
        <v>9.0417321528959649E-2</v>
      </c>
      <c r="J352" s="151">
        <v>1.671811223403763E-4</v>
      </c>
    </row>
    <row r="353" spans="1:10" x14ac:dyDescent="0.2">
      <c r="A353" s="103">
        <v>352</v>
      </c>
      <c r="B353" s="303"/>
      <c r="C353" s="306">
        <v>54148</v>
      </c>
      <c r="D353" s="131">
        <v>352</v>
      </c>
      <c r="E353" s="303"/>
      <c r="F353" s="303"/>
      <c r="G353" s="303"/>
      <c r="H353" s="147">
        <v>29.333333333333332</v>
      </c>
      <c r="I353" s="153">
        <v>9.0584471929088584E-2</v>
      </c>
      <c r="J353" s="151">
        <v>1.6715040012893478E-4</v>
      </c>
    </row>
    <row r="354" spans="1:10" x14ac:dyDescent="0.2">
      <c r="A354" s="103">
        <v>353</v>
      </c>
      <c r="B354" s="303"/>
      <c r="C354" s="306">
        <v>54178</v>
      </c>
      <c r="D354" s="131">
        <v>353</v>
      </c>
      <c r="E354" s="303"/>
      <c r="F354" s="303"/>
      <c r="G354" s="303"/>
      <c r="H354" s="147">
        <v>29.416666666666664</v>
      </c>
      <c r="I354" s="153">
        <v>9.075159161265145E-2</v>
      </c>
      <c r="J354" s="151">
        <v>1.6711968356286633E-4</v>
      </c>
    </row>
    <row r="355" spans="1:10" x14ac:dyDescent="0.2">
      <c r="A355" s="103">
        <v>354</v>
      </c>
      <c r="B355" s="303"/>
      <c r="C355" s="306">
        <v>54209</v>
      </c>
      <c r="D355" s="131">
        <v>354</v>
      </c>
      <c r="E355" s="303"/>
      <c r="F355" s="303"/>
      <c r="G355" s="303"/>
      <c r="H355" s="147">
        <v>29.5</v>
      </c>
      <c r="I355" s="153">
        <v>9.0918680585293177E-2</v>
      </c>
      <c r="J355" s="151">
        <v>1.6708897264172684E-4</v>
      </c>
    </row>
    <row r="356" spans="1:10" x14ac:dyDescent="0.2">
      <c r="A356" s="103">
        <v>355</v>
      </c>
      <c r="B356" s="303"/>
      <c r="C356" s="306">
        <v>54239</v>
      </c>
      <c r="D356" s="131">
        <v>355</v>
      </c>
      <c r="E356" s="303"/>
      <c r="F356" s="303"/>
      <c r="G356" s="303"/>
      <c r="H356" s="147">
        <v>29.583333333333332</v>
      </c>
      <c r="I356" s="153">
        <v>9.1085738852657361E-2</v>
      </c>
      <c r="J356" s="151">
        <v>1.6705826736418405E-4</v>
      </c>
    </row>
    <row r="357" spans="1:10" x14ac:dyDescent="0.2">
      <c r="A357" s="103">
        <v>356</v>
      </c>
      <c r="B357" s="303"/>
      <c r="C357" s="306">
        <v>54270</v>
      </c>
      <c r="D357" s="131">
        <v>356</v>
      </c>
      <c r="E357" s="303"/>
      <c r="F357" s="303"/>
      <c r="G357" s="303"/>
      <c r="H357" s="147">
        <v>29.666666666666664</v>
      </c>
      <c r="I357" s="153">
        <v>9.12527664203866E-2</v>
      </c>
      <c r="J357" s="151">
        <v>1.6702756772923877E-4</v>
      </c>
    </row>
    <row r="358" spans="1:10" x14ac:dyDescent="0.2">
      <c r="A358" s="103">
        <v>357</v>
      </c>
      <c r="B358" s="303"/>
      <c r="C358" s="306">
        <v>54301</v>
      </c>
      <c r="D358" s="131">
        <v>357</v>
      </c>
      <c r="E358" s="303"/>
      <c r="F358" s="303"/>
      <c r="G358" s="303"/>
      <c r="H358" s="147">
        <v>29.75</v>
      </c>
      <c r="I358" s="153">
        <v>9.1419763294122269E-2</v>
      </c>
      <c r="J358" s="151">
        <v>1.6699687373566974E-4</v>
      </c>
    </row>
    <row r="359" spans="1:10" x14ac:dyDescent="0.2">
      <c r="A359" s="103">
        <v>358</v>
      </c>
      <c r="B359" s="303"/>
      <c r="C359" s="306">
        <v>54331</v>
      </c>
      <c r="D359" s="131">
        <v>358</v>
      </c>
      <c r="E359" s="303"/>
      <c r="F359" s="303"/>
      <c r="G359" s="303"/>
      <c r="H359" s="147">
        <v>29.833333333333332</v>
      </c>
      <c r="I359" s="153">
        <v>9.1586729479504969E-2</v>
      </c>
      <c r="J359" s="151">
        <v>1.6696618538269981E-4</v>
      </c>
    </row>
    <row r="360" spans="1:10" x14ac:dyDescent="0.2">
      <c r="A360" s="103">
        <v>359</v>
      </c>
      <c r="B360" s="303"/>
      <c r="C360" s="306">
        <v>54362</v>
      </c>
      <c r="D360" s="131">
        <v>359</v>
      </c>
      <c r="E360" s="303"/>
      <c r="F360" s="303"/>
      <c r="G360" s="303"/>
      <c r="H360" s="147">
        <v>29.916666666666664</v>
      </c>
      <c r="I360" s="153">
        <v>9.175366498217441E-2</v>
      </c>
      <c r="J360" s="151">
        <v>1.6693550266944079E-4</v>
      </c>
    </row>
    <row r="361" spans="1:10" x14ac:dyDescent="0.2">
      <c r="A361" s="103">
        <v>360</v>
      </c>
      <c r="B361" s="303"/>
      <c r="C361" s="306">
        <v>54392</v>
      </c>
      <c r="D361" s="131">
        <v>360</v>
      </c>
      <c r="E361" s="303"/>
      <c r="F361" s="303"/>
      <c r="G361" s="303"/>
      <c r="H361" s="147">
        <v>30</v>
      </c>
      <c r="I361" s="153">
        <v>9.1920569807767749E-2</v>
      </c>
      <c r="J361" s="151">
        <v>1.6690482559333919E-4</v>
      </c>
    </row>
    <row r="362" spans="1:10" x14ac:dyDescent="0.2">
      <c r="A362" s="103">
        <v>361</v>
      </c>
      <c r="B362" s="307"/>
      <c r="C362" s="308">
        <v>54423</v>
      </c>
      <c r="D362" s="307"/>
      <c r="E362" s="307"/>
      <c r="F362" s="307"/>
      <c r="G362" s="307"/>
      <c r="H362" s="307"/>
      <c r="I362" s="307"/>
      <c r="J362" s="51">
        <v>0</v>
      </c>
    </row>
    <row r="363" spans="1:10" x14ac:dyDescent="0.2">
      <c r="A363" s="103">
        <v>362</v>
      </c>
      <c r="B363" s="307"/>
      <c r="C363" s="308">
        <v>54454</v>
      </c>
      <c r="D363" s="307"/>
      <c r="E363" s="307"/>
      <c r="F363" s="307"/>
      <c r="G363" s="307"/>
      <c r="H363" s="307"/>
      <c r="I363" s="307"/>
      <c r="J363" s="51">
        <v>0</v>
      </c>
    </row>
    <row r="364" spans="1:10" x14ac:dyDescent="0.2">
      <c r="A364" s="103">
        <v>363</v>
      </c>
      <c r="B364" s="307"/>
      <c r="C364" s="308">
        <v>54482</v>
      </c>
      <c r="D364" s="307"/>
      <c r="E364" s="307"/>
      <c r="F364" s="307"/>
      <c r="G364" s="307"/>
      <c r="H364" s="307"/>
      <c r="I364" s="307"/>
      <c r="J364" s="51">
        <v>0</v>
      </c>
    </row>
    <row r="365" spans="1:10" x14ac:dyDescent="0.2">
      <c r="A365" s="103">
        <v>364</v>
      </c>
      <c r="B365" s="307"/>
      <c r="C365" s="308">
        <v>54513</v>
      </c>
      <c r="D365" s="307"/>
      <c r="E365" s="307"/>
      <c r="F365" s="307"/>
      <c r="G365" s="307"/>
      <c r="H365" s="307"/>
      <c r="I365" s="307"/>
      <c r="J365" s="51">
        <v>0</v>
      </c>
    </row>
    <row r="366" spans="1:10" x14ac:dyDescent="0.2">
      <c r="A366" s="103">
        <v>365</v>
      </c>
      <c r="B366" s="307"/>
      <c r="C366" s="308">
        <v>54543</v>
      </c>
      <c r="D366" s="307"/>
      <c r="E366" s="307"/>
      <c r="F366" s="307"/>
      <c r="G366" s="307"/>
      <c r="H366" s="307"/>
      <c r="I366" s="307"/>
      <c r="J366" s="51">
        <v>0</v>
      </c>
    </row>
    <row r="367" spans="1:10" x14ac:dyDescent="0.2">
      <c r="A367" s="103">
        <v>366</v>
      </c>
      <c r="B367" s="307"/>
      <c r="C367" s="308">
        <v>54574</v>
      </c>
      <c r="D367" s="307"/>
      <c r="E367" s="307"/>
      <c r="F367" s="307"/>
      <c r="G367" s="307"/>
      <c r="H367" s="307"/>
      <c r="I367" s="307"/>
      <c r="J367" s="51">
        <v>0</v>
      </c>
    </row>
    <row r="368" spans="1:10" x14ac:dyDescent="0.2">
      <c r="A368" s="103">
        <v>367</v>
      </c>
      <c r="B368" s="307"/>
      <c r="C368" s="308">
        <v>54604</v>
      </c>
      <c r="D368" s="307"/>
      <c r="E368" s="307"/>
      <c r="F368" s="307"/>
      <c r="G368" s="307"/>
      <c r="H368" s="307"/>
      <c r="I368" s="307"/>
      <c r="J368" s="51">
        <v>0</v>
      </c>
    </row>
    <row r="369" spans="1:10" x14ac:dyDescent="0.2">
      <c r="A369" s="103">
        <v>368</v>
      </c>
      <c r="B369" s="307"/>
      <c r="C369" s="308">
        <v>54635</v>
      </c>
      <c r="D369" s="307"/>
      <c r="E369" s="307"/>
      <c r="F369" s="307"/>
      <c r="G369" s="307"/>
      <c r="H369" s="307"/>
      <c r="I369" s="307"/>
      <c r="J369" s="51">
        <v>0</v>
      </c>
    </row>
    <row r="370" spans="1:10" x14ac:dyDescent="0.2">
      <c r="A370" s="103">
        <v>369</v>
      </c>
      <c r="B370" s="307"/>
      <c r="C370" s="308">
        <v>54666</v>
      </c>
      <c r="D370" s="307"/>
      <c r="E370" s="307"/>
      <c r="F370" s="307"/>
      <c r="G370" s="307"/>
      <c r="H370" s="307"/>
      <c r="I370" s="307"/>
      <c r="J370" s="51">
        <v>0</v>
      </c>
    </row>
    <row r="371" spans="1:10" x14ac:dyDescent="0.2">
      <c r="A371" s="103">
        <v>370</v>
      </c>
      <c r="B371" s="307"/>
      <c r="C371" s="308">
        <v>54696</v>
      </c>
      <c r="D371" s="307"/>
      <c r="E371" s="307"/>
      <c r="F371" s="307"/>
      <c r="G371" s="307"/>
      <c r="H371" s="307"/>
      <c r="I371" s="307"/>
      <c r="J371" s="51">
        <v>0</v>
      </c>
    </row>
    <row r="372" spans="1:10" x14ac:dyDescent="0.2">
      <c r="A372" s="103">
        <v>371</v>
      </c>
      <c r="B372" s="307"/>
      <c r="C372" s="308">
        <v>54727</v>
      </c>
      <c r="D372" s="307"/>
      <c r="E372" s="307"/>
      <c r="F372" s="307"/>
      <c r="G372" s="307"/>
      <c r="H372" s="307"/>
      <c r="I372" s="307"/>
      <c r="J372" s="51">
        <v>0</v>
      </c>
    </row>
    <row r="373" spans="1:10" x14ac:dyDescent="0.2">
      <c r="A373" s="103">
        <v>372</v>
      </c>
      <c r="B373" s="307"/>
      <c r="C373" s="308">
        <v>54757</v>
      </c>
      <c r="D373" s="307"/>
      <c r="E373" s="307"/>
      <c r="F373" s="307"/>
      <c r="G373" s="307"/>
      <c r="H373" s="307"/>
      <c r="I373" s="307"/>
      <c r="J373" s="51">
        <v>0</v>
      </c>
    </row>
    <row r="374" spans="1:10" x14ac:dyDescent="0.2">
      <c r="A374" s="103">
        <v>373</v>
      </c>
      <c r="B374" s="307"/>
      <c r="C374" s="308">
        <v>54788</v>
      </c>
      <c r="D374" s="307"/>
      <c r="E374" s="307"/>
      <c r="F374" s="307"/>
      <c r="G374" s="307"/>
      <c r="H374" s="307"/>
      <c r="I374" s="307"/>
      <c r="J374" s="51">
        <v>0</v>
      </c>
    </row>
    <row r="375" spans="1:10" x14ac:dyDescent="0.2">
      <c r="A375" s="103">
        <v>374</v>
      </c>
      <c r="B375" s="307"/>
      <c r="C375" s="308">
        <v>54819</v>
      </c>
      <c r="D375" s="307"/>
      <c r="E375" s="307"/>
      <c r="F375" s="307"/>
      <c r="G375" s="307"/>
      <c r="H375" s="307"/>
      <c r="I375" s="307"/>
      <c r="J375" s="51">
        <v>0</v>
      </c>
    </row>
    <row r="376" spans="1:10" x14ac:dyDescent="0.2">
      <c r="A376" s="103">
        <v>375</v>
      </c>
      <c r="B376" s="307"/>
      <c r="C376" s="308">
        <v>54847</v>
      </c>
      <c r="D376" s="307"/>
      <c r="E376" s="307"/>
      <c r="F376" s="307"/>
      <c r="G376" s="307"/>
      <c r="H376" s="307"/>
      <c r="I376" s="307"/>
      <c r="J376" s="51">
        <v>0</v>
      </c>
    </row>
    <row r="377" spans="1:10" x14ac:dyDescent="0.2">
      <c r="A377" s="103">
        <v>376</v>
      </c>
      <c r="B377" s="307"/>
      <c r="C377" s="308">
        <v>54878</v>
      </c>
      <c r="D377" s="307"/>
      <c r="E377" s="307"/>
      <c r="F377" s="307"/>
      <c r="G377" s="307"/>
      <c r="H377" s="307"/>
      <c r="I377" s="307"/>
      <c r="J377" s="51">
        <v>0</v>
      </c>
    </row>
    <row r="378" spans="1:10" x14ac:dyDescent="0.2">
      <c r="A378" s="103">
        <v>377</v>
      </c>
      <c r="B378" s="307"/>
      <c r="C378" s="308">
        <v>54908</v>
      </c>
      <c r="D378" s="307"/>
      <c r="E378" s="307"/>
      <c r="F378" s="307"/>
      <c r="G378" s="307"/>
      <c r="H378" s="307"/>
      <c r="I378" s="307"/>
      <c r="J378" s="51">
        <v>0</v>
      </c>
    </row>
    <row r="379" spans="1:10" x14ac:dyDescent="0.2">
      <c r="A379" s="103">
        <v>378</v>
      </c>
      <c r="B379" s="307"/>
      <c r="C379" s="308">
        <v>54939</v>
      </c>
      <c r="D379" s="307"/>
      <c r="E379" s="307"/>
      <c r="F379" s="307"/>
      <c r="G379" s="307"/>
      <c r="H379" s="307"/>
      <c r="I379" s="307"/>
      <c r="J379" s="51">
        <v>0</v>
      </c>
    </row>
    <row r="380" spans="1:10" x14ac:dyDescent="0.2">
      <c r="A380" s="103">
        <v>379</v>
      </c>
      <c r="B380" s="307"/>
      <c r="C380" s="308">
        <v>54969</v>
      </c>
      <c r="D380" s="307"/>
      <c r="E380" s="307"/>
      <c r="F380" s="307"/>
      <c r="G380" s="307"/>
      <c r="H380" s="307"/>
      <c r="I380" s="307"/>
      <c r="J380" s="51">
        <v>0</v>
      </c>
    </row>
    <row r="381" spans="1:10" x14ac:dyDescent="0.2">
      <c r="A381" s="103">
        <v>380</v>
      </c>
      <c r="B381" s="307"/>
      <c r="C381" s="308">
        <v>55000</v>
      </c>
      <c r="D381" s="307"/>
      <c r="E381" s="307"/>
      <c r="F381" s="307"/>
      <c r="G381" s="307"/>
      <c r="H381" s="307"/>
      <c r="I381" s="307"/>
      <c r="J381" s="51">
        <v>0</v>
      </c>
    </row>
    <row r="382" spans="1:10" x14ac:dyDescent="0.2">
      <c r="A382" s="103">
        <v>381</v>
      </c>
      <c r="B382" s="307"/>
      <c r="C382" s="308">
        <v>55031</v>
      </c>
      <c r="D382" s="307"/>
      <c r="E382" s="307"/>
      <c r="F382" s="307"/>
      <c r="G382" s="307"/>
      <c r="H382" s="307"/>
      <c r="I382" s="307"/>
      <c r="J382" s="51">
        <v>0</v>
      </c>
    </row>
    <row r="383" spans="1:10" x14ac:dyDescent="0.2">
      <c r="A383" s="103">
        <v>382</v>
      </c>
      <c r="B383" s="307"/>
      <c r="C383" s="308">
        <v>55061</v>
      </c>
      <c r="D383" s="307"/>
      <c r="E383" s="307"/>
      <c r="F383" s="307"/>
      <c r="G383" s="307"/>
      <c r="H383" s="307"/>
      <c r="I383" s="307"/>
      <c r="J383" s="51">
        <v>0</v>
      </c>
    </row>
    <row r="384" spans="1:10" x14ac:dyDescent="0.2">
      <c r="A384" s="103">
        <v>383</v>
      </c>
      <c r="B384" s="307"/>
      <c r="C384" s="308">
        <v>55092</v>
      </c>
      <c r="D384" s="307"/>
      <c r="E384" s="307"/>
      <c r="F384" s="307"/>
      <c r="G384" s="307"/>
      <c r="H384" s="307"/>
      <c r="I384" s="307"/>
      <c r="J384" s="51">
        <v>0</v>
      </c>
    </row>
    <row r="385" spans="1:10" x14ac:dyDescent="0.2">
      <c r="A385" s="103">
        <v>384</v>
      </c>
      <c r="B385" s="307"/>
      <c r="C385" s="308">
        <v>55122</v>
      </c>
      <c r="D385" s="307"/>
      <c r="E385" s="307"/>
      <c r="F385" s="307"/>
      <c r="G385" s="307"/>
      <c r="H385" s="307"/>
      <c r="I385" s="307"/>
      <c r="J385" s="51">
        <v>0</v>
      </c>
    </row>
    <row r="386" spans="1:10" x14ac:dyDescent="0.2">
      <c r="A386" s="103">
        <v>385</v>
      </c>
      <c r="B386" s="307"/>
      <c r="C386" s="308">
        <v>55153</v>
      </c>
      <c r="D386" s="307"/>
      <c r="E386" s="307"/>
      <c r="F386" s="307"/>
      <c r="G386" s="307"/>
      <c r="H386" s="307"/>
      <c r="I386" s="307"/>
      <c r="J386" s="51">
        <v>0</v>
      </c>
    </row>
    <row r="387" spans="1:10" x14ac:dyDescent="0.2">
      <c r="A387" s="103">
        <v>386</v>
      </c>
      <c r="B387" s="307"/>
      <c r="C387" s="308">
        <v>55184</v>
      </c>
      <c r="D387" s="307"/>
      <c r="E387" s="307"/>
      <c r="F387" s="307"/>
      <c r="G387" s="307"/>
      <c r="H387" s="307"/>
      <c r="I387" s="307"/>
      <c r="J387" s="51">
        <v>0</v>
      </c>
    </row>
    <row r="388" spans="1:10" x14ac:dyDescent="0.2">
      <c r="A388" s="103">
        <v>387</v>
      </c>
      <c r="B388" s="307"/>
      <c r="C388" s="308">
        <v>55212</v>
      </c>
      <c r="D388" s="307"/>
      <c r="E388" s="307"/>
      <c r="F388" s="307"/>
      <c r="G388" s="307"/>
      <c r="H388" s="307"/>
      <c r="I388" s="307"/>
      <c r="J388" s="51">
        <v>0</v>
      </c>
    </row>
    <row r="389" spans="1:10" x14ac:dyDescent="0.2">
      <c r="A389" s="103">
        <v>388</v>
      </c>
      <c r="B389" s="307"/>
      <c r="C389" s="308">
        <v>55243</v>
      </c>
      <c r="D389" s="307"/>
      <c r="E389" s="307"/>
      <c r="F389" s="307"/>
      <c r="G389" s="307"/>
      <c r="H389" s="307"/>
      <c r="I389" s="307"/>
      <c r="J389" s="51">
        <v>0</v>
      </c>
    </row>
    <row r="390" spans="1:10" x14ac:dyDescent="0.2">
      <c r="A390" s="103">
        <v>389</v>
      </c>
      <c r="B390" s="307"/>
      <c r="C390" s="308">
        <v>55273</v>
      </c>
      <c r="D390" s="307"/>
      <c r="E390" s="307"/>
      <c r="F390" s="307"/>
      <c r="G390" s="307"/>
      <c r="H390" s="307"/>
      <c r="I390" s="307"/>
      <c r="J390" s="51">
        <v>0</v>
      </c>
    </row>
    <row r="391" spans="1:10" x14ac:dyDescent="0.2">
      <c r="A391" s="103">
        <v>390</v>
      </c>
      <c r="B391" s="307"/>
      <c r="C391" s="308">
        <v>55304</v>
      </c>
      <c r="D391" s="307"/>
      <c r="E391" s="307"/>
      <c r="F391" s="307"/>
      <c r="G391" s="307"/>
      <c r="H391" s="307"/>
      <c r="I391" s="307"/>
      <c r="J391" s="51">
        <v>0</v>
      </c>
    </row>
    <row r="392" spans="1:10" x14ac:dyDescent="0.2">
      <c r="A392" s="103">
        <v>391</v>
      </c>
      <c r="B392" s="307"/>
      <c r="C392" s="308">
        <v>55334</v>
      </c>
      <c r="D392" s="307"/>
      <c r="E392" s="307"/>
      <c r="F392" s="307"/>
      <c r="G392" s="307"/>
      <c r="H392" s="307"/>
      <c r="I392" s="307"/>
      <c r="J392" s="51">
        <v>0</v>
      </c>
    </row>
    <row r="393" spans="1:10" x14ac:dyDescent="0.2">
      <c r="A393" s="103">
        <v>392</v>
      </c>
      <c r="B393" s="307"/>
      <c r="C393" s="308">
        <v>55365</v>
      </c>
      <c r="D393" s="307"/>
      <c r="E393" s="307"/>
      <c r="F393" s="307"/>
      <c r="G393" s="307"/>
      <c r="H393" s="307"/>
      <c r="I393" s="307"/>
      <c r="J393" s="51">
        <v>0</v>
      </c>
    </row>
    <row r="394" spans="1:10" x14ac:dyDescent="0.2">
      <c r="A394" s="103">
        <v>393</v>
      </c>
      <c r="B394" s="307"/>
      <c r="C394" s="308">
        <v>55396</v>
      </c>
      <c r="D394" s="307"/>
      <c r="E394" s="307"/>
      <c r="F394" s="307"/>
      <c r="G394" s="307"/>
      <c r="H394" s="307"/>
      <c r="I394" s="307"/>
      <c r="J394" s="51">
        <v>0</v>
      </c>
    </row>
    <row r="395" spans="1:10" x14ac:dyDescent="0.2">
      <c r="A395" s="103">
        <v>394</v>
      </c>
      <c r="B395" s="307"/>
      <c r="C395" s="308">
        <v>55426</v>
      </c>
      <c r="D395" s="307"/>
      <c r="E395" s="307"/>
      <c r="F395" s="307"/>
      <c r="G395" s="307"/>
      <c r="H395" s="307"/>
      <c r="I395" s="307"/>
      <c r="J395" s="51">
        <v>0</v>
      </c>
    </row>
    <row r="396" spans="1:10" x14ac:dyDescent="0.2">
      <c r="A396" s="103">
        <v>395</v>
      </c>
      <c r="B396" s="307"/>
      <c r="C396" s="308">
        <v>55457</v>
      </c>
      <c r="D396" s="307"/>
      <c r="E396" s="307"/>
      <c r="F396" s="307"/>
      <c r="G396" s="307"/>
      <c r="H396" s="307"/>
      <c r="I396" s="307"/>
      <c r="J396" s="51">
        <v>0</v>
      </c>
    </row>
    <row r="397" spans="1:10" x14ac:dyDescent="0.2">
      <c r="A397" s="103">
        <v>396</v>
      </c>
      <c r="B397" s="307"/>
      <c r="C397" s="308">
        <v>55487</v>
      </c>
      <c r="D397" s="307"/>
      <c r="E397" s="307"/>
      <c r="F397" s="307"/>
      <c r="G397" s="307"/>
      <c r="H397" s="307"/>
      <c r="I397" s="307"/>
      <c r="J397" s="51">
        <v>0</v>
      </c>
    </row>
    <row r="398" spans="1:10" x14ac:dyDescent="0.2">
      <c r="A398" s="103">
        <v>397</v>
      </c>
      <c r="B398" s="307"/>
      <c r="C398" s="308">
        <v>55518</v>
      </c>
      <c r="D398" s="307"/>
      <c r="E398" s="307"/>
      <c r="F398" s="307"/>
      <c r="G398" s="307"/>
      <c r="H398" s="307"/>
      <c r="I398" s="307"/>
      <c r="J398" s="51">
        <v>0</v>
      </c>
    </row>
    <row r="399" spans="1:10" x14ac:dyDescent="0.2">
      <c r="A399" s="103">
        <v>398</v>
      </c>
      <c r="B399" s="307"/>
      <c r="C399" s="308">
        <v>55549</v>
      </c>
      <c r="D399" s="307"/>
      <c r="E399" s="307"/>
      <c r="F399" s="307"/>
      <c r="G399" s="307"/>
      <c r="H399" s="307"/>
      <c r="I399" s="307"/>
      <c r="J399" s="51">
        <v>0</v>
      </c>
    </row>
    <row r="400" spans="1:10" x14ac:dyDescent="0.2">
      <c r="A400" s="103">
        <v>399</v>
      </c>
      <c r="B400" s="307"/>
      <c r="C400" s="308">
        <v>55578</v>
      </c>
      <c r="D400" s="307"/>
      <c r="E400" s="307"/>
      <c r="F400" s="307"/>
      <c r="G400" s="307"/>
      <c r="H400" s="307"/>
      <c r="I400" s="307"/>
      <c r="J400" s="51">
        <v>0</v>
      </c>
    </row>
    <row r="401" spans="1:10" x14ac:dyDescent="0.2">
      <c r="A401" s="103">
        <v>400</v>
      </c>
      <c r="B401" s="307"/>
      <c r="C401" s="308">
        <v>55609</v>
      </c>
      <c r="D401" s="307"/>
      <c r="E401" s="307"/>
      <c r="F401" s="307"/>
      <c r="G401" s="307"/>
      <c r="H401" s="307"/>
      <c r="I401" s="307"/>
      <c r="J401" s="51">
        <v>0</v>
      </c>
    </row>
    <row r="402" spans="1:10" x14ac:dyDescent="0.2">
      <c r="A402" s="103">
        <v>401</v>
      </c>
      <c r="B402" s="307"/>
      <c r="C402" s="308">
        <v>55639</v>
      </c>
      <c r="D402" s="307"/>
      <c r="E402" s="307"/>
      <c r="F402" s="307"/>
      <c r="G402" s="307"/>
      <c r="H402" s="307"/>
      <c r="I402" s="307"/>
      <c r="J402" s="51">
        <v>0</v>
      </c>
    </row>
    <row r="403" spans="1:10" x14ac:dyDescent="0.2">
      <c r="A403" s="103">
        <v>402</v>
      </c>
      <c r="B403" s="307"/>
      <c r="C403" s="308">
        <v>55670</v>
      </c>
      <c r="D403" s="307"/>
      <c r="E403" s="307"/>
      <c r="F403" s="307"/>
      <c r="G403" s="307"/>
      <c r="H403" s="307"/>
      <c r="I403" s="307"/>
      <c r="J403" s="51">
        <v>0</v>
      </c>
    </row>
    <row r="404" spans="1:10" x14ac:dyDescent="0.2">
      <c r="A404" s="103">
        <v>403</v>
      </c>
      <c r="B404" s="307"/>
      <c r="C404" s="308">
        <v>55700</v>
      </c>
      <c r="D404" s="307"/>
      <c r="E404" s="307"/>
      <c r="F404" s="307"/>
      <c r="G404" s="307"/>
      <c r="H404" s="307"/>
      <c r="I404" s="307"/>
      <c r="J404" s="51">
        <v>0</v>
      </c>
    </row>
    <row r="405" spans="1:10" x14ac:dyDescent="0.2">
      <c r="A405" s="103">
        <v>404</v>
      </c>
      <c r="B405" s="307"/>
      <c r="C405" s="308">
        <v>55731</v>
      </c>
      <c r="D405" s="307"/>
      <c r="E405" s="307"/>
      <c r="F405" s="307"/>
      <c r="G405" s="307"/>
      <c r="H405" s="307"/>
      <c r="I405" s="307"/>
      <c r="J405" s="51">
        <v>0</v>
      </c>
    </row>
    <row r="406" spans="1:10" x14ac:dyDescent="0.2">
      <c r="A406" s="103">
        <v>405</v>
      </c>
      <c r="B406" s="307"/>
      <c r="C406" s="308">
        <v>55762</v>
      </c>
      <c r="D406" s="307"/>
      <c r="E406" s="307"/>
      <c r="F406" s="307"/>
      <c r="G406" s="307"/>
      <c r="H406" s="307"/>
      <c r="I406" s="307"/>
      <c r="J406" s="51">
        <v>0</v>
      </c>
    </row>
    <row r="407" spans="1:10" x14ac:dyDescent="0.2">
      <c r="A407" s="103">
        <v>406</v>
      </c>
      <c r="B407" s="307"/>
      <c r="C407" s="308">
        <v>55792</v>
      </c>
      <c r="D407" s="307"/>
      <c r="E407" s="307"/>
      <c r="F407" s="307"/>
      <c r="G407" s="307"/>
      <c r="H407" s="307"/>
      <c r="I407" s="307"/>
      <c r="J407" s="51">
        <v>0</v>
      </c>
    </row>
    <row r="408" spans="1:10" x14ac:dyDescent="0.2">
      <c r="A408" s="103">
        <v>407</v>
      </c>
      <c r="B408" s="307"/>
      <c r="C408" s="308">
        <v>55823</v>
      </c>
      <c r="D408" s="307"/>
      <c r="E408" s="307"/>
      <c r="F408" s="307"/>
      <c r="G408" s="307"/>
      <c r="H408" s="307"/>
      <c r="I408" s="307"/>
      <c r="J408" s="51">
        <v>0</v>
      </c>
    </row>
    <row r="409" spans="1:10" x14ac:dyDescent="0.2">
      <c r="A409" s="103">
        <v>408</v>
      </c>
      <c r="B409" s="307"/>
      <c r="C409" s="308">
        <v>55853</v>
      </c>
      <c r="D409" s="307"/>
      <c r="E409" s="307"/>
      <c r="F409" s="307"/>
      <c r="G409" s="307"/>
      <c r="H409" s="307"/>
      <c r="I409" s="307"/>
      <c r="J409" s="51">
        <v>0</v>
      </c>
    </row>
    <row r="410" spans="1:10" x14ac:dyDescent="0.2">
      <c r="A410" s="103">
        <v>409</v>
      </c>
      <c r="B410" s="307"/>
      <c r="C410" s="308">
        <v>55884</v>
      </c>
      <c r="D410" s="307"/>
      <c r="E410" s="307"/>
      <c r="F410" s="307"/>
      <c r="G410" s="307"/>
      <c r="H410" s="307"/>
      <c r="I410" s="307"/>
      <c r="J410" s="51">
        <v>0</v>
      </c>
    </row>
    <row r="411" spans="1:10" x14ac:dyDescent="0.2">
      <c r="A411" s="103">
        <v>410</v>
      </c>
      <c r="B411" s="307"/>
      <c r="C411" s="308">
        <v>55915</v>
      </c>
      <c r="D411" s="307"/>
      <c r="E411" s="307"/>
      <c r="F411" s="307"/>
      <c r="G411" s="307"/>
      <c r="H411" s="307"/>
      <c r="I411" s="307"/>
      <c r="J411" s="51">
        <v>0</v>
      </c>
    </row>
    <row r="412" spans="1:10" x14ac:dyDescent="0.2">
      <c r="A412" s="103">
        <v>411</v>
      </c>
      <c r="B412" s="307"/>
      <c r="C412" s="308">
        <v>55943</v>
      </c>
      <c r="D412" s="307"/>
      <c r="E412" s="307"/>
      <c r="F412" s="307"/>
      <c r="G412" s="307"/>
      <c r="H412" s="307"/>
      <c r="I412" s="307"/>
      <c r="J412" s="51">
        <v>0</v>
      </c>
    </row>
    <row r="413" spans="1:10" x14ac:dyDescent="0.2">
      <c r="A413" s="103">
        <v>412</v>
      </c>
      <c r="B413" s="307"/>
      <c r="C413" s="308">
        <v>55974</v>
      </c>
      <c r="D413" s="307"/>
      <c r="E413" s="307"/>
      <c r="F413" s="307"/>
      <c r="G413" s="307"/>
      <c r="H413" s="307"/>
      <c r="I413" s="307"/>
      <c r="J413" s="51">
        <v>0</v>
      </c>
    </row>
    <row r="414" spans="1:10" x14ac:dyDescent="0.2">
      <c r="A414" s="103">
        <v>413</v>
      </c>
      <c r="B414" s="307"/>
      <c r="C414" s="308">
        <v>56004</v>
      </c>
      <c r="D414" s="307"/>
      <c r="E414" s="307"/>
      <c r="F414" s="307"/>
      <c r="G414" s="307"/>
      <c r="H414" s="307"/>
      <c r="I414" s="307"/>
      <c r="J414" s="51">
        <v>0</v>
      </c>
    </row>
    <row r="415" spans="1:10" x14ac:dyDescent="0.2">
      <c r="A415" s="103">
        <v>414</v>
      </c>
      <c r="B415" s="307"/>
      <c r="C415" s="308">
        <v>56035</v>
      </c>
      <c r="D415" s="307"/>
      <c r="E415" s="307"/>
      <c r="F415" s="307"/>
      <c r="G415" s="307"/>
      <c r="H415" s="307"/>
      <c r="I415" s="307"/>
      <c r="J415" s="51">
        <v>0</v>
      </c>
    </row>
    <row r="416" spans="1:10" x14ac:dyDescent="0.2">
      <c r="A416" s="103">
        <v>415</v>
      </c>
      <c r="B416" s="307"/>
      <c r="C416" s="308">
        <v>56065</v>
      </c>
      <c r="D416" s="307"/>
      <c r="E416" s="307"/>
      <c r="F416" s="307"/>
      <c r="G416" s="307"/>
      <c r="H416" s="307"/>
      <c r="I416" s="307"/>
      <c r="J416" s="51">
        <v>0</v>
      </c>
    </row>
    <row r="417" spans="1:10" x14ac:dyDescent="0.2">
      <c r="A417" s="103">
        <v>416</v>
      </c>
      <c r="B417" s="307"/>
      <c r="C417" s="308">
        <v>56096</v>
      </c>
      <c r="D417" s="307"/>
      <c r="E417" s="307"/>
      <c r="F417" s="307"/>
      <c r="G417" s="307"/>
      <c r="H417" s="307"/>
      <c r="I417" s="307"/>
      <c r="J417" s="51">
        <v>0</v>
      </c>
    </row>
    <row r="418" spans="1:10" x14ac:dyDescent="0.2">
      <c r="A418" s="103">
        <v>417</v>
      </c>
      <c r="B418" s="307"/>
      <c r="C418" s="308">
        <v>56127</v>
      </c>
      <c r="D418" s="307"/>
      <c r="E418" s="307"/>
      <c r="F418" s="307"/>
      <c r="G418" s="307"/>
      <c r="H418" s="307"/>
      <c r="I418" s="307"/>
      <c r="J418" s="51">
        <v>0</v>
      </c>
    </row>
    <row r="419" spans="1:10" x14ac:dyDescent="0.2">
      <c r="A419" s="103">
        <v>418</v>
      </c>
      <c r="B419" s="307"/>
      <c r="C419" s="308">
        <v>56157</v>
      </c>
      <c r="D419" s="307"/>
      <c r="E419" s="307"/>
      <c r="F419" s="307"/>
      <c r="G419" s="307"/>
      <c r="H419" s="307"/>
      <c r="I419" s="307"/>
      <c r="J419" s="51">
        <v>0</v>
      </c>
    </row>
    <row r="420" spans="1:10" x14ac:dyDescent="0.2">
      <c r="A420" s="103">
        <v>419</v>
      </c>
      <c r="B420" s="307"/>
      <c r="C420" s="308">
        <v>56188</v>
      </c>
      <c r="D420" s="307"/>
      <c r="E420" s="307"/>
      <c r="F420" s="307"/>
      <c r="G420" s="307"/>
      <c r="H420" s="307"/>
      <c r="I420" s="307"/>
      <c r="J420" s="51">
        <v>0</v>
      </c>
    </row>
    <row r="421" spans="1:10" x14ac:dyDescent="0.2">
      <c r="A421" s="103">
        <v>420</v>
      </c>
      <c r="B421" s="307"/>
      <c r="C421" s="308">
        <v>56218</v>
      </c>
      <c r="D421" s="307"/>
      <c r="E421" s="307"/>
      <c r="F421" s="307"/>
      <c r="G421" s="307"/>
      <c r="H421" s="307"/>
      <c r="I421" s="307"/>
      <c r="J421" s="51">
        <v>0</v>
      </c>
    </row>
    <row r="422" spans="1:10" x14ac:dyDescent="0.2">
      <c r="A422" s="103">
        <v>421</v>
      </c>
      <c r="B422" s="307"/>
      <c r="C422" s="308">
        <v>56249</v>
      </c>
      <c r="D422" s="307"/>
      <c r="E422" s="307"/>
      <c r="F422" s="307"/>
      <c r="G422" s="307"/>
      <c r="H422" s="307"/>
      <c r="I422" s="307"/>
      <c r="J422" s="51">
        <v>0</v>
      </c>
    </row>
    <row r="423" spans="1:10" x14ac:dyDescent="0.2">
      <c r="A423" s="103">
        <v>422</v>
      </c>
      <c r="B423" s="307"/>
      <c r="C423" s="308">
        <v>56280</v>
      </c>
      <c r="D423" s="307"/>
      <c r="E423" s="307"/>
      <c r="F423" s="307"/>
      <c r="G423" s="307"/>
      <c r="H423" s="307"/>
      <c r="I423" s="307"/>
      <c r="J423" s="51">
        <v>0</v>
      </c>
    </row>
    <row r="424" spans="1:10" x14ac:dyDescent="0.2">
      <c r="A424" s="103">
        <v>423</v>
      </c>
      <c r="B424" s="307"/>
      <c r="C424" s="308">
        <v>56308</v>
      </c>
      <c r="D424" s="307"/>
      <c r="E424" s="307"/>
      <c r="F424" s="307"/>
      <c r="G424" s="307"/>
      <c r="H424" s="307"/>
      <c r="I424" s="307"/>
      <c r="J424" s="51">
        <v>0</v>
      </c>
    </row>
    <row r="425" spans="1:10" x14ac:dyDescent="0.2">
      <c r="A425" s="103">
        <v>424</v>
      </c>
      <c r="B425" s="307"/>
      <c r="C425" s="308">
        <v>56339</v>
      </c>
      <c r="D425" s="307"/>
      <c r="E425" s="307"/>
      <c r="F425" s="307"/>
      <c r="G425" s="307"/>
      <c r="H425" s="307"/>
      <c r="I425" s="307"/>
      <c r="J425" s="51">
        <v>0</v>
      </c>
    </row>
    <row r="426" spans="1:10" x14ac:dyDescent="0.2">
      <c r="A426" s="103">
        <v>425</v>
      </c>
      <c r="B426" s="307"/>
      <c r="C426" s="308">
        <v>56369</v>
      </c>
      <c r="D426" s="307"/>
      <c r="E426" s="307"/>
      <c r="F426" s="307"/>
      <c r="G426" s="307"/>
      <c r="H426" s="307"/>
      <c r="I426" s="307"/>
      <c r="J426" s="51">
        <v>0</v>
      </c>
    </row>
    <row r="427" spans="1:10" x14ac:dyDescent="0.2">
      <c r="A427" s="103">
        <v>426</v>
      </c>
      <c r="B427" s="307"/>
      <c r="C427" s="308">
        <v>56400</v>
      </c>
      <c r="D427" s="307"/>
      <c r="E427" s="307"/>
      <c r="F427" s="307"/>
      <c r="G427" s="307"/>
      <c r="H427" s="307"/>
      <c r="I427" s="307"/>
      <c r="J427" s="51">
        <v>0</v>
      </c>
    </row>
    <row r="428" spans="1:10" x14ac:dyDescent="0.2">
      <c r="A428" s="103">
        <v>427</v>
      </c>
      <c r="B428" s="307"/>
      <c r="C428" s="308">
        <v>56430</v>
      </c>
      <c r="D428" s="307"/>
      <c r="E428" s="307"/>
      <c r="F428" s="307"/>
      <c r="G428" s="307"/>
      <c r="H428" s="307"/>
      <c r="I428" s="307"/>
      <c r="J428" s="51">
        <v>0</v>
      </c>
    </row>
    <row r="429" spans="1:10" x14ac:dyDescent="0.2">
      <c r="A429" s="103">
        <v>428</v>
      </c>
      <c r="B429" s="307"/>
      <c r="C429" s="308">
        <v>56461</v>
      </c>
      <c r="D429" s="307"/>
      <c r="E429" s="307"/>
      <c r="F429" s="307"/>
      <c r="G429" s="307"/>
      <c r="H429" s="307"/>
      <c r="I429" s="307"/>
      <c r="J429" s="51">
        <v>0</v>
      </c>
    </row>
    <row r="430" spans="1:10" x14ac:dyDescent="0.2">
      <c r="A430" s="103">
        <v>429</v>
      </c>
      <c r="B430" s="307"/>
      <c r="C430" s="308">
        <v>56492</v>
      </c>
      <c r="D430" s="307"/>
      <c r="E430" s="307"/>
      <c r="F430" s="307"/>
      <c r="G430" s="307"/>
      <c r="H430" s="307"/>
      <c r="I430" s="307"/>
      <c r="J430" s="51">
        <v>0</v>
      </c>
    </row>
    <row r="431" spans="1:10" x14ac:dyDescent="0.2">
      <c r="A431" s="103">
        <v>430</v>
      </c>
      <c r="B431" s="307"/>
      <c r="C431" s="308">
        <v>56522</v>
      </c>
      <c r="D431" s="307"/>
      <c r="E431" s="307"/>
      <c r="F431" s="307"/>
      <c r="G431" s="307"/>
      <c r="H431" s="307"/>
      <c r="I431" s="307"/>
      <c r="J431" s="51">
        <v>0</v>
      </c>
    </row>
    <row r="432" spans="1:10" x14ac:dyDescent="0.2">
      <c r="A432" s="103">
        <v>431</v>
      </c>
      <c r="B432" s="307"/>
      <c r="C432" s="308">
        <v>56553</v>
      </c>
      <c r="D432" s="307"/>
      <c r="E432" s="307"/>
      <c r="F432" s="307"/>
      <c r="G432" s="307"/>
      <c r="H432" s="307"/>
      <c r="I432" s="307"/>
      <c r="J432" s="51">
        <v>0</v>
      </c>
    </row>
    <row r="433" spans="1:10" x14ac:dyDescent="0.2">
      <c r="A433" s="103">
        <v>432</v>
      </c>
      <c r="B433" s="307"/>
      <c r="C433" s="308">
        <v>56583</v>
      </c>
      <c r="D433" s="307"/>
      <c r="E433" s="307"/>
      <c r="F433" s="307"/>
      <c r="G433" s="307"/>
      <c r="H433" s="307"/>
      <c r="I433" s="307"/>
      <c r="J433" s="51">
        <v>0</v>
      </c>
    </row>
    <row r="434" spans="1:10" x14ac:dyDescent="0.2">
      <c r="A434" s="103">
        <v>433</v>
      </c>
      <c r="B434" s="307"/>
      <c r="C434" s="308">
        <v>56614</v>
      </c>
      <c r="D434" s="307"/>
      <c r="E434" s="307"/>
      <c r="F434" s="307"/>
      <c r="G434" s="307"/>
      <c r="H434" s="307"/>
      <c r="I434" s="307"/>
      <c r="J434" s="51">
        <v>0</v>
      </c>
    </row>
    <row r="435" spans="1:10" x14ac:dyDescent="0.2">
      <c r="A435" s="103">
        <v>434</v>
      </c>
      <c r="B435" s="307"/>
      <c r="C435" s="308">
        <v>56645</v>
      </c>
      <c r="D435" s="307"/>
      <c r="E435" s="307"/>
      <c r="F435" s="307"/>
      <c r="G435" s="307"/>
      <c r="H435" s="307"/>
      <c r="I435" s="307"/>
      <c r="J435" s="51">
        <v>0</v>
      </c>
    </row>
    <row r="436" spans="1:10" x14ac:dyDescent="0.2">
      <c r="A436" s="103">
        <v>435</v>
      </c>
      <c r="B436" s="307"/>
      <c r="C436" s="308">
        <v>56673</v>
      </c>
      <c r="D436" s="307"/>
      <c r="E436" s="307"/>
      <c r="F436" s="307"/>
      <c r="G436" s="307"/>
      <c r="H436" s="307"/>
      <c r="I436" s="307"/>
      <c r="J436" s="51">
        <v>0</v>
      </c>
    </row>
    <row r="437" spans="1:10" x14ac:dyDescent="0.2">
      <c r="A437" s="103">
        <v>436</v>
      </c>
      <c r="B437" s="307"/>
      <c r="C437" s="308">
        <v>56704</v>
      </c>
      <c r="D437" s="307"/>
      <c r="E437" s="307"/>
      <c r="F437" s="307"/>
      <c r="G437" s="307"/>
      <c r="H437" s="307"/>
      <c r="I437" s="307"/>
      <c r="J437" s="51">
        <v>0</v>
      </c>
    </row>
    <row r="438" spans="1:10" x14ac:dyDescent="0.2">
      <c r="A438" s="103">
        <v>437</v>
      </c>
      <c r="B438" s="307"/>
      <c r="C438" s="308">
        <v>56734</v>
      </c>
      <c r="D438" s="307"/>
      <c r="E438" s="307"/>
      <c r="F438" s="307"/>
      <c r="G438" s="307"/>
      <c r="H438" s="307"/>
      <c r="I438" s="307"/>
      <c r="J438" s="51">
        <v>0</v>
      </c>
    </row>
    <row r="439" spans="1:10" x14ac:dyDescent="0.2">
      <c r="A439" s="103">
        <v>438</v>
      </c>
      <c r="B439" s="307"/>
      <c r="C439" s="308">
        <v>56765</v>
      </c>
      <c r="D439" s="307"/>
      <c r="E439" s="307"/>
      <c r="F439" s="307"/>
      <c r="G439" s="307"/>
      <c r="H439" s="307"/>
      <c r="I439" s="307"/>
      <c r="J439" s="51">
        <v>0</v>
      </c>
    </row>
    <row r="440" spans="1:10" x14ac:dyDescent="0.2">
      <c r="A440" s="103">
        <v>439</v>
      </c>
      <c r="B440" s="307"/>
      <c r="C440" s="308">
        <v>56795</v>
      </c>
      <c r="D440" s="307"/>
      <c r="E440" s="307"/>
      <c r="F440" s="307"/>
      <c r="G440" s="307"/>
      <c r="H440" s="307"/>
      <c r="I440" s="307"/>
      <c r="J440" s="51">
        <v>0</v>
      </c>
    </row>
    <row r="441" spans="1:10" x14ac:dyDescent="0.2">
      <c r="A441" s="103">
        <v>440</v>
      </c>
      <c r="B441" s="307"/>
      <c r="C441" s="308">
        <v>56826</v>
      </c>
      <c r="D441" s="307"/>
      <c r="E441" s="307"/>
      <c r="F441" s="307"/>
      <c r="G441" s="307"/>
      <c r="H441" s="307"/>
      <c r="I441" s="307"/>
      <c r="J441" s="51">
        <v>0</v>
      </c>
    </row>
    <row r="442" spans="1:10" x14ac:dyDescent="0.2">
      <c r="A442" s="103">
        <v>441</v>
      </c>
      <c r="B442" s="307"/>
      <c r="C442" s="308">
        <v>56857</v>
      </c>
      <c r="D442" s="307"/>
      <c r="E442" s="307"/>
      <c r="F442" s="307"/>
      <c r="G442" s="307"/>
      <c r="H442" s="307"/>
      <c r="I442" s="307"/>
      <c r="J442" s="51">
        <v>0</v>
      </c>
    </row>
    <row r="443" spans="1:10" x14ac:dyDescent="0.2">
      <c r="A443" s="103">
        <v>442</v>
      </c>
      <c r="B443" s="307"/>
      <c r="C443" s="308">
        <v>56887</v>
      </c>
      <c r="D443" s="307"/>
      <c r="E443" s="307"/>
      <c r="F443" s="307"/>
      <c r="G443" s="307"/>
      <c r="H443" s="307"/>
      <c r="I443" s="307"/>
      <c r="J443" s="51">
        <v>0</v>
      </c>
    </row>
    <row r="444" spans="1:10" x14ac:dyDescent="0.2">
      <c r="A444" s="103">
        <v>443</v>
      </c>
      <c r="B444" s="307"/>
      <c r="C444" s="308">
        <v>56918</v>
      </c>
      <c r="D444" s="307"/>
      <c r="E444" s="307"/>
      <c r="F444" s="307"/>
      <c r="G444" s="307"/>
      <c r="H444" s="307"/>
      <c r="I444" s="307"/>
      <c r="J444" s="51">
        <v>0</v>
      </c>
    </row>
    <row r="445" spans="1:10" x14ac:dyDescent="0.2">
      <c r="A445" s="103">
        <v>444</v>
      </c>
      <c r="B445" s="307"/>
      <c r="C445" s="308">
        <v>56948</v>
      </c>
      <c r="D445" s="307"/>
      <c r="E445" s="307"/>
      <c r="F445" s="307"/>
      <c r="G445" s="307"/>
      <c r="H445" s="307"/>
      <c r="I445" s="307"/>
      <c r="J445" s="51">
        <v>0</v>
      </c>
    </row>
    <row r="446" spans="1:10" x14ac:dyDescent="0.2">
      <c r="A446" s="103">
        <v>445</v>
      </c>
      <c r="B446" s="307"/>
      <c r="C446" s="308">
        <v>56979</v>
      </c>
      <c r="D446" s="307"/>
      <c r="E446" s="307"/>
      <c r="F446" s="307"/>
      <c r="G446" s="307"/>
      <c r="H446" s="307"/>
      <c r="I446" s="307"/>
      <c r="J446" s="51">
        <v>0</v>
      </c>
    </row>
    <row r="447" spans="1:10" x14ac:dyDescent="0.2">
      <c r="A447" s="103">
        <v>446</v>
      </c>
      <c r="B447" s="307"/>
      <c r="C447" s="308">
        <v>57010</v>
      </c>
      <c r="D447" s="307"/>
      <c r="E447" s="307"/>
      <c r="F447" s="307"/>
      <c r="G447" s="307"/>
      <c r="H447" s="307"/>
      <c r="I447" s="307"/>
      <c r="J447" s="51">
        <v>0</v>
      </c>
    </row>
    <row r="448" spans="1:10" x14ac:dyDescent="0.2">
      <c r="A448" s="103">
        <v>447</v>
      </c>
      <c r="B448" s="307"/>
      <c r="C448" s="308">
        <v>57039</v>
      </c>
      <c r="D448" s="307"/>
      <c r="E448" s="307"/>
      <c r="F448" s="307"/>
      <c r="G448" s="307"/>
      <c r="H448" s="307"/>
      <c r="I448" s="307"/>
      <c r="J448" s="51">
        <v>0</v>
      </c>
    </row>
    <row r="449" spans="1:10" x14ac:dyDescent="0.2">
      <c r="A449" s="103">
        <v>448</v>
      </c>
      <c r="B449" s="307"/>
      <c r="C449" s="308">
        <v>57070</v>
      </c>
      <c r="D449" s="307"/>
      <c r="E449" s="307"/>
      <c r="F449" s="307"/>
      <c r="G449" s="307"/>
      <c r="H449" s="307"/>
      <c r="I449" s="307"/>
      <c r="J449" s="51">
        <v>0</v>
      </c>
    </row>
    <row r="450" spans="1:10" x14ac:dyDescent="0.2">
      <c r="A450" s="103">
        <v>449</v>
      </c>
      <c r="B450" s="307"/>
      <c r="C450" s="308">
        <v>57100</v>
      </c>
      <c r="D450" s="307"/>
      <c r="E450" s="307"/>
      <c r="F450" s="307"/>
      <c r="G450" s="307"/>
      <c r="H450" s="307"/>
      <c r="I450" s="307"/>
      <c r="J450" s="51">
        <v>0</v>
      </c>
    </row>
    <row r="451" spans="1:10" x14ac:dyDescent="0.2">
      <c r="A451" s="103">
        <v>450</v>
      </c>
      <c r="B451" s="307"/>
      <c r="C451" s="308">
        <v>57131</v>
      </c>
      <c r="D451" s="307"/>
      <c r="E451" s="307"/>
      <c r="F451" s="307"/>
      <c r="G451" s="307"/>
      <c r="H451" s="307"/>
      <c r="I451" s="307"/>
      <c r="J451" s="51">
        <v>0</v>
      </c>
    </row>
    <row r="452" spans="1:10" x14ac:dyDescent="0.2">
      <c r="A452" s="103">
        <v>451</v>
      </c>
      <c r="B452" s="307"/>
      <c r="C452" s="308">
        <v>57161</v>
      </c>
      <c r="D452" s="307"/>
      <c r="E452" s="307"/>
      <c r="F452" s="307"/>
      <c r="G452" s="307"/>
      <c r="H452" s="307"/>
      <c r="I452" s="307"/>
      <c r="J452" s="51">
        <v>0</v>
      </c>
    </row>
    <row r="453" spans="1:10" x14ac:dyDescent="0.2">
      <c r="A453" s="103">
        <v>452</v>
      </c>
      <c r="B453" s="307"/>
      <c r="C453" s="308">
        <v>57192</v>
      </c>
      <c r="D453" s="307"/>
      <c r="E453" s="307"/>
      <c r="F453" s="307"/>
      <c r="G453" s="307"/>
      <c r="H453" s="307"/>
      <c r="I453" s="307"/>
      <c r="J453" s="51">
        <v>0</v>
      </c>
    </row>
    <row r="454" spans="1:10" x14ac:dyDescent="0.2">
      <c r="A454" s="103">
        <v>453</v>
      </c>
      <c r="B454" s="307"/>
      <c r="C454" s="308">
        <v>57223</v>
      </c>
      <c r="D454" s="307"/>
      <c r="E454" s="307"/>
      <c r="F454" s="307"/>
      <c r="G454" s="307"/>
      <c r="H454" s="307"/>
      <c r="I454" s="307"/>
      <c r="J454" s="51">
        <v>0</v>
      </c>
    </row>
    <row r="455" spans="1:10" x14ac:dyDescent="0.2">
      <c r="A455" s="103">
        <v>454</v>
      </c>
      <c r="B455" s="307"/>
      <c r="C455" s="308">
        <v>57253</v>
      </c>
      <c r="D455" s="307"/>
      <c r="E455" s="307"/>
      <c r="F455" s="307"/>
      <c r="G455" s="307"/>
      <c r="H455" s="307"/>
      <c r="I455" s="307"/>
      <c r="J455" s="51">
        <v>0</v>
      </c>
    </row>
    <row r="456" spans="1:10" x14ac:dyDescent="0.2">
      <c r="A456" s="103">
        <v>455</v>
      </c>
      <c r="B456" s="307"/>
      <c r="C456" s="308">
        <v>57284</v>
      </c>
      <c r="D456" s="307"/>
      <c r="E456" s="307"/>
      <c r="F456" s="307"/>
      <c r="G456" s="307"/>
      <c r="H456" s="307"/>
      <c r="I456" s="307"/>
      <c r="J456" s="51">
        <v>0</v>
      </c>
    </row>
    <row r="457" spans="1:10" x14ac:dyDescent="0.2">
      <c r="A457" s="103">
        <v>456</v>
      </c>
      <c r="B457" s="307"/>
      <c r="C457" s="308">
        <v>57314</v>
      </c>
      <c r="D457" s="307"/>
      <c r="E457" s="307"/>
      <c r="F457" s="307"/>
      <c r="G457" s="307"/>
      <c r="H457" s="307"/>
      <c r="I457" s="307"/>
      <c r="J457" s="51">
        <v>0</v>
      </c>
    </row>
    <row r="458" spans="1:10" x14ac:dyDescent="0.2">
      <c r="A458" s="103">
        <v>457</v>
      </c>
      <c r="B458" s="307"/>
      <c r="C458" s="308">
        <v>57345</v>
      </c>
      <c r="D458" s="307"/>
      <c r="E458" s="307"/>
      <c r="F458" s="307"/>
      <c r="G458" s="307"/>
      <c r="H458" s="307"/>
      <c r="I458" s="307"/>
      <c r="J458" s="51">
        <v>0</v>
      </c>
    </row>
    <row r="459" spans="1:10" x14ac:dyDescent="0.2">
      <c r="A459" s="103">
        <v>458</v>
      </c>
      <c r="B459" s="307"/>
      <c r="C459" s="308">
        <v>57376</v>
      </c>
      <c r="D459" s="307"/>
      <c r="E459" s="307"/>
      <c r="F459" s="307"/>
      <c r="G459" s="307"/>
      <c r="H459" s="307"/>
      <c r="I459" s="307"/>
      <c r="J459" s="51">
        <v>0</v>
      </c>
    </row>
    <row r="460" spans="1:10" x14ac:dyDescent="0.2">
      <c r="A460" s="103">
        <v>459</v>
      </c>
      <c r="B460" s="307"/>
      <c r="C460" s="308">
        <v>57404</v>
      </c>
      <c r="D460" s="307"/>
      <c r="E460" s="307"/>
      <c r="F460" s="307"/>
      <c r="G460" s="307"/>
      <c r="H460" s="307"/>
      <c r="I460" s="307"/>
      <c r="J460" s="51">
        <v>0</v>
      </c>
    </row>
    <row r="461" spans="1:10" x14ac:dyDescent="0.2">
      <c r="A461" s="103">
        <v>460</v>
      </c>
      <c r="B461" s="307"/>
      <c r="C461" s="308">
        <v>57435</v>
      </c>
      <c r="D461" s="307"/>
      <c r="E461" s="307"/>
      <c r="F461" s="307"/>
      <c r="G461" s="307"/>
      <c r="H461" s="307"/>
      <c r="I461" s="307"/>
      <c r="J461" s="51">
        <v>0</v>
      </c>
    </row>
    <row r="462" spans="1:10" x14ac:dyDescent="0.2">
      <c r="A462" s="103">
        <v>461</v>
      </c>
      <c r="B462" s="307"/>
      <c r="C462" s="308">
        <v>57465</v>
      </c>
      <c r="D462" s="307"/>
      <c r="E462" s="307"/>
      <c r="F462" s="307"/>
      <c r="G462" s="307"/>
      <c r="H462" s="307"/>
      <c r="I462" s="307"/>
      <c r="J462" s="51">
        <v>0</v>
      </c>
    </row>
    <row r="463" spans="1:10" x14ac:dyDescent="0.2">
      <c r="A463" s="103">
        <v>462</v>
      </c>
      <c r="B463" s="307"/>
      <c r="C463" s="308">
        <v>57496</v>
      </c>
      <c r="D463" s="307"/>
      <c r="E463" s="307"/>
      <c r="F463" s="307"/>
      <c r="G463" s="307"/>
      <c r="H463" s="307"/>
      <c r="I463" s="307"/>
      <c r="J463" s="51">
        <v>0</v>
      </c>
    </row>
    <row r="464" spans="1:10" x14ac:dyDescent="0.2">
      <c r="A464" s="103">
        <v>463</v>
      </c>
      <c r="B464" s="307"/>
      <c r="C464" s="308">
        <v>57526</v>
      </c>
      <c r="D464" s="307"/>
      <c r="E464" s="307"/>
      <c r="F464" s="307"/>
      <c r="G464" s="307"/>
      <c r="H464" s="307"/>
      <c r="I464" s="307"/>
      <c r="J464" s="51">
        <v>0</v>
      </c>
    </row>
    <row r="465" spans="1:10" x14ac:dyDescent="0.2">
      <c r="A465" s="103">
        <v>464</v>
      </c>
      <c r="B465" s="307"/>
      <c r="C465" s="308">
        <v>57557</v>
      </c>
      <c r="D465" s="307"/>
      <c r="E465" s="307"/>
      <c r="F465" s="307"/>
      <c r="G465" s="307"/>
      <c r="H465" s="307"/>
      <c r="I465" s="307"/>
      <c r="J465" s="51">
        <v>0</v>
      </c>
    </row>
    <row r="466" spans="1:10" x14ac:dyDescent="0.2">
      <c r="A466" s="103">
        <v>465</v>
      </c>
      <c r="B466" s="307"/>
      <c r="C466" s="308">
        <v>57588</v>
      </c>
      <c r="D466" s="307"/>
      <c r="E466" s="307"/>
      <c r="F466" s="307"/>
      <c r="G466" s="307"/>
      <c r="H466" s="307"/>
      <c r="I466" s="307"/>
      <c r="J466" s="51">
        <v>0</v>
      </c>
    </row>
    <row r="467" spans="1:10" x14ac:dyDescent="0.2">
      <c r="A467" s="103">
        <v>466</v>
      </c>
      <c r="B467" s="307"/>
      <c r="C467" s="308">
        <v>57618</v>
      </c>
      <c r="D467" s="307"/>
      <c r="E467" s="307"/>
      <c r="F467" s="307"/>
      <c r="G467" s="307"/>
      <c r="H467" s="307"/>
      <c r="I467" s="307"/>
      <c r="J467" s="51">
        <v>0</v>
      </c>
    </row>
    <row r="468" spans="1:10" x14ac:dyDescent="0.2">
      <c r="A468" s="103">
        <v>467</v>
      </c>
      <c r="B468" s="307"/>
      <c r="C468" s="308">
        <v>57649</v>
      </c>
      <c r="D468" s="307"/>
      <c r="E468" s="307"/>
      <c r="F468" s="307"/>
      <c r="G468" s="307"/>
      <c r="H468" s="307"/>
      <c r="I468" s="307"/>
      <c r="J468" s="51">
        <v>0</v>
      </c>
    </row>
    <row r="469" spans="1:10" x14ac:dyDescent="0.2">
      <c r="A469" s="103">
        <v>468</v>
      </c>
      <c r="B469" s="307"/>
      <c r="C469" s="308">
        <v>57679</v>
      </c>
      <c r="D469" s="307"/>
      <c r="E469" s="307"/>
      <c r="F469" s="307"/>
      <c r="G469" s="307"/>
      <c r="H469" s="307"/>
      <c r="I469" s="307"/>
      <c r="J469" s="51">
        <v>0</v>
      </c>
    </row>
    <row r="470" spans="1:10" x14ac:dyDescent="0.2">
      <c r="A470" s="103">
        <v>469</v>
      </c>
      <c r="B470" s="307"/>
      <c r="C470" s="308">
        <v>57710</v>
      </c>
      <c r="D470" s="307"/>
      <c r="E470" s="307"/>
      <c r="F470" s="307"/>
      <c r="G470" s="307"/>
      <c r="H470" s="307"/>
      <c r="I470" s="307"/>
      <c r="J470" s="51">
        <v>0</v>
      </c>
    </row>
    <row r="471" spans="1:10" x14ac:dyDescent="0.2">
      <c r="A471" s="103">
        <v>470</v>
      </c>
      <c r="B471" s="307"/>
      <c r="C471" s="308">
        <v>57741</v>
      </c>
      <c r="D471" s="307"/>
      <c r="E471" s="307"/>
      <c r="F471" s="307"/>
      <c r="G471" s="307"/>
      <c r="H471" s="307"/>
      <c r="I471" s="307"/>
      <c r="J471" s="51">
        <v>0</v>
      </c>
    </row>
    <row r="472" spans="1:10" x14ac:dyDescent="0.2">
      <c r="A472" s="103">
        <v>471</v>
      </c>
      <c r="B472" s="307"/>
      <c r="C472" s="308">
        <v>57769</v>
      </c>
      <c r="D472" s="307"/>
      <c r="E472" s="307"/>
      <c r="F472" s="307"/>
      <c r="G472" s="307"/>
      <c r="H472" s="307"/>
      <c r="I472" s="307"/>
      <c r="J472" s="51">
        <v>0</v>
      </c>
    </row>
    <row r="473" spans="1:10" x14ac:dyDescent="0.2">
      <c r="A473" s="103">
        <v>472</v>
      </c>
      <c r="B473" s="307"/>
      <c r="C473" s="308">
        <v>57800</v>
      </c>
      <c r="D473" s="307"/>
      <c r="E473" s="307"/>
      <c r="F473" s="307"/>
      <c r="G473" s="307"/>
      <c r="H473" s="307"/>
      <c r="I473" s="307"/>
      <c r="J473" s="51">
        <v>0</v>
      </c>
    </row>
    <row r="474" spans="1:10" x14ac:dyDescent="0.2">
      <c r="A474" s="103">
        <v>473</v>
      </c>
      <c r="B474" s="307"/>
      <c r="C474" s="308">
        <v>57830</v>
      </c>
      <c r="D474" s="307"/>
      <c r="E474" s="307"/>
      <c r="F474" s="307"/>
      <c r="G474" s="307"/>
      <c r="H474" s="307"/>
      <c r="I474" s="307"/>
      <c r="J474" s="51">
        <v>0</v>
      </c>
    </row>
    <row r="475" spans="1:10" x14ac:dyDescent="0.2">
      <c r="A475" s="103">
        <v>474</v>
      </c>
      <c r="B475" s="307"/>
      <c r="C475" s="308">
        <v>57861</v>
      </c>
      <c r="D475" s="307"/>
      <c r="E475" s="307"/>
      <c r="F475" s="307"/>
      <c r="G475" s="307"/>
      <c r="H475" s="307"/>
      <c r="I475" s="307"/>
      <c r="J475" s="51">
        <v>0</v>
      </c>
    </row>
    <row r="476" spans="1:10" x14ac:dyDescent="0.2">
      <c r="A476" s="103">
        <v>475</v>
      </c>
      <c r="B476" s="307"/>
      <c r="C476" s="308">
        <v>57891</v>
      </c>
      <c r="D476" s="307"/>
      <c r="E476" s="307"/>
      <c r="F476" s="307"/>
      <c r="G476" s="307"/>
      <c r="H476" s="307"/>
      <c r="I476" s="307"/>
      <c r="J476" s="51">
        <v>0</v>
      </c>
    </row>
    <row r="477" spans="1:10" x14ac:dyDescent="0.2">
      <c r="A477" s="103">
        <v>476</v>
      </c>
      <c r="B477" s="307"/>
      <c r="C477" s="308">
        <v>57922</v>
      </c>
      <c r="D477" s="307"/>
      <c r="E477" s="307"/>
      <c r="F477" s="307"/>
      <c r="G477" s="307"/>
      <c r="H477" s="307"/>
      <c r="I477" s="307"/>
      <c r="J477" s="51">
        <v>0</v>
      </c>
    </row>
    <row r="478" spans="1:10" x14ac:dyDescent="0.2">
      <c r="A478" s="103">
        <v>477</v>
      </c>
      <c r="B478" s="307"/>
      <c r="C478" s="308">
        <v>57953</v>
      </c>
      <c r="D478" s="307"/>
      <c r="E478" s="307"/>
      <c r="F478" s="307"/>
      <c r="G478" s="307"/>
      <c r="H478" s="307"/>
      <c r="I478" s="307"/>
      <c r="J478" s="51">
        <v>0</v>
      </c>
    </row>
    <row r="479" spans="1:10" x14ac:dyDescent="0.2">
      <c r="A479" s="103">
        <v>478</v>
      </c>
      <c r="B479" s="307"/>
      <c r="C479" s="308">
        <v>57983</v>
      </c>
      <c r="D479" s="307"/>
      <c r="E479" s="307"/>
      <c r="F479" s="307"/>
      <c r="G479" s="307"/>
      <c r="H479" s="307"/>
      <c r="I479" s="307"/>
      <c r="J479" s="51">
        <v>0</v>
      </c>
    </row>
    <row r="480" spans="1:10" x14ac:dyDescent="0.2">
      <c r="A480" s="103">
        <v>479</v>
      </c>
      <c r="B480" s="307"/>
      <c r="C480" s="308">
        <v>58014</v>
      </c>
      <c r="D480" s="307"/>
      <c r="E480" s="307"/>
      <c r="F480" s="307"/>
      <c r="G480" s="307"/>
      <c r="H480" s="307"/>
      <c r="I480" s="307"/>
      <c r="J480" s="51">
        <v>0</v>
      </c>
    </row>
    <row r="481" spans="1:10" x14ac:dyDescent="0.2">
      <c r="A481" s="103">
        <v>480</v>
      </c>
      <c r="B481" s="307"/>
      <c r="C481" s="308">
        <v>58044</v>
      </c>
      <c r="D481" s="307"/>
      <c r="E481" s="307"/>
      <c r="F481" s="307"/>
      <c r="G481" s="307"/>
      <c r="H481" s="307"/>
      <c r="I481" s="307"/>
      <c r="J481" s="51">
        <v>0</v>
      </c>
    </row>
    <row r="482" spans="1:10" x14ac:dyDescent="0.2">
      <c r="A482" s="103">
        <v>481</v>
      </c>
      <c r="B482" s="307"/>
      <c r="C482" s="308">
        <v>58075</v>
      </c>
      <c r="D482" s="307"/>
      <c r="E482" s="307"/>
      <c r="F482" s="307"/>
      <c r="G482" s="307"/>
      <c r="H482" s="307"/>
      <c r="I482" s="307"/>
      <c r="J482" s="51">
        <v>0</v>
      </c>
    </row>
    <row r="483" spans="1:10" x14ac:dyDescent="0.2">
      <c r="A483" s="103">
        <v>482</v>
      </c>
      <c r="B483" s="307"/>
      <c r="C483" s="308">
        <v>58106</v>
      </c>
      <c r="D483" s="307"/>
      <c r="E483" s="307"/>
      <c r="F483" s="307"/>
      <c r="G483" s="307"/>
      <c r="H483" s="307"/>
      <c r="I483" s="307"/>
      <c r="J483" s="51">
        <v>0</v>
      </c>
    </row>
    <row r="484" spans="1:10" x14ac:dyDescent="0.2">
      <c r="A484" s="103">
        <v>483</v>
      </c>
      <c r="B484" s="307"/>
      <c r="C484" s="308">
        <v>58134</v>
      </c>
      <c r="D484" s="307"/>
      <c r="E484" s="307"/>
      <c r="F484" s="307"/>
      <c r="G484" s="307"/>
      <c r="H484" s="307"/>
      <c r="I484" s="307"/>
      <c r="J484" s="51">
        <v>0</v>
      </c>
    </row>
    <row r="485" spans="1:10" x14ac:dyDescent="0.2">
      <c r="A485" s="103">
        <v>484</v>
      </c>
      <c r="B485" s="307"/>
      <c r="C485" s="308">
        <v>58165</v>
      </c>
      <c r="D485" s="307"/>
      <c r="E485" s="307"/>
      <c r="F485" s="307"/>
      <c r="G485" s="307"/>
      <c r="H485" s="307"/>
      <c r="I485" s="307"/>
      <c r="J485" s="51">
        <v>0</v>
      </c>
    </row>
    <row r="486" spans="1:10" x14ac:dyDescent="0.2">
      <c r="A486" s="103">
        <v>485</v>
      </c>
      <c r="B486" s="307"/>
      <c r="C486" s="308">
        <v>58195</v>
      </c>
      <c r="D486" s="307"/>
      <c r="E486" s="307"/>
      <c r="F486" s="307"/>
      <c r="G486" s="307"/>
      <c r="H486" s="307"/>
      <c r="I486" s="307"/>
      <c r="J486" s="51">
        <v>0</v>
      </c>
    </row>
    <row r="487" spans="1:10" x14ac:dyDescent="0.2">
      <c r="A487" s="103">
        <v>486</v>
      </c>
      <c r="B487" s="307"/>
      <c r="C487" s="308">
        <v>58226</v>
      </c>
      <c r="D487" s="307"/>
      <c r="E487" s="307"/>
      <c r="F487" s="307"/>
      <c r="G487" s="307"/>
      <c r="H487" s="307"/>
      <c r="I487" s="307"/>
      <c r="J487" s="51">
        <v>0</v>
      </c>
    </row>
    <row r="488" spans="1:10" x14ac:dyDescent="0.2">
      <c r="A488" s="103">
        <v>487</v>
      </c>
      <c r="B488" s="307"/>
      <c r="C488" s="308">
        <v>58256</v>
      </c>
      <c r="D488" s="307"/>
      <c r="E488" s="307"/>
      <c r="F488" s="307"/>
      <c r="G488" s="307"/>
      <c r="H488" s="307"/>
      <c r="I488" s="307"/>
      <c r="J488" s="51">
        <v>0</v>
      </c>
    </row>
    <row r="489" spans="1:10" x14ac:dyDescent="0.2">
      <c r="A489" s="103">
        <v>488</v>
      </c>
      <c r="B489" s="307"/>
      <c r="C489" s="308">
        <v>58287</v>
      </c>
      <c r="D489" s="307"/>
      <c r="E489" s="307"/>
      <c r="F489" s="307"/>
      <c r="G489" s="307"/>
      <c r="H489" s="307"/>
      <c r="I489" s="307"/>
      <c r="J489" s="51">
        <v>0</v>
      </c>
    </row>
    <row r="490" spans="1:10" x14ac:dyDescent="0.2">
      <c r="A490" s="103">
        <v>489</v>
      </c>
      <c r="B490" s="307"/>
      <c r="C490" s="308">
        <v>58318</v>
      </c>
      <c r="D490" s="307"/>
      <c r="E490" s="307"/>
      <c r="F490" s="307"/>
      <c r="G490" s="307"/>
      <c r="H490" s="307"/>
      <c r="I490" s="307"/>
      <c r="J490" s="51">
        <v>0</v>
      </c>
    </row>
    <row r="491" spans="1:10" x14ac:dyDescent="0.2">
      <c r="A491" s="103">
        <v>490</v>
      </c>
      <c r="B491" s="307"/>
      <c r="C491" s="308">
        <v>58348</v>
      </c>
      <c r="D491" s="307"/>
      <c r="E491" s="307"/>
      <c r="F491" s="307"/>
      <c r="G491" s="307"/>
      <c r="H491" s="307"/>
      <c r="I491" s="307"/>
      <c r="J491" s="51">
        <v>0</v>
      </c>
    </row>
    <row r="492" spans="1:10" x14ac:dyDescent="0.2">
      <c r="A492" s="103">
        <v>491</v>
      </c>
      <c r="B492" s="307"/>
      <c r="C492" s="308">
        <v>58379</v>
      </c>
      <c r="D492" s="307"/>
      <c r="E492" s="307"/>
      <c r="F492" s="307"/>
      <c r="G492" s="307"/>
      <c r="H492" s="307"/>
      <c r="I492" s="307"/>
      <c r="J492" s="51">
        <v>0</v>
      </c>
    </row>
    <row r="493" spans="1:10" x14ac:dyDescent="0.2">
      <c r="A493" s="103">
        <v>492</v>
      </c>
      <c r="B493" s="307"/>
      <c r="C493" s="308">
        <v>58409</v>
      </c>
      <c r="D493" s="307"/>
      <c r="E493" s="307"/>
      <c r="F493" s="307"/>
      <c r="G493" s="307"/>
      <c r="H493" s="307"/>
      <c r="I493" s="307"/>
      <c r="J493" s="51">
        <v>0</v>
      </c>
    </row>
    <row r="494" spans="1:10" x14ac:dyDescent="0.2">
      <c r="A494" s="103">
        <v>493</v>
      </c>
      <c r="B494" s="307"/>
      <c r="C494" s="308">
        <v>58440</v>
      </c>
      <c r="D494" s="307"/>
      <c r="E494" s="307"/>
      <c r="F494" s="307"/>
      <c r="G494" s="307"/>
      <c r="H494" s="307"/>
      <c r="I494" s="307"/>
      <c r="J494" s="51">
        <v>0</v>
      </c>
    </row>
    <row r="495" spans="1:10" x14ac:dyDescent="0.2">
      <c r="A495" s="103">
        <v>494</v>
      </c>
      <c r="B495" s="307"/>
      <c r="C495" s="308">
        <v>58471</v>
      </c>
      <c r="D495" s="307"/>
      <c r="E495" s="307"/>
      <c r="F495" s="307"/>
      <c r="G495" s="307"/>
      <c r="H495" s="307"/>
      <c r="I495" s="307"/>
      <c r="J495" s="51">
        <v>0</v>
      </c>
    </row>
    <row r="496" spans="1:10" x14ac:dyDescent="0.2">
      <c r="A496" s="103">
        <v>495</v>
      </c>
      <c r="B496" s="307"/>
      <c r="C496" s="308">
        <v>58500</v>
      </c>
      <c r="D496" s="307"/>
      <c r="E496" s="307"/>
      <c r="F496" s="307"/>
      <c r="G496" s="307"/>
      <c r="H496" s="307"/>
      <c r="I496" s="307"/>
      <c r="J496" s="51">
        <v>0</v>
      </c>
    </row>
    <row r="497" spans="1:10" x14ac:dyDescent="0.2">
      <c r="A497" s="103">
        <v>496</v>
      </c>
      <c r="B497" s="307"/>
      <c r="C497" s="308">
        <v>58531</v>
      </c>
      <c r="D497" s="307"/>
      <c r="E497" s="307"/>
      <c r="F497" s="307"/>
      <c r="G497" s="307"/>
      <c r="H497" s="307"/>
      <c r="I497" s="307"/>
      <c r="J497" s="51">
        <v>0</v>
      </c>
    </row>
    <row r="498" spans="1:10" x14ac:dyDescent="0.2">
      <c r="A498" s="103">
        <v>497</v>
      </c>
      <c r="B498" s="307"/>
      <c r="C498" s="308">
        <v>58561</v>
      </c>
      <c r="D498" s="307"/>
      <c r="E498" s="307"/>
      <c r="F498" s="307"/>
      <c r="G498" s="307"/>
      <c r="H498" s="307"/>
      <c r="I498" s="307"/>
      <c r="J498" s="51">
        <v>0</v>
      </c>
    </row>
    <row r="499" spans="1:10" x14ac:dyDescent="0.2">
      <c r="A499" s="103">
        <v>498</v>
      </c>
      <c r="B499" s="307"/>
      <c r="C499" s="308">
        <v>58592</v>
      </c>
      <c r="D499" s="307"/>
      <c r="E499" s="307"/>
      <c r="F499" s="307"/>
      <c r="G499" s="307"/>
      <c r="H499" s="307"/>
      <c r="I499" s="307"/>
      <c r="J499" s="51">
        <v>0</v>
      </c>
    </row>
    <row r="500" spans="1:10" x14ac:dyDescent="0.2">
      <c r="A500" s="103">
        <v>499</v>
      </c>
      <c r="B500" s="307"/>
      <c r="C500" s="308">
        <v>58622</v>
      </c>
      <c r="D500" s="307"/>
      <c r="E500" s="307"/>
      <c r="F500" s="307"/>
      <c r="G500" s="307"/>
      <c r="H500" s="307"/>
      <c r="I500" s="307"/>
      <c r="J500" s="51">
        <v>0</v>
      </c>
    </row>
    <row r="501" spans="1:10" x14ac:dyDescent="0.2">
      <c r="A501" s="103">
        <v>500</v>
      </c>
      <c r="B501" s="307"/>
      <c r="C501" s="308">
        <v>58653</v>
      </c>
      <c r="D501" s="307"/>
      <c r="E501" s="307"/>
      <c r="F501" s="307"/>
      <c r="G501" s="307"/>
      <c r="H501" s="307"/>
      <c r="I501" s="307"/>
      <c r="J501" s="51">
        <v>0</v>
      </c>
    </row>
    <row r="502" spans="1:10" x14ac:dyDescent="0.2">
      <c r="A502" s="103">
        <v>501</v>
      </c>
      <c r="B502" s="307"/>
      <c r="C502" s="308">
        <v>58684</v>
      </c>
      <c r="D502" s="307"/>
      <c r="E502" s="307"/>
      <c r="F502" s="307"/>
      <c r="G502" s="307"/>
      <c r="H502" s="307"/>
      <c r="I502" s="307"/>
      <c r="J502" s="51">
        <v>0</v>
      </c>
    </row>
    <row r="503" spans="1:10" x14ac:dyDescent="0.2">
      <c r="A503" s="103">
        <v>502</v>
      </c>
      <c r="B503" s="307"/>
      <c r="C503" s="308">
        <v>58714</v>
      </c>
      <c r="D503" s="307"/>
      <c r="E503" s="307"/>
      <c r="F503" s="307"/>
      <c r="G503" s="307"/>
      <c r="H503" s="307"/>
      <c r="I503" s="307"/>
      <c r="J503" s="51">
        <v>0</v>
      </c>
    </row>
    <row r="504" spans="1:10" x14ac:dyDescent="0.2">
      <c r="A504" s="103">
        <v>503</v>
      </c>
      <c r="B504" s="307"/>
      <c r="C504" s="308">
        <v>58745</v>
      </c>
      <c r="D504" s="307"/>
      <c r="E504" s="307"/>
      <c r="F504" s="307"/>
      <c r="G504" s="307"/>
      <c r="H504" s="307"/>
      <c r="I504" s="307"/>
      <c r="J504" s="51">
        <v>0</v>
      </c>
    </row>
    <row r="505" spans="1:10" x14ac:dyDescent="0.2">
      <c r="A505" s="103">
        <v>504</v>
      </c>
      <c r="B505" s="307"/>
      <c r="C505" s="308">
        <v>58775</v>
      </c>
      <c r="D505" s="307"/>
      <c r="E505" s="307"/>
      <c r="F505" s="307"/>
      <c r="G505" s="307"/>
      <c r="H505" s="307"/>
      <c r="I505" s="307"/>
      <c r="J505" s="51">
        <v>0</v>
      </c>
    </row>
    <row r="506" spans="1:10" x14ac:dyDescent="0.2">
      <c r="A506" s="103">
        <v>505</v>
      </c>
      <c r="B506" s="307"/>
      <c r="C506" s="308">
        <v>58806</v>
      </c>
      <c r="D506" s="307"/>
      <c r="E506" s="307"/>
      <c r="F506" s="307"/>
      <c r="G506" s="307"/>
      <c r="H506" s="307"/>
      <c r="I506" s="307"/>
      <c r="J506" s="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CS232"/>
  <sheetViews>
    <sheetView showGridLines="0" topLeftCell="C1" zoomScaleNormal="100" workbookViewId="0">
      <selection activeCell="A2" sqref="A2:XFD2"/>
    </sheetView>
  </sheetViews>
  <sheetFormatPr defaultColWidth="30.125" defaultRowHeight="12" x14ac:dyDescent="0.2"/>
  <cols>
    <col min="1" max="1" width="18.875" style="195" customWidth="1"/>
    <col min="2" max="2" width="18.875" style="196" customWidth="1"/>
    <col min="3" max="3" width="72.875" style="196" bestFit="1" customWidth="1"/>
    <col min="4" max="4" width="24" style="196" customWidth="1"/>
    <col min="5" max="5" width="21.375" style="196" bestFit="1" customWidth="1"/>
    <col min="6" max="7" width="24.5" style="196" customWidth="1"/>
    <col min="8" max="13" width="24.5" style="209" customWidth="1"/>
    <col min="14" max="14" width="24.5" style="114" customWidth="1"/>
    <col min="15" max="18" width="24.5" style="210" customWidth="1"/>
    <col min="19" max="26" width="24.5" style="196" customWidth="1"/>
    <col min="27" max="27" width="24.5" style="195" customWidth="1"/>
    <col min="28" max="28" width="21.25" style="195" customWidth="1"/>
    <col min="29" max="29" width="22.125" style="195" bestFit="1" customWidth="1"/>
    <col min="30" max="36" width="24.5" style="195" customWidth="1"/>
    <col min="37" max="37" width="24.5" style="206" customWidth="1"/>
    <col min="38" max="38" width="24.5" style="194" customWidth="1"/>
    <col min="39" max="39" width="79.375" style="194" bestFit="1" customWidth="1"/>
    <col min="40" max="45" width="24.5" style="194" customWidth="1"/>
    <col min="46" max="46" width="24.5" style="207" customWidth="1"/>
    <col min="47" max="47" width="24.5" style="194" customWidth="1"/>
    <col min="48" max="48" width="24.5" style="207" customWidth="1"/>
    <col min="49" max="52" width="24.5" style="194" customWidth="1"/>
    <col min="53" max="55" width="24.5" style="208" customWidth="1"/>
    <col min="56" max="56" width="29.875" style="208" bestFit="1" customWidth="1"/>
    <col min="57" max="57" width="24.5" style="208" customWidth="1"/>
    <col min="58" max="58" width="28.75" style="208" bestFit="1" customWidth="1"/>
    <col min="59" max="59" width="24.5" style="208" customWidth="1"/>
    <col min="60" max="95" width="30.125" style="36"/>
    <col min="96" max="96" width="2.5" style="36" bestFit="1" customWidth="1"/>
    <col min="97" max="97" width="2.875" style="36" bestFit="1" customWidth="1"/>
    <col min="98" max="16384" width="30.125" style="36"/>
  </cols>
  <sheetData>
    <row r="1" spans="1:97" s="189" customFormat="1" ht="23.45" customHeight="1" x14ac:dyDescent="0.2">
      <c r="A1" s="95"/>
      <c r="B1" s="30"/>
      <c r="C1" s="197"/>
      <c r="D1" s="197"/>
      <c r="E1" s="197"/>
      <c r="F1" s="197"/>
      <c r="G1" s="197"/>
      <c r="H1" s="198"/>
      <c r="I1" s="198"/>
      <c r="J1" s="198"/>
      <c r="K1" s="198"/>
      <c r="L1" s="198"/>
      <c r="M1" s="198"/>
      <c r="N1" s="112"/>
      <c r="O1" s="211"/>
      <c r="P1" s="211"/>
      <c r="Q1" s="211"/>
      <c r="R1" s="211"/>
      <c r="S1" s="197"/>
      <c r="T1" s="197"/>
      <c r="U1" s="197"/>
      <c r="V1" s="197"/>
      <c r="W1" s="197"/>
      <c r="X1" s="197"/>
      <c r="Y1" s="197"/>
      <c r="Z1" s="197"/>
      <c r="AA1" s="199"/>
      <c r="AB1" s="199"/>
      <c r="AC1" s="199"/>
      <c r="AD1" s="199"/>
      <c r="AE1" s="199"/>
      <c r="AF1" s="199"/>
      <c r="AG1" s="279" t="s">
        <v>212</v>
      </c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</row>
    <row r="2" spans="1:97" ht="12.75" x14ac:dyDescent="0.2">
      <c r="A2" s="92" t="s">
        <v>85</v>
      </c>
      <c r="B2" s="31" t="s">
        <v>251</v>
      </c>
      <c r="C2" s="31" t="s">
        <v>252</v>
      </c>
      <c r="D2" s="31" t="s">
        <v>799</v>
      </c>
      <c r="E2" s="31" t="s">
        <v>475</v>
      </c>
      <c r="F2" s="31" t="s">
        <v>541</v>
      </c>
      <c r="G2" s="31" t="s">
        <v>543</v>
      </c>
      <c r="H2" s="32" t="s">
        <v>544</v>
      </c>
      <c r="I2" s="32" t="s">
        <v>545</v>
      </c>
      <c r="J2" s="32" t="s">
        <v>546</v>
      </c>
      <c r="K2" s="32" t="s">
        <v>547</v>
      </c>
      <c r="L2" s="32" t="s">
        <v>567</v>
      </c>
      <c r="M2" s="32" t="s">
        <v>568</v>
      </c>
      <c r="N2" s="111" t="s">
        <v>569</v>
      </c>
      <c r="O2" s="212" t="s">
        <v>548</v>
      </c>
      <c r="P2" s="212" t="s">
        <v>549</v>
      </c>
      <c r="Q2" s="212" t="s">
        <v>550</v>
      </c>
      <c r="R2" s="212" t="s">
        <v>551</v>
      </c>
      <c r="S2" s="31" t="s">
        <v>216</v>
      </c>
      <c r="T2" s="31" t="s">
        <v>218</v>
      </c>
      <c r="U2" s="31" t="s">
        <v>556</v>
      </c>
      <c r="V2" s="31" t="s">
        <v>698</v>
      </c>
      <c r="W2" s="31" t="s">
        <v>705</v>
      </c>
      <c r="X2" s="31" t="s">
        <v>722</v>
      </c>
      <c r="Y2" s="31" t="s">
        <v>801</v>
      </c>
      <c r="Z2" s="31" t="s">
        <v>797</v>
      </c>
      <c r="AA2" s="92" t="s">
        <v>677</v>
      </c>
      <c r="AB2" s="92" t="s">
        <v>678</v>
      </c>
      <c r="AC2" s="92" t="s">
        <v>679</v>
      </c>
      <c r="AD2" s="92" t="s">
        <v>680</v>
      </c>
      <c r="AE2" s="116" t="s">
        <v>695</v>
      </c>
      <c r="AG2" s="104" t="s">
        <v>252</v>
      </c>
      <c r="AH2" s="92" t="s">
        <v>800</v>
      </c>
      <c r="AI2" s="91" t="s">
        <v>200</v>
      </c>
      <c r="AJ2" s="92" t="s">
        <v>567</v>
      </c>
      <c r="AK2" s="92" t="s">
        <v>568</v>
      </c>
      <c r="AL2" s="190" t="s">
        <v>569</v>
      </c>
      <c r="AM2" s="56" t="s">
        <v>696</v>
      </c>
      <c r="AN2" s="56" t="s">
        <v>559</v>
      </c>
      <c r="AO2" s="56" t="s">
        <v>723</v>
      </c>
      <c r="AP2" s="56" t="s">
        <v>798</v>
      </c>
      <c r="AQ2" s="56" t="s">
        <v>555</v>
      </c>
      <c r="AR2" s="93" t="s">
        <v>216</v>
      </c>
      <c r="AS2" s="93" t="s">
        <v>201</v>
      </c>
      <c r="AT2" s="135" t="s">
        <v>220</v>
      </c>
      <c r="AU2" s="93" t="s">
        <v>234</v>
      </c>
      <c r="AV2" s="135" t="s">
        <v>233</v>
      </c>
      <c r="AW2" s="93" t="s">
        <v>570</v>
      </c>
      <c r="AX2" s="91" t="s">
        <v>194</v>
      </c>
      <c r="AY2" s="93" t="s">
        <v>184</v>
      </c>
      <c r="AZ2" s="93" t="s">
        <v>179</v>
      </c>
      <c r="BA2" s="94" t="s">
        <v>703</v>
      </c>
      <c r="BB2" s="94" t="s">
        <v>704</v>
      </c>
      <c r="BC2" s="94" t="s">
        <v>706</v>
      </c>
      <c r="BD2" s="94" t="s">
        <v>796</v>
      </c>
      <c r="BE2" s="94" t="s">
        <v>708</v>
      </c>
      <c r="BF2" s="94" t="s">
        <v>707</v>
      </c>
      <c r="BG2" s="94" t="s">
        <v>553</v>
      </c>
      <c r="CR2" s="191" t="s">
        <v>210</v>
      </c>
      <c r="CS2" s="35" t="s">
        <v>209</v>
      </c>
    </row>
    <row r="3" spans="1:97" x14ac:dyDescent="0.2">
      <c r="A3" s="35">
        <v>1</v>
      </c>
      <c r="B3" s="33">
        <v>1001</v>
      </c>
      <c r="C3" s="33" t="s">
        <v>253</v>
      </c>
      <c r="D3" s="33" t="s">
        <v>806</v>
      </c>
      <c r="E3" s="33" t="s">
        <v>231</v>
      </c>
      <c r="F3" s="33" t="s">
        <v>542</v>
      </c>
      <c r="G3" s="117">
        <v>4.5</v>
      </c>
      <c r="H3" s="34">
        <v>27296</v>
      </c>
      <c r="I3" s="34">
        <v>27415</v>
      </c>
      <c r="J3" s="34">
        <v>27415</v>
      </c>
      <c r="K3" s="34">
        <v>33815</v>
      </c>
      <c r="L3" s="34">
        <v>29250</v>
      </c>
      <c r="M3" s="34">
        <v>29690</v>
      </c>
      <c r="N3" s="113">
        <v>13</v>
      </c>
      <c r="O3" s="200">
        <v>58400000</v>
      </c>
      <c r="P3" s="200">
        <v>58400000</v>
      </c>
      <c r="Q3" s="200">
        <v>0</v>
      </c>
      <c r="R3" s="201">
        <v>0</v>
      </c>
      <c r="S3" s="33" t="s">
        <v>22</v>
      </c>
      <c r="T3" s="33" t="s">
        <v>22</v>
      </c>
      <c r="U3" s="33" t="s">
        <v>203</v>
      </c>
      <c r="V3" s="33"/>
      <c r="W3" s="33" t="s">
        <v>210</v>
      </c>
      <c r="X3" s="33" t="s">
        <v>210</v>
      </c>
      <c r="Y3" s="33"/>
      <c r="Z3" s="33" t="s">
        <v>209</v>
      </c>
      <c r="AA3" s="35" t="str">
        <f>_xlfn.IFNA(VLOOKUP(E3,'Lookup Table'!$J$33:$K$176,2,0),"B3")</f>
        <v>B2</v>
      </c>
      <c r="AB3" s="35">
        <f>_xlfn.IFNA(VLOOKUP($AA3,'Rating Lookup'!$B$2:$I$27,8,0),15)</f>
        <v>15</v>
      </c>
      <c r="AC3" s="35" t="str">
        <f>_xlfn.IFNA(VLOOKUP(E3,'Lookup Table'!$M$33:$N$173,2,0),"B3")</f>
        <v>B2</v>
      </c>
      <c r="AD3" s="35">
        <f>_xlfn.IFNA(VLOOKUP($AC3,'Rating Lookup'!$B$2:$I$27,8,0),15)</f>
        <v>15</v>
      </c>
      <c r="AE3" s="35">
        <f>IF(AB3-AD3&lt;0,0,AB3-AD3)</f>
        <v>0</v>
      </c>
      <c r="AG3" s="35" t="str">
        <f t="shared" ref="AG3" si="0">C3</f>
        <v>TALKHA FERTILIZER PLANT</v>
      </c>
      <c r="AH3" s="35" t="str">
        <f t="shared" ref="AH3" si="1">D3</f>
        <v>Government Loan</v>
      </c>
      <c r="AI3" s="202">
        <f>'ECL Calculation'!$B$1</f>
        <v>43465</v>
      </c>
      <c r="AJ3" s="202">
        <f>L3</f>
        <v>29250</v>
      </c>
      <c r="AK3" s="202">
        <f>M3</f>
        <v>29690</v>
      </c>
      <c r="AL3" s="127">
        <f>N3</f>
        <v>13</v>
      </c>
      <c r="AM3" s="192">
        <f>IF(AND(IF(ISBLANK(K3),EOMONTH(AJ3,AL3*12),K3)&lt;'ECL Calculation'!$B$1,SUM('Input Sheet'!Q3,'Input Sheet'!R3)&gt;0),EOMONTH('ECL Calculation'!$B$1,12*5),IF(ISBLANK(K3),EOMONTH(AJ3,AL3*12),K3))</f>
        <v>33815</v>
      </c>
      <c r="AN3" s="203">
        <f>O3</f>
        <v>58400000</v>
      </c>
      <c r="AO3" s="203">
        <f>P3</f>
        <v>58400000</v>
      </c>
      <c r="AP3" s="203">
        <f>IF(Z3="No",0,AN3-AO3)</f>
        <v>0</v>
      </c>
      <c r="AQ3" s="126">
        <f>VLOOKUP(U3,'Lookup Table'!$B$2:$C$10,2,0)</f>
        <v>1</v>
      </c>
      <c r="AR3" s="127">
        <f>VLOOKUP(S3,'Lookup Table'!$B$2:$C$9,2,0)</f>
        <v>2</v>
      </c>
      <c r="AS3" s="127">
        <f>VLOOKUP(T3,'Lookup Table'!$B$2:$C$9,2,0)</f>
        <v>2</v>
      </c>
      <c r="AT3" s="136">
        <f>Q3</f>
        <v>0</v>
      </c>
      <c r="AU3" s="128">
        <f t="shared" ref="AU3" si="2">G3/100</f>
        <v>4.4999999999999998E-2</v>
      </c>
      <c r="AV3" s="136">
        <f>R3</f>
        <v>0</v>
      </c>
      <c r="AW3" s="37" t="str">
        <f>AA3</f>
        <v>B2</v>
      </c>
      <c r="AX3" s="128">
        <f>VLOOKUP(E3,'Lookup Table'!$B$12:$C$82,2,0)</f>
        <v>2.8999999999999998E-2</v>
      </c>
      <c r="AY3" s="128">
        <f>'Lookup Table'!$E$3</f>
        <v>0.45</v>
      </c>
      <c r="AZ3" s="129" t="str">
        <f t="shared" ref="AZ3" si="3">E3</f>
        <v>Egypt</v>
      </c>
      <c r="BA3" s="37">
        <f>VLOOKUP(AA3,'Lookup Table'!$J$3:$K$27,2,0)</f>
        <v>1</v>
      </c>
      <c r="BB3" s="37">
        <f>IF(AND(AD3&lt;=10,AE3&gt;=2,AB3&gt;10), 2,IF(AND(AD3&gt;10,AE3&gt;=1),2,1))</f>
        <v>1</v>
      </c>
      <c r="BC3" s="37">
        <f>IF(W3="Yes",2,1)</f>
        <v>1</v>
      </c>
      <c r="BD3" s="37">
        <f>IF(AND(K3&lt;'ECL Calculation'!$B$1,'Input Sheet'!W3="No"),3,IF(X3="Yes",2,1))</f>
        <v>3</v>
      </c>
      <c r="BE3" s="37">
        <f>IF(Y3="Yes",3,1)</f>
        <v>1</v>
      </c>
      <c r="BF3" s="37" t="str">
        <f>IF(MAX(BA3:BE3)=2,"Stage 2",IF(MAX(BA3:BE3)=3,"Stage 3","Stage 1"))</f>
        <v>Stage 3</v>
      </c>
      <c r="BG3" s="37" t="str">
        <f>IF(OR(AND(AK3&lt;AI3,AT3&lt;=0),V3="Grant"),"No","Yes")</f>
        <v>No</v>
      </c>
      <c r="CR3" s="191"/>
      <c r="CS3" s="35" t="s">
        <v>210</v>
      </c>
    </row>
    <row r="4" spans="1:97" x14ac:dyDescent="0.2">
      <c r="A4" s="35">
        <f>A3+1</f>
        <v>2</v>
      </c>
      <c r="B4" s="33">
        <v>1002</v>
      </c>
      <c r="C4" s="33" t="s">
        <v>254</v>
      </c>
      <c r="D4" s="33" t="s">
        <v>806</v>
      </c>
      <c r="E4" s="33" t="s">
        <v>476</v>
      </c>
      <c r="F4" s="33" t="s">
        <v>542</v>
      </c>
      <c r="G4" s="117">
        <v>4.5</v>
      </c>
      <c r="H4" s="34">
        <v>27296</v>
      </c>
      <c r="I4" s="34">
        <v>27273</v>
      </c>
      <c r="J4" s="34">
        <v>27421</v>
      </c>
      <c r="K4" s="34">
        <v>34242</v>
      </c>
      <c r="L4" s="34">
        <v>28944</v>
      </c>
      <c r="M4" s="34">
        <v>29675</v>
      </c>
      <c r="N4" s="113">
        <v>15</v>
      </c>
      <c r="O4" s="200">
        <v>51483000</v>
      </c>
      <c r="P4" s="200">
        <v>51483000</v>
      </c>
      <c r="Q4" s="200">
        <v>0</v>
      </c>
      <c r="R4" s="201">
        <v>0</v>
      </c>
      <c r="S4" s="33" t="s">
        <v>22</v>
      </c>
      <c r="T4" s="33" t="s">
        <v>22</v>
      </c>
      <c r="U4" s="33" t="s">
        <v>203</v>
      </c>
      <c r="V4" s="33"/>
      <c r="W4" s="33" t="s">
        <v>210</v>
      </c>
      <c r="X4" s="33" t="s">
        <v>210</v>
      </c>
      <c r="Y4" s="33" t="s">
        <v>209</v>
      </c>
      <c r="Z4" s="33" t="s">
        <v>209</v>
      </c>
      <c r="AA4" s="35" t="str">
        <f>_xlfn.IFNA(VLOOKUP(E4,'Lookup Table'!$J$33:$K$176,2,0),"B3")</f>
        <v>B3</v>
      </c>
      <c r="AB4" s="35">
        <f>_xlfn.IFNA(VLOOKUP($AA4,'Rating Lookup'!$B$2:$I$27,8,0),15)</f>
        <v>16</v>
      </c>
      <c r="AC4" s="35" t="str">
        <f>_xlfn.IFNA(VLOOKUP(E4,'Lookup Table'!$M$33:$N$173,2,0),"B3")</f>
        <v>B3</v>
      </c>
      <c r="AD4" s="35">
        <f>_xlfn.IFNA(VLOOKUP($AC4,'Rating Lookup'!$B$2:$I$27,8,0),15)</f>
        <v>16</v>
      </c>
      <c r="AE4" s="35">
        <f t="shared" ref="AE4:AE67" si="4">IF(AB4-AD4&lt;0,0,AB4-AD4)</f>
        <v>0</v>
      </c>
      <c r="AG4" s="35" t="str">
        <f t="shared" ref="AG4:AG67" si="5">C4</f>
        <v>ELECTRICAL DISPAT CENTERS</v>
      </c>
      <c r="AH4" s="35" t="str">
        <f t="shared" ref="AH4:AH67" si="6">D4</f>
        <v>Government Loan</v>
      </c>
      <c r="AI4" s="202">
        <f>'ECL Calculation'!$B$1</f>
        <v>43465</v>
      </c>
      <c r="AJ4" s="202">
        <f t="shared" ref="AJ4:AJ67" si="7">L4</f>
        <v>28944</v>
      </c>
      <c r="AK4" s="202">
        <f t="shared" ref="AK4:AK67" si="8">M4</f>
        <v>29675</v>
      </c>
      <c r="AL4" s="127">
        <f t="shared" ref="AL4:AL67" si="9">N4</f>
        <v>15</v>
      </c>
      <c r="AM4" s="192">
        <f>IF(AND(IF(ISBLANK(K4),EOMONTH(AJ4,AL4*12),K4)&lt;'ECL Calculation'!$B$1,SUM('Input Sheet'!Q4,'Input Sheet'!R4)&gt;0),EOMONTH('ECL Calculation'!$B$1,12*5),IF(ISBLANK(K4),EOMONTH(AJ4,AL4*12),K4))</f>
        <v>34242</v>
      </c>
      <c r="AN4" s="203">
        <f t="shared" ref="AN4:AN67" si="10">O4</f>
        <v>51483000</v>
      </c>
      <c r="AO4" s="203">
        <f t="shared" ref="AO4:AO67" si="11">P4</f>
        <v>51483000</v>
      </c>
      <c r="AP4" s="203">
        <f t="shared" ref="AP4:AP67" si="12">IF(Z4="No",0,AN4-AO4)</f>
        <v>0</v>
      </c>
      <c r="AQ4" s="126">
        <f>VLOOKUP(U4,'Lookup Table'!$B$2:$C$10,2,0)</f>
        <v>1</v>
      </c>
      <c r="AR4" s="127">
        <f>VLOOKUP(S4,'Lookup Table'!$B$2:$C$9,2,0)</f>
        <v>2</v>
      </c>
      <c r="AS4" s="127">
        <f>VLOOKUP(T4,'Lookup Table'!$B$2:$C$9,2,0)</f>
        <v>2</v>
      </c>
      <c r="AT4" s="136">
        <f t="shared" ref="AT4:AT67" si="13">Q4</f>
        <v>0</v>
      </c>
      <c r="AU4" s="128">
        <f t="shared" ref="AU4:AU67" si="14">G4/100</f>
        <v>4.4999999999999998E-2</v>
      </c>
      <c r="AV4" s="136">
        <f t="shared" ref="AV4:AV67" si="15">R4</f>
        <v>0</v>
      </c>
      <c r="AW4" s="37" t="str">
        <f t="shared" ref="AW4:AW67" si="16">AA4</f>
        <v>B3</v>
      </c>
      <c r="AX4" s="128">
        <f>VLOOKUP(E4,'Lookup Table'!$B$12:$C$82,2,0)</f>
        <v>3.6666666666666667E-2</v>
      </c>
      <c r="AY4" s="128">
        <f>'Lookup Table'!$E$3</f>
        <v>0.45</v>
      </c>
      <c r="AZ4" s="129" t="str">
        <f t="shared" ref="AZ4:AZ67" si="17">E4</f>
        <v>Syrian Arab Republic</v>
      </c>
      <c r="BA4" s="37">
        <f>VLOOKUP(AA4,'Lookup Table'!$J$3:$K$27,2,0)</f>
        <v>1</v>
      </c>
      <c r="BB4" s="37">
        <f t="shared" ref="BB4:BB67" si="18">IF(AND(AD4&lt;=10,AE4&gt;=2,AB4&gt;10), 2,IF(AND(AD4&gt;10,AE4&gt;=1),2,1))</f>
        <v>1</v>
      </c>
      <c r="BC4" s="37">
        <f t="shared" ref="BC4:BC67" si="19">IF(W4="Yes",2,1)</f>
        <v>1</v>
      </c>
      <c r="BD4" s="37">
        <f>IF(AND(K4&lt;'ECL Calculation'!$B$1,'Input Sheet'!W4="No"),3,IF(X4="Yes",2,1))</f>
        <v>3</v>
      </c>
      <c r="BE4" s="37">
        <f t="shared" ref="BE4:BE67" si="20">IF(Y4="Yes",3,1)</f>
        <v>3</v>
      </c>
      <c r="BF4" s="37" t="str">
        <f t="shared" ref="BF4:BF67" si="21">IF(MAX(BA4:BE4)=2,"Stage 2",IF(MAX(BA4:BE4)=3,"Stage 3","Stage 1"))</f>
        <v>Stage 3</v>
      </c>
      <c r="BG4" s="37" t="str">
        <f t="shared" ref="BG4:BG67" si="22">IF(OR(AND(AK4&lt;AI4,AT4&lt;=0),V4="Grant"),"No","Yes")</f>
        <v>No</v>
      </c>
    </row>
    <row r="5" spans="1:97" x14ac:dyDescent="0.2">
      <c r="A5" s="35">
        <f t="shared" ref="A5:A68" si="23">A4+1</f>
        <v>3</v>
      </c>
      <c r="B5" s="33">
        <v>1003</v>
      </c>
      <c r="C5" s="33" t="s">
        <v>255</v>
      </c>
      <c r="D5" s="33" t="s">
        <v>806</v>
      </c>
      <c r="E5" s="33" t="s">
        <v>477</v>
      </c>
      <c r="F5" s="33" t="s">
        <v>542</v>
      </c>
      <c r="G5" s="117">
        <v>3.5</v>
      </c>
      <c r="H5" s="34">
        <v>27297</v>
      </c>
      <c r="I5" s="34">
        <v>27211</v>
      </c>
      <c r="J5" s="34">
        <v>27366</v>
      </c>
      <c r="K5" s="34">
        <v>33815</v>
      </c>
      <c r="L5" s="34">
        <v>28520</v>
      </c>
      <c r="M5" s="34">
        <v>29616</v>
      </c>
      <c r="N5" s="113">
        <v>15</v>
      </c>
      <c r="O5" s="200">
        <v>21500000</v>
      </c>
      <c r="P5" s="200">
        <v>21500000</v>
      </c>
      <c r="Q5" s="200">
        <v>0</v>
      </c>
      <c r="R5" s="201">
        <v>0</v>
      </c>
      <c r="S5" s="33" t="s">
        <v>22</v>
      </c>
      <c r="T5" s="33" t="s">
        <v>22</v>
      </c>
      <c r="U5" s="33" t="s">
        <v>203</v>
      </c>
      <c r="V5" s="33"/>
      <c r="W5" s="33" t="s">
        <v>210</v>
      </c>
      <c r="X5" s="33" t="s">
        <v>210</v>
      </c>
      <c r="Y5" s="33"/>
      <c r="Z5" s="33" t="s">
        <v>209</v>
      </c>
      <c r="AA5" s="35" t="str">
        <f>_xlfn.IFNA(VLOOKUP(E5,'Lookup Table'!$J$33:$K$176,2,0),"B3")</f>
        <v>B1</v>
      </c>
      <c r="AB5" s="35">
        <f>_xlfn.IFNA(VLOOKUP($AA5,'Rating Lookup'!$B$2:$I$27,8,0),15)</f>
        <v>14</v>
      </c>
      <c r="AC5" s="35" t="str">
        <f>_xlfn.IFNA(VLOOKUP(E5,'Lookup Table'!$M$33:$N$173,2,0),"B3")</f>
        <v>Ba2</v>
      </c>
      <c r="AD5" s="35">
        <f>_xlfn.IFNA(VLOOKUP($AC5,'Rating Lookup'!$B$2:$I$27,8,0),15)</f>
        <v>12</v>
      </c>
      <c r="AE5" s="35">
        <f t="shared" si="4"/>
        <v>2</v>
      </c>
      <c r="AG5" s="35" t="str">
        <f t="shared" si="5"/>
        <v>KING TALAL DAM.</v>
      </c>
      <c r="AH5" s="35" t="str">
        <f t="shared" si="6"/>
        <v>Government Loan</v>
      </c>
      <c r="AI5" s="202">
        <f>'ECL Calculation'!$B$1</f>
        <v>43465</v>
      </c>
      <c r="AJ5" s="202">
        <f t="shared" si="7"/>
        <v>28520</v>
      </c>
      <c r="AK5" s="202">
        <f t="shared" si="8"/>
        <v>29616</v>
      </c>
      <c r="AL5" s="127">
        <f t="shared" si="9"/>
        <v>15</v>
      </c>
      <c r="AM5" s="192">
        <f>IF(AND(IF(ISBLANK(K5),EOMONTH(AJ5,AL5*12),K5)&lt;'ECL Calculation'!$B$1,SUM('Input Sheet'!Q5,'Input Sheet'!R5)&gt;0),EOMONTH('ECL Calculation'!$B$1,12*5),IF(ISBLANK(K5),EOMONTH(AJ5,AL5*12),K5))</f>
        <v>33815</v>
      </c>
      <c r="AN5" s="203">
        <f t="shared" si="10"/>
        <v>21500000</v>
      </c>
      <c r="AO5" s="203">
        <f t="shared" si="11"/>
        <v>21500000</v>
      </c>
      <c r="AP5" s="203">
        <f t="shared" si="12"/>
        <v>0</v>
      </c>
      <c r="AQ5" s="126">
        <f>VLOOKUP(U5,'Lookup Table'!$B$2:$C$10,2,0)</f>
        <v>1</v>
      </c>
      <c r="AR5" s="127">
        <f>VLOOKUP(S5,'Lookup Table'!$B$2:$C$9,2,0)</f>
        <v>2</v>
      </c>
      <c r="AS5" s="127">
        <f>VLOOKUP(T5,'Lookup Table'!$B$2:$C$9,2,0)</f>
        <v>2</v>
      </c>
      <c r="AT5" s="136">
        <f t="shared" si="13"/>
        <v>0</v>
      </c>
      <c r="AU5" s="128">
        <f t="shared" si="14"/>
        <v>3.5000000000000003E-2</v>
      </c>
      <c r="AV5" s="136">
        <f t="shared" si="15"/>
        <v>0</v>
      </c>
      <c r="AW5" s="37" t="str">
        <f t="shared" si="16"/>
        <v>B1</v>
      </c>
      <c r="AX5" s="128">
        <f>VLOOKUP(E5,'Lookup Table'!$B$12:$C$82,2,0)</f>
        <v>3.5909090909090911E-2</v>
      </c>
      <c r="AY5" s="128">
        <f>'Lookup Table'!$E$3</f>
        <v>0.45</v>
      </c>
      <c r="AZ5" s="129" t="str">
        <f t="shared" si="17"/>
        <v>Jordan</v>
      </c>
      <c r="BA5" s="37">
        <f>VLOOKUP(AA5,'Lookup Table'!$J$3:$K$27,2,0)</f>
        <v>1</v>
      </c>
      <c r="BB5" s="37">
        <f t="shared" si="18"/>
        <v>2</v>
      </c>
      <c r="BC5" s="37">
        <f t="shared" si="19"/>
        <v>1</v>
      </c>
      <c r="BD5" s="37">
        <f>IF(AND(K5&lt;'ECL Calculation'!$B$1,'Input Sheet'!W5="No"),3,IF(X5="Yes",2,1))</f>
        <v>3</v>
      </c>
      <c r="BE5" s="37">
        <f t="shared" si="20"/>
        <v>1</v>
      </c>
      <c r="BF5" s="37" t="str">
        <f t="shared" si="21"/>
        <v>Stage 3</v>
      </c>
      <c r="BG5" s="37" t="str">
        <f t="shared" si="22"/>
        <v>No</v>
      </c>
    </row>
    <row r="6" spans="1:97" x14ac:dyDescent="0.2">
      <c r="A6" s="35">
        <f t="shared" si="23"/>
        <v>4</v>
      </c>
      <c r="B6" s="33">
        <v>1004</v>
      </c>
      <c r="C6" s="33" t="s">
        <v>256</v>
      </c>
      <c r="D6" s="33" t="s">
        <v>806</v>
      </c>
      <c r="E6" s="33" t="s">
        <v>478</v>
      </c>
      <c r="F6" s="33" t="s">
        <v>542</v>
      </c>
      <c r="G6" s="117">
        <v>4</v>
      </c>
      <c r="H6" s="34">
        <v>27331</v>
      </c>
      <c r="I6" s="34">
        <v>27331</v>
      </c>
      <c r="J6" s="34">
        <v>27377</v>
      </c>
      <c r="K6" s="34">
        <v>31778</v>
      </c>
      <c r="L6" s="34">
        <v>28491</v>
      </c>
      <c r="M6" s="34">
        <v>29587</v>
      </c>
      <c r="N6" s="113">
        <v>9</v>
      </c>
      <c r="O6" s="200">
        <v>4000000</v>
      </c>
      <c r="P6" s="200">
        <v>4000000</v>
      </c>
      <c r="Q6" s="200">
        <v>0</v>
      </c>
      <c r="R6" s="201">
        <v>0</v>
      </c>
      <c r="S6" s="33" t="s">
        <v>22</v>
      </c>
      <c r="T6" s="33" t="s">
        <v>22</v>
      </c>
      <c r="U6" s="33" t="s">
        <v>203</v>
      </c>
      <c r="V6" s="33"/>
      <c r="W6" s="33" t="s">
        <v>210</v>
      </c>
      <c r="X6" s="33" t="s">
        <v>210</v>
      </c>
      <c r="Y6" s="33" t="s">
        <v>209</v>
      </c>
      <c r="Z6" s="33" t="s">
        <v>209</v>
      </c>
      <c r="AA6" s="35" t="str">
        <f>_xlfn.IFNA(VLOOKUP(E6,'Lookup Table'!$J$33:$K$176,2,0),"B3")</f>
        <v>B3</v>
      </c>
      <c r="AB6" s="35">
        <f>_xlfn.IFNA(VLOOKUP($AA6,'Rating Lookup'!$B$2:$I$27,8,0),15)</f>
        <v>16</v>
      </c>
      <c r="AC6" s="35" t="str">
        <f>_xlfn.IFNA(VLOOKUP(E6,'Lookup Table'!$M$33:$N$173,2,0),"B3")</f>
        <v>B3</v>
      </c>
      <c r="AD6" s="35">
        <f>_xlfn.IFNA(VLOOKUP($AC6,'Rating Lookup'!$B$2:$I$27,8,0),15)</f>
        <v>16</v>
      </c>
      <c r="AE6" s="35">
        <f t="shared" si="4"/>
        <v>0</v>
      </c>
      <c r="AG6" s="35" t="str">
        <f t="shared" si="5"/>
        <v>SANAA WATER</v>
      </c>
      <c r="AH6" s="35" t="str">
        <f t="shared" si="6"/>
        <v>Government Loan</v>
      </c>
      <c r="AI6" s="202">
        <f>'ECL Calculation'!$B$1</f>
        <v>43465</v>
      </c>
      <c r="AJ6" s="202">
        <f t="shared" si="7"/>
        <v>28491</v>
      </c>
      <c r="AK6" s="202">
        <f t="shared" si="8"/>
        <v>29587</v>
      </c>
      <c r="AL6" s="127">
        <f t="shared" si="9"/>
        <v>9</v>
      </c>
      <c r="AM6" s="192">
        <f>IF(AND(IF(ISBLANK(K6),EOMONTH(AJ6,AL6*12),K6)&lt;'ECL Calculation'!$B$1,SUM('Input Sheet'!Q6,'Input Sheet'!R6)&gt;0),EOMONTH('ECL Calculation'!$B$1,12*5),IF(ISBLANK(K6),EOMONTH(AJ6,AL6*12),K6))</f>
        <v>31778</v>
      </c>
      <c r="AN6" s="203">
        <f t="shared" si="10"/>
        <v>4000000</v>
      </c>
      <c r="AO6" s="203">
        <f t="shared" si="11"/>
        <v>4000000</v>
      </c>
      <c r="AP6" s="203">
        <f t="shared" si="12"/>
        <v>0</v>
      </c>
      <c r="AQ6" s="126">
        <f>VLOOKUP(U6,'Lookup Table'!$B$2:$C$10,2,0)</f>
        <v>1</v>
      </c>
      <c r="AR6" s="127">
        <f>VLOOKUP(S6,'Lookup Table'!$B$2:$C$9,2,0)</f>
        <v>2</v>
      </c>
      <c r="AS6" s="127">
        <f>VLOOKUP(T6,'Lookup Table'!$B$2:$C$9,2,0)</f>
        <v>2</v>
      </c>
      <c r="AT6" s="136">
        <f t="shared" si="13"/>
        <v>0</v>
      </c>
      <c r="AU6" s="128">
        <f t="shared" si="14"/>
        <v>0.04</v>
      </c>
      <c r="AV6" s="136">
        <f t="shared" si="15"/>
        <v>0</v>
      </c>
      <c r="AW6" s="37" t="str">
        <f t="shared" si="16"/>
        <v>B3</v>
      </c>
      <c r="AX6" s="128">
        <f>VLOOKUP(E6,'Lookup Table'!$B$12:$C$82,2,0)</f>
        <v>3.3636363636363638E-2</v>
      </c>
      <c r="AY6" s="128">
        <f>'Lookup Table'!$E$3</f>
        <v>0.45</v>
      </c>
      <c r="AZ6" s="129" t="str">
        <f t="shared" si="17"/>
        <v>Yemen</v>
      </c>
      <c r="BA6" s="37">
        <f>VLOOKUP(AA6,'Lookup Table'!$J$3:$K$27,2,0)</f>
        <v>1</v>
      </c>
      <c r="BB6" s="37">
        <f t="shared" si="18"/>
        <v>1</v>
      </c>
      <c r="BC6" s="37">
        <f t="shared" si="19"/>
        <v>1</v>
      </c>
      <c r="BD6" s="37">
        <f>IF(AND(K6&lt;'ECL Calculation'!$B$1,'Input Sheet'!W6="No"),3,IF(X6="Yes",2,1))</f>
        <v>3</v>
      </c>
      <c r="BE6" s="37">
        <f t="shared" si="20"/>
        <v>3</v>
      </c>
      <c r="BF6" s="37" t="str">
        <f t="shared" si="21"/>
        <v>Stage 3</v>
      </c>
      <c r="BG6" s="37" t="str">
        <f t="shared" si="22"/>
        <v>No</v>
      </c>
    </row>
    <row r="7" spans="1:97" x14ac:dyDescent="0.2">
      <c r="A7" s="35">
        <f t="shared" si="23"/>
        <v>5</v>
      </c>
      <c r="B7" s="33">
        <v>1005</v>
      </c>
      <c r="C7" s="33" t="s">
        <v>257</v>
      </c>
      <c r="D7" s="33" t="s">
        <v>806</v>
      </c>
      <c r="E7" s="33" t="s">
        <v>231</v>
      </c>
      <c r="F7" s="33" t="s">
        <v>542</v>
      </c>
      <c r="G7" s="117">
        <v>4.5</v>
      </c>
      <c r="H7" s="34">
        <v>27342</v>
      </c>
      <c r="I7" s="34">
        <v>27545</v>
      </c>
      <c r="J7" s="34">
        <v>27545</v>
      </c>
      <c r="K7" s="34">
        <v>33754</v>
      </c>
      <c r="L7" s="34">
        <v>30285</v>
      </c>
      <c r="M7" s="34">
        <v>29616</v>
      </c>
      <c r="N7" s="113">
        <v>10</v>
      </c>
      <c r="O7" s="200">
        <v>16618824.1</v>
      </c>
      <c r="P7" s="200">
        <v>16618824.1</v>
      </c>
      <c r="Q7" s="200">
        <v>0</v>
      </c>
      <c r="R7" s="201">
        <v>0</v>
      </c>
      <c r="S7" s="33" t="s">
        <v>22</v>
      </c>
      <c r="T7" s="33" t="s">
        <v>22</v>
      </c>
      <c r="U7" s="33" t="s">
        <v>203</v>
      </c>
      <c r="V7" s="33"/>
      <c r="W7" s="33" t="s">
        <v>210</v>
      </c>
      <c r="X7" s="33" t="s">
        <v>210</v>
      </c>
      <c r="Y7" s="33"/>
      <c r="Z7" s="33" t="s">
        <v>209</v>
      </c>
      <c r="AA7" s="35" t="str">
        <f>_xlfn.IFNA(VLOOKUP(E7,'Lookup Table'!$J$33:$K$176,2,0),"B3")</f>
        <v>B2</v>
      </c>
      <c r="AB7" s="35">
        <f>_xlfn.IFNA(VLOOKUP($AA7,'Rating Lookup'!$B$2:$I$27,8,0),15)</f>
        <v>15</v>
      </c>
      <c r="AC7" s="35" t="str">
        <f>_xlfn.IFNA(VLOOKUP(E7,'Lookup Table'!$M$33:$N$173,2,0),"B3")</f>
        <v>B2</v>
      </c>
      <c r="AD7" s="35">
        <f>_xlfn.IFNA(VLOOKUP($AC7,'Rating Lookup'!$B$2:$I$27,8,0),15)</f>
        <v>15</v>
      </c>
      <c r="AE7" s="35">
        <f t="shared" si="4"/>
        <v>0</v>
      </c>
      <c r="AG7" s="35" t="str">
        <f t="shared" si="5"/>
        <v>OMAR AL-KHAIAM HOTEL</v>
      </c>
      <c r="AH7" s="35" t="str">
        <f t="shared" si="6"/>
        <v>Government Loan</v>
      </c>
      <c r="AI7" s="202">
        <f>'ECL Calculation'!$B$1</f>
        <v>43465</v>
      </c>
      <c r="AJ7" s="202">
        <f t="shared" si="7"/>
        <v>30285</v>
      </c>
      <c r="AK7" s="202">
        <f t="shared" si="8"/>
        <v>29616</v>
      </c>
      <c r="AL7" s="127">
        <f t="shared" si="9"/>
        <v>10</v>
      </c>
      <c r="AM7" s="192">
        <f>IF(AND(IF(ISBLANK(K7),EOMONTH(AJ7,AL7*12),K7)&lt;'ECL Calculation'!$B$1,SUM('Input Sheet'!Q7,'Input Sheet'!R7)&gt;0),EOMONTH('ECL Calculation'!$B$1,12*5),IF(ISBLANK(K7),EOMONTH(AJ7,AL7*12),K7))</f>
        <v>33754</v>
      </c>
      <c r="AN7" s="203">
        <f t="shared" si="10"/>
        <v>16618824.1</v>
      </c>
      <c r="AO7" s="203">
        <f t="shared" si="11"/>
        <v>16618824.1</v>
      </c>
      <c r="AP7" s="203">
        <f t="shared" si="12"/>
        <v>0</v>
      </c>
      <c r="AQ7" s="126">
        <f>VLOOKUP(U7,'Lookup Table'!$B$2:$C$10,2,0)</f>
        <v>1</v>
      </c>
      <c r="AR7" s="127">
        <f>VLOOKUP(S7,'Lookup Table'!$B$2:$C$9,2,0)</f>
        <v>2</v>
      </c>
      <c r="AS7" s="127">
        <f>VLOOKUP(T7,'Lookup Table'!$B$2:$C$9,2,0)</f>
        <v>2</v>
      </c>
      <c r="AT7" s="136">
        <f t="shared" si="13"/>
        <v>0</v>
      </c>
      <c r="AU7" s="128">
        <f t="shared" si="14"/>
        <v>4.4999999999999998E-2</v>
      </c>
      <c r="AV7" s="136">
        <f t="shared" si="15"/>
        <v>0</v>
      </c>
      <c r="AW7" s="37" t="str">
        <f t="shared" si="16"/>
        <v>B2</v>
      </c>
      <c r="AX7" s="128">
        <f>VLOOKUP(E7,'Lookup Table'!$B$12:$C$82,2,0)</f>
        <v>2.8999999999999998E-2</v>
      </c>
      <c r="AY7" s="128">
        <f>'Lookup Table'!$E$3</f>
        <v>0.45</v>
      </c>
      <c r="AZ7" s="129" t="str">
        <f t="shared" si="17"/>
        <v>Egypt</v>
      </c>
      <c r="BA7" s="37">
        <f>VLOOKUP(AA7,'Lookup Table'!$J$3:$K$27,2,0)</f>
        <v>1</v>
      </c>
      <c r="BB7" s="37">
        <f t="shared" si="18"/>
        <v>1</v>
      </c>
      <c r="BC7" s="37">
        <f t="shared" si="19"/>
        <v>1</v>
      </c>
      <c r="BD7" s="37">
        <f>IF(AND(K7&lt;'ECL Calculation'!$B$1,'Input Sheet'!W7="No"),3,IF(X7="Yes",2,1))</f>
        <v>3</v>
      </c>
      <c r="BE7" s="37">
        <f t="shared" si="20"/>
        <v>1</v>
      </c>
      <c r="BF7" s="37" t="str">
        <f t="shared" si="21"/>
        <v>Stage 3</v>
      </c>
      <c r="BG7" s="37" t="str">
        <f t="shared" si="22"/>
        <v>No</v>
      </c>
    </row>
    <row r="8" spans="1:97" x14ac:dyDescent="0.2">
      <c r="A8" s="35">
        <f t="shared" si="23"/>
        <v>6</v>
      </c>
      <c r="B8" s="33">
        <v>1006</v>
      </c>
      <c r="C8" s="33" t="s">
        <v>258</v>
      </c>
      <c r="D8" s="33" t="s">
        <v>806</v>
      </c>
      <c r="E8" s="33" t="s">
        <v>19</v>
      </c>
      <c r="F8" s="33" t="s">
        <v>542</v>
      </c>
      <c r="G8" s="117">
        <v>4</v>
      </c>
      <c r="H8" s="34">
        <v>27360</v>
      </c>
      <c r="I8" s="34">
        <v>27360</v>
      </c>
      <c r="J8" s="34">
        <v>27868</v>
      </c>
      <c r="K8" s="34">
        <v>33239</v>
      </c>
      <c r="L8" s="34">
        <v>27942</v>
      </c>
      <c r="M8" s="34">
        <v>29587</v>
      </c>
      <c r="N8" s="113">
        <v>15</v>
      </c>
      <c r="O8" s="204">
        <v>40000000</v>
      </c>
      <c r="P8" s="204">
        <v>40000000</v>
      </c>
      <c r="Q8" s="204">
        <v>0</v>
      </c>
      <c r="R8" s="205">
        <v>0</v>
      </c>
      <c r="S8" s="33" t="s">
        <v>22</v>
      </c>
      <c r="T8" s="33" t="s">
        <v>22</v>
      </c>
      <c r="U8" s="33" t="s">
        <v>203</v>
      </c>
      <c r="V8" s="33"/>
      <c r="W8" s="33" t="s">
        <v>210</v>
      </c>
      <c r="X8" s="33" t="s">
        <v>210</v>
      </c>
      <c r="Y8" s="33"/>
      <c r="Z8" s="33" t="s">
        <v>209</v>
      </c>
      <c r="AA8" s="35" t="str">
        <f>_xlfn.IFNA(VLOOKUP(E8,'Lookup Table'!$J$33:$K$176,2,0),"B3")</f>
        <v>B2</v>
      </c>
      <c r="AB8" s="35">
        <f>_xlfn.IFNA(VLOOKUP($AA8,'Rating Lookup'!$B$2:$I$27,8,0),15)</f>
        <v>15</v>
      </c>
      <c r="AC8" s="35" t="str">
        <f>_xlfn.IFNA(VLOOKUP(E8,'Lookup Table'!$M$33:$N$173,2,0),"B3")</f>
        <v>Baa1</v>
      </c>
      <c r="AD8" s="35">
        <f>_xlfn.IFNA(VLOOKUP($AC8,'Rating Lookup'!$B$2:$I$27,8,0),15)</f>
        <v>8</v>
      </c>
      <c r="AE8" s="35">
        <f t="shared" si="4"/>
        <v>7</v>
      </c>
      <c r="AG8" s="35" t="str">
        <f t="shared" si="5"/>
        <v>ELECTRICITY AND SITRA WATER (1)</v>
      </c>
      <c r="AH8" s="35" t="str">
        <f t="shared" si="6"/>
        <v>Government Loan</v>
      </c>
      <c r="AI8" s="202">
        <f>'ECL Calculation'!$B$1</f>
        <v>43465</v>
      </c>
      <c r="AJ8" s="202">
        <f t="shared" si="7"/>
        <v>27942</v>
      </c>
      <c r="AK8" s="202">
        <f t="shared" si="8"/>
        <v>29587</v>
      </c>
      <c r="AL8" s="127">
        <f t="shared" si="9"/>
        <v>15</v>
      </c>
      <c r="AM8" s="192">
        <f>IF(AND(IF(ISBLANK(K8),EOMONTH(AJ8,AL8*12),K8)&lt;'ECL Calculation'!$B$1,SUM('Input Sheet'!Q8,'Input Sheet'!R8)&gt;0),EOMONTH('ECL Calculation'!$B$1,12*5),IF(ISBLANK(K8),EOMONTH(AJ8,AL8*12),K8))</f>
        <v>33239</v>
      </c>
      <c r="AN8" s="203">
        <f t="shared" si="10"/>
        <v>40000000</v>
      </c>
      <c r="AO8" s="203">
        <f t="shared" si="11"/>
        <v>40000000</v>
      </c>
      <c r="AP8" s="203">
        <f t="shared" si="12"/>
        <v>0</v>
      </c>
      <c r="AQ8" s="126">
        <f>VLOOKUP(U8,'Lookup Table'!$B$2:$C$10,2,0)</f>
        <v>1</v>
      </c>
      <c r="AR8" s="127">
        <f>VLOOKUP(S8,'Lookup Table'!$B$2:$C$9,2,0)</f>
        <v>2</v>
      </c>
      <c r="AS8" s="127">
        <f>VLOOKUP(T8,'Lookup Table'!$B$2:$C$9,2,0)</f>
        <v>2</v>
      </c>
      <c r="AT8" s="136">
        <f t="shared" si="13"/>
        <v>0</v>
      </c>
      <c r="AU8" s="128">
        <f t="shared" si="14"/>
        <v>0.04</v>
      </c>
      <c r="AV8" s="136">
        <f t="shared" si="15"/>
        <v>0</v>
      </c>
      <c r="AW8" s="37" t="str">
        <f t="shared" si="16"/>
        <v>B2</v>
      </c>
      <c r="AX8" s="128">
        <f>VLOOKUP(E8,'Lookup Table'!$B$12:$C$82,2,0)</f>
        <v>3.6111111111111115E-2</v>
      </c>
      <c r="AY8" s="128">
        <f>'Lookup Table'!$E$3</f>
        <v>0.45</v>
      </c>
      <c r="AZ8" s="129" t="str">
        <f t="shared" si="17"/>
        <v>Bahrain</v>
      </c>
      <c r="BA8" s="37">
        <f>VLOOKUP(AA8,'Lookup Table'!$J$3:$K$27,2,0)</f>
        <v>1</v>
      </c>
      <c r="BB8" s="37">
        <f t="shared" si="18"/>
        <v>2</v>
      </c>
      <c r="BC8" s="37">
        <f t="shared" si="19"/>
        <v>1</v>
      </c>
      <c r="BD8" s="37">
        <f>IF(AND(K8&lt;'ECL Calculation'!$B$1,'Input Sheet'!W8="No"),3,IF(X8="Yes",2,1))</f>
        <v>3</v>
      </c>
      <c r="BE8" s="37">
        <f t="shared" si="20"/>
        <v>1</v>
      </c>
      <c r="BF8" s="37" t="str">
        <f t="shared" si="21"/>
        <v>Stage 3</v>
      </c>
      <c r="BG8" s="37" t="str">
        <f t="shared" si="22"/>
        <v>No</v>
      </c>
      <c r="BH8" s="193"/>
    </row>
    <row r="9" spans="1:97" x14ac:dyDescent="0.2">
      <c r="A9" s="35">
        <f t="shared" si="23"/>
        <v>7</v>
      </c>
      <c r="B9" s="33">
        <v>1007</v>
      </c>
      <c r="C9" s="33" t="s">
        <v>259</v>
      </c>
      <c r="D9" s="33" t="s">
        <v>806</v>
      </c>
      <c r="E9" s="33" t="s">
        <v>479</v>
      </c>
      <c r="F9" s="33" t="s">
        <v>542</v>
      </c>
      <c r="G9" s="117">
        <v>5.5</v>
      </c>
      <c r="H9" s="34">
        <v>27381</v>
      </c>
      <c r="I9" s="34">
        <v>27596</v>
      </c>
      <c r="J9" s="34">
        <v>27596</v>
      </c>
      <c r="K9" s="34">
        <v>32811</v>
      </c>
      <c r="L9" s="34">
        <v>29341</v>
      </c>
      <c r="M9" s="34">
        <v>29616</v>
      </c>
      <c r="N9" s="113">
        <v>10</v>
      </c>
      <c r="O9" s="200">
        <v>20700000</v>
      </c>
      <c r="P9" s="200">
        <v>20700000</v>
      </c>
      <c r="Q9" s="200">
        <v>0</v>
      </c>
      <c r="R9" s="201">
        <v>0</v>
      </c>
      <c r="S9" s="33" t="s">
        <v>22</v>
      </c>
      <c r="T9" s="33" t="s">
        <v>22</v>
      </c>
      <c r="U9" s="33" t="s">
        <v>203</v>
      </c>
      <c r="V9" s="33"/>
      <c r="W9" s="33" t="s">
        <v>210</v>
      </c>
      <c r="X9" s="33" t="s">
        <v>210</v>
      </c>
      <c r="Y9" s="33"/>
      <c r="Z9" s="33" t="s">
        <v>209</v>
      </c>
      <c r="AA9" s="35" t="str">
        <f>_xlfn.IFNA(VLOOKUP(E9,'Lookup Table'!$J$33:$K$176,2,0),"B3")</f>
        <v>B2</v>
      </c>
      <c r="AB9" s="35">
        <f>_xlfn.IFNA(VLOOKUP($AA9,'Rating Lookup'!$B$2:$I$27,8,0),15)</f>
        <v>15</v>
      </c>
      <c r="AC9" s="35" t="str">
        <f>_xlfn.IFNA(VLOOKUP(E9,'Lookup Table'!$M$33:$N$173,2,0),"B3")</f>
        <v>Baa3</v>
      </c>
      <c r="AD9" s="35">
        <f>_xlfn.IFNA(VLOOKUP($AC9,'Rating Lookup'!$B$2:$I$27,8,0),15)</f>
        <v>10</v>
      </c>
      <c r="AE9" s="35">
        <f t="shared" si="4"/>
        <v>5</v>
      </c>
      <c r="AG9" s="35" t="str">
        <f t="shared" si="5"/>
        <v>ETUDE SOUSSE NORD TUNI</v>
      </c>
      <c r="AH9" s="35" t="str">
        <f t="shared" si="6"/>
        <v>Government Loan</v>
      </c>
      <c r="AI9" s="202">
        <f>'ECL Calculation'!$B$1</f>
        <v>43465</v>
      </c>
      <c r="AJ9" s="202">
        <f t="shared" si="7"/>
        <v>29341</v>
      </c>
      <c r="AK9" s="202">
        <f t="shared" si="8"/>
        <v>29616</v>
      </c>
      <c r="AL9" s="127">
        <f t="shared" si="9"/>
        <v>10</v>
      </c>
      <c r="AM9" s="192">
        <f>IF(AND(IF(ISBLANK(K9),EOMONTH(AJ9,AL9*12),K9)&lt;'ECL Calculation'!$B$1,SUM('Input Sheet'!Q9,'Input Sheet'!R9)&gt;0),EOMONTH('ECL Calculation'!$B$1,12*5),IF(ISBLANK(K9),EOMONTH(AJ9,AL9*12),K9))</f>
        <v>32811</v>
      </c>
      <c r="AN9" s="203">
        <f t="shared" si="10"/>
        <v>20700000</v>
      </c>
      <c r="AO9" s="203">
        <f t="shared" si="11"/>
        <v>20700000</v>
      </c>
      <c r="AP9" s="203">
        <f t="shared" si="12"/>
        <v>0</v>
      </c>
      <c r="AQ9" s="126">
        <f>VLOOKUP(U9,'Lookup Table'!$B$2:$C$10,2,0)</f>
        <v>1</v>
      </c>
      <c r="AR9" s="127">
        <f>VLOOKUP(S9,'Lookup Table'!$B$2:$C$9,2,0)</f>
        <v>2</v>
      </c>
      <c r="AS9" s="127">
        <f>VLOOKUP(T9,'Lookup Table'!$B$2:$C$9,2,0)</f>
        <v>2</v>
      </c>
      <c r="AT9" s="136">
        <f t="shared" si="13"/>
        <v>0</v>
      </c>
      <c r="AU9" s="128">
        <f t="shared" si="14"/>
        <v>5.5E-2</v>
      </c>
      <c r="AV9" s="136">
        <f t="shared" si="15"/>
        <v>0</v>
      </c>
      <c r="AW9" s="37" t="str">
        <f t="shared" si="16"/>
        <v>B2</v>
      </c>
      <c r="AX9" s="128">
        <f>VLOOKUP(E9,'Lookup Table'!$B$12:$C$82,2,0)</f>
        <v>4.5999999999999999E-2</v>
      </c>
      <c r="AY9" s="128">
        <f>'Lookup Table'!$E$3</f>
        <v>0.45</v>
      </c>
      <c r="AZ9" s="129" t="str">
        <f t="shared" si="17"/>
        <v>Tunisia</v>
      </c>
      <c r="BA9" s="37">
        <f>VLOOKUP(AA9,'Lookup Table'!$J$3:$K$27,2,0)</f>
        <v>1</v>
      </c>
      <c r="BB9" s="37">
        <f t="shared" si="18"/>
        <v>2</v>
      </c>
      <c r="BC9" s="37">
        <f t="shared" si="19"/>
        <v>1</v>
      </c>
      <c r="BD9" s="37">
        <f>IF(AND(K9&lt;'ECL Calculation'!$B$1,'Input Sheet'!W9="No"),3,IF(X9="Yes",2,1))</f>
        <v>3</v>
      </c>
      <c r="BE9" s="37">
        <f t="shared" si="20"/>
        <v>1</v>
      </c>
      <c r="BF9" s="37" t="str">
        <f t="shared" si="21"/>
        <v>Stage 3</v>
      </c>
      <c r="BG9" s="37" t="str">
        <f t="shared" si="22"/>
        <v>No</v>
      </c>
    </row>
    <row r="10" spans="1:97" x14ac:dyDescent="0.2">
      <c r="A10" s="35">
        <f t="shared" si="23"/>
        <v>8</v>
      </c>
      <c r="B10" s="33">
        <v>1008</v>
      </c>
      <c r="C10" s="33" t="s">
        <v>260</v>
      </c>
      <c r="D10" s="33" t="s">
        <v>806</v>
      </c>
      <c r="E10" s="33" t="s">
        <v>479</v>
      </c>
      <c r="F10" s="33" t="s">
        <v>542</v>
      </c>
      <c r="G10" s="117">
        <v>4</v>
      </c>
      <c r="H10" s="34">
        <v>27381</v>
      </c>
      <c r="I10" s="34">
        <v>27381</v>
      </c>
      <c r="J10" s="34">
        <v>27636</v>
      </c>
      <c r="K10" s="34">
        <v>32719</v>
      </c>
      <c r="L10" s="34">
        <v>28520</v>
      </c>
      <c r="M10" s="34">
        <v>29616</v>
      </c>
      <c r="N10" s="113">
        <v>12</v>
      </c>
      <c r="O10" s="200">
        <v>13500000</v>
      </c>
      <c r="P10" s="200">
        <v>13500000</v>
      </c>
      <c r="Q10" s="200">
        <v>0</v>
      </c>
      <c r="R10" s="201">
        <v>0</v>
      </c>
      <c r="S10" s="33" t="s">
        <v>22</v>
      </c>
      <c r="T10" s="33" t="s">
        <v>22</v>
      </c>
      <c r="U10" s="33" t="s">
        <v>203</v>
      </c>
      <c r="V10" s="33"/>
      <c r="W10" s="33" t="s">
        <v>210</v>
      </c>
      <c r="X10" s="33" t="s">
        <v>210</v>
      </c>
      <c r="Y10" s="33"/>
      <c r="Z10" s="33" t="s">
        <v>209</v>
      </c>
      <c r="AA10" s="35" t="str">
        <f>_xlfn.IFNA(VLOOKUP(E10,'Lookup Table'!$J$33:$K$176,2,0),"B3")</f>
        <v>B2</v>
      </c>
      <c r="AB10" s="35">
        <f>_xlfn.IFNA(VLOOKUP($AA10,'Rating Lookup'!$B$2:$I$27,8,0),15)</f>
        <v>15</v>
      </c>
      <c r="AC10" s="35" t="str">
        <f>_xlfn.IFNA(VLOOKUP(E10,'Lookup Table'!$M$33:$N$173,2,0),"B3")</f>
        <v>Baa3</v>
      </c>
      <c r="AD10" s="35">
        <f>_xlfn.IFNA(VLOOKUP($AC10,'Rating Lookup'!$B$2:$I$27,8,0),15)</f>
        <v>10</v>
      </c>
      <c r="AE10" s="35">
        <f t="shared" si="4"/>
        <v>5</v>
      </c>
      <c r="AG10" s="35" t="str">
        <f t="shared" si="5"/>
        <v>RAILWAYS PASS. WAGONS</v>
      </c>
      <c r="AH10" s="35" t="str">
        <f t="shared" si="6"/>
        <v>Government Loan</v>
      </c>
      <c r="AI10" s="202">
        <f>'ECL Calculation'!$B$1</f>
        <v>43465</v>
      </c>
      <c r="AJ10" s="202">
        <f t="shared" si="7"/>
        <v>28520</v>
      </c>
      <c r="AK10" s="202">
        <f t="shared" si="8"/>
        <v>29616</v>
      </c>
      <c r="AL10" s="127">
        <f t="shared" si="9"/>
        <v>12</v>
      </c>
      <c r="AM10" s="192">
        <f>IF(AND(IF(ISBLANK(K10),EOMONTH(AJ10,AL10*12),K10)&lt;'ECL Calculation'!$B$1,SUM('Input Sheet'!Q10,'Input Sheet'!R10)&gt;0),EOMONTH('ECL Calculation'!$B$1,12*5),IF(ISBLANK(K10),EOMONTH(AJ10,AL10*12),K10))</f>
        <v>32719</v>
      </c>
      <c r="AN10" s="203">
        <f t="shared" si="10"/>
        <v>13500000</v>
      </c>
      <c r="AO10" s="203">
        <f t="shared" si="11"/>
        <v>13500000</v>
      </c>
      <c r="AP10" s="203">
        <f t="shared" si="12"/>
        <v>0</v>
      </c>
      <c r="AQ10" s="126">
        <f>VLOOKUP(U10,'Lookup Table'!$B$2:$C$10,2,0)</f>
        <v>1</v>
      </c>
      <c r="AR10" s="127">
        <f>VLOOKUP(S10,'Lookup Table'!$B$2:$C$9,2,0)</f>
        <v>2</v>
      </c>
      <c r="AS10" s="127">
        <f>VLOOKUP(T10,'Lookup Table'!$B$2:$C$9,2,0)</f>
        <v>2</v>
      </c>
      <c r="AT10" s="136">
        <f t="shared" si="13"/>
        <v>0</v>
      </c>
      <c r="AU10" s="128">
        <f t="shared" si="14"/>
        <v>0.04</v>
      </c>
      <c r="AV10" s="136">
        <f t="shared" si="15"/>
        <v>0</v>
      </c>
      <c r="AW10" s="37" t="str">
        <f t="shared" si="16"/>
        <v>B2</v>
      </c>
      <c r="AX10" s="128">
        <f>VLOOKUP(E10,'Lookup Table'!$B$12:$C$82,2,0)</f>
        <v>4.5999999999999999E-2</v>
      </c>
      <c r="AY10" s="128">
        <f>'Lookup Table'!$E$3</f>
        <v>0.45</v>
      </c>
      <c r="AZ10" s="129" t="str">
        <f t="shared" si="17"/>
        <v>Tunisia</v>
      </c>
      <c r="BA10" s="37">
        <f>VLOOKUP(AA10,'Lookup Table'!$J$3:$K$27,2,0)</f>
        <v>1</v>
      </c>
      <c r="BB10" s="37">
        <f t="shared" si="18"/>
        <v>2</v>
      </c>
      <c r="BC10" s="37">
        <f t="shared" si="19"/>
        <v>1</v>
      </c>
      <c r="BD10" s="37">
        <f>IF(AND(K10&lt;'ECL Calculation'!$B$1,'Input Sheet'!W10="No"),3,IF(X10="Yes",2,1))</f>
        <v>3</v>
      </c>
      <c r="BE10" s="37">
        <f t="shared" si="20"/>
        <v>1</v>
      </c>
      <c r="BF10" s="37" t="str">
        <f t="shared" si="21"/>
        <v>Stage 3</v>
      </c>
      <c r="BG10" s="37" t="str">
        <f t="shared" si="22"/>
        <v>No</v>
      </c>
    </row>
    <row r="11" spans="1:97" x14ac:dyDescent="0.2">
      <c r="A11" s="35">
        <f t="shared" si="23"/>
        <v>9</v>
      </c>
      <c r="B11" s="33">
        <v>1009</v>
      </c>
      <c r="C11" s="33" t="s">
        <v>261</v>
      </c>
      <c r="D11" s="33" t="s">
        <v>806</v>
      </c>
      <c r="E11" s="33" t="s">
        <v>479</v>
      </c>
      <c r="F11" s="33" t="s">
        <v>542</v>
      </c>
      <c r="G11" s="117">
        <v>5.5</v>
      </c>
      <c r="H11" s="34">
        <v>27394</v>
      </c>
      <c r="I11" s="34">
        <v>27624</v>
      </c>
      <c r="J11" s="34">
        <v>27624</v>
      </c>
      <c r="K11" s="34">
        <v>31807</v>
      </c>
      <c r="L11" s="34">
        <v>28520</v>
      </c>
      <c r="M11" s="34">
        <v>29616</v>
      </c>
      <c r="N11" s="113">
        <v>9</v>
      </c>
      <c r="O11" s="200">
        <v>5506679.4299999997</v>
      </c>
      <c r="P11" s="200">
        <v>5506679.4299999997</v>
      </c>
      <c r="Q11" s="200">
        <v>0</v>
      </c>
      <c r="R11" s="201">
        <v>0</v>
      </c>
      <c r="S11" s="33" t="s">
        <v>22</v>
      </c>
      <c r="T11" s="33" t="s">
        <v>22</v>
      </c>
      <c r="U11" s="33" t="s">
        <v>203</v>
      </c>
      <c r="V11" s="33"/>
      <c r="W11" s="33" t="s">
        <v>210</v>
      </c>
      <c r="X11" s="33" t="s">
        <v>210</v>
      </c>
      <c r="Y11" s="33"/>
      <c r="Z11" s="33" t="s">
        <v>209</v>
      </c>
      <c r="AA11" s="35" t="str">
        <f>_xlfn.IFNA(VLOOKUP(E11,'Lookup Table'!$J$33:$K$176,2,0),"B3")</f>
        <v>B2</v>
      </c>
      <c r="AB11" s="35">
        <f>_xlfn.IFNA(VLOOKUP($AA11,'Rating Lookup'!$B$2:$I$27,8,0),15)</f>
        <v>15</v>
      </c>
      <c r="AC11" s="35" t="str">
        <f>_xlfn.IFNA(VLOOKUP(E11,'Lookup Table'!$M$33:$N$173,2,0),"B3")</f>
        <v>Baa3</v>
      </c>
      <c r="AD11" s="35">
        <f>_xlfn.IFNA(VLOOKUP($AC11,'Rating Lookup'!$B$2:$I$27,8,0),15)</f>
        <v>10</v>
      </c>
      <c r="AE11" s="35">
        <f t="shared" si="4"/>
        <v>5</v>
      </c>
      <c r="AG11" s="35" t="str">
        <f t="shared" si="5"/>
        <v>EMBALLAGES METALIQUES</v>
      </c>
      <c r="AH11" s="35" t="str">
        <f t="shared" si="6"/>
        <v>Government Loan</v>
      </c>
      <c r="AI11" s="202">
        <f>'ECL Calculation'!$B$1</f>
        <v>43465</v>
      </c>
      <c r="AJ11" s="202">
        <f t="shared" si="7"/>
        <v>28520</v>
      </c>
      <c r="AK11" s="202">
        <f t="shared" si="8"/>
        <v>29616</v>
      </c>
      <c r="AL11" s="127">
        <f t="shared" si="9"/>
        <v>9</v>
      </c>
      <c r="AM11" s="192">
        <f>IF(AND(IF(ISBLANK(K11),EOMONTH(AJ11,AL11*12),K11)&lt;'ECL Calculation'!$B$1,SUM('Input Sheet'!Q11,'Input Sheet'!R11)&gt;0),EOMONTH('ECL Calculation'!$B$1,12*5),IF(ISBLANK(K11),EOMONTH(AJ11,AL11*12),K11))</f>
        <v>31807</v>
      </c>
      <c r="AN11" s="203">
        <f t="shared" si="10"/>
        <v>5506679.4299999997</v>
      </c>
      <c r="AO11" s="203">
        <f t="shared" si="11"/>
        <v>5506679.4299999997</v>
      </c>
      <c r="AP11" s="203">
        <f t="shared" si="12"/>
        <v>0</v>
      </c>
      <c r="AQ11" s="126">
        <f>VLOOKUP(U11,'Lookup Table'!$B$2:$C$10,2,0)</f>
        <v>1</v>
      </c>
      <c r="AR11" s="127">
        <f>VLOOKUP(S11,'Lookup Table'!$B$2:$C$9,2,0)</f>
        <v>2</v>
      </c>
      <c r="AS11" s="127">
        <f>VLOOKUP(T11,'Lookup Table'!$B$2:$C$9,2,0)</f>
        <v>2</v>
      </c>
      <c r="AT11" s="136">
        <f t="shared" si="13"/>
        <v>0</v>
      </c>
      <c r="AU11" s="128">
        <f t="shared" si="14"/>
        <v>5.5E-2</v>
      </c>
      <c r="AV11" s="136">
        <f t="shared" si="15"/>
        <v>0</v>
      </c>
      <c r="AW11" s="37" t="str">
        <f t="shared" si="16"/>
        <v>B2</v>
      </c>
      <c r="AX11" s="128">
        <f>VLOOKUP(E11,'Lookup Table'!$B$12:$C$82,2,0)</f>
        <v>4.5999999999999999E-2</v>
      </c>
      <c r="AY11" s="128">
        <f>'Lookup Table'!$E$3</f>
        <v>0.45</v>
      </c>
      <c r="AZ11" s="129" t="str">
        <f t="shared" si="17"/>
        <v>Tunisia</v>
      </c>
      <c r="BA11" s="37">
        <f>VLOOKUP(AA11,'Lookup Table'!$J$3:$K$27,2,0)</f>
        <v>1</v>
      </c>
      <c r="BB11" s="37">
        <f t="shared" si="18"/>
        <v>2</v>
      </c>
      <c r="BC11" s="37">
        <f t="shared" si="19"/>
        <v>1</v>
      </c>
      <c r="BD11" s="37">
        <f>IF(AND(K11&lt;'ECL Calculation'!$B$1,'Input Sheet'!W11="No"),3,IF(X11="Yes",2,1))</f>
        <v>3</v>
      </c>
      <c r="BE11" s="37">
        <f t="shared" si="20"/>
        <v>1</v>
      </c>
      <c r="BF11" s="37" t="str">
        <f t="shared" si="21"/>
        <v>Stage 3</v>
      </c>
      <c r="BG11" s="37" t="str">
        <f t="shared" si="22"/>
        <v>No</v>
      </c>
    </row>
    <row r="12" spans="1:97" x14ac:dyDescent="0.2">
      <c r="A12" s="35">
        <f t="shared" si="23"/>
        <v>10</v>
      </c>
      <c r="B12" s="33">
        <v>1010</v>
      </c>
      <c r="C12" s="33" t="s">
        <v>262</v>
      </c>
      <c r="D12" s="33" t="s">
        <v>806</v>
      </c>
      <c r="E12" s="33" t="s">
        <v>478</v>
      </c>
      <c r="F12" s="33" t="s">
        <v>542</v>
      </c>
      <c r="G12" s="117">
        <v>3.5</v>
      </c>
      <c r="H12" s="34">
        <v>27687</v>
      </c>
      <c r="I12" s="34">
        <v>27895</v>
      </c>
      <c r="J12" s="34">
        <v>27895</v>
      </c>
      <c r="K12" s="34">
        <v>35884</v>
      </c>
      <c r="L12" s="34">
        <v>30589</v>
      </c>
      <c r="M12" s="34">
        <v>29675</v>
      </c>
      <c r="N12" s="113">
        <v>15</v>
      </c>
      <c r="O12" s="200">
        <v>39845190.630000003</v>
      </c>
      <c r="P12" s="200">
        <v>39845190.630000003</v>
      </c>
      <c r="Q12" s="200">
        <v>15845196.630000001</v>
      </c>
      <c r="R12" s="201">
        <v>14835843.76</v>
      </c>
      <c r="S12" s="33" t="s">
        <v>22</v>
      </c>
      <c r="T12" s="33" t="s">
        <v>22</v>
      </c>
      <c r="U12" s="33" t="s">
        <v>203</v>
      </c>
      <c r="V12" s="33"/>
      <c r="W12" s="33" t="s">
        <v>210</v>
      </c>
      <c r="X12" s="33" t="s">
        <v>209</v>
      </c>
      <c r="Y12" s="33" t="s">
        <v>209</v>
      </c>
      <c r="Z12" s="33" t="s">
        <v>209</v>
      </c>
      <c r="AA12" s="35" t="str">
        <f>_xlfn.IFNA(VLOOKUP(E12,'Lookup Table'!$J$33:$K$176,2,0),"B3")</f>
        <v>B3</v>
      </c>
      <c r="AB12" s="35">
        <f>_xlfn.IFNA(VLOOKUP($AA12,'Rating Lookup'!$B$2:$I$27,8,0),15)</f>
        <v>16</v>
      </c>
      <c r="AC12" s="35" t="str">
        <f>_xlfn.IFNA(VLOOKUP(E12,'Lookup Table'!$M$33:$N$173,2,0),"B3")</f>
        <v>B3</v>
      </c>
      <c r="AD12" s="35">
        <f>_xlfn.IFNA(VLOOKUP($AC12,'Rating Lookup'!$B$2:$I$27,8,0),15)</f>
        <v>16</v>
      </c>
      <c r="AE12" s="35">
        <f t="shared" si="4"/>
        <v>0</v>
      </c>
      <c r="AG12" s="35" t="str">
        <f t="shared" si="5"/>
        <v>SOUTH. UPLAND R.DEVE. (1)</v>
      </c>
      <c r="AH12" s="35" t="str">
        <f t="shared" si="6"/>
        <v>Government Loan</v>
      </c>
      <c r="AI12" s="202">
        <f>'ECL Calculation'!$B$1</f>
        <v>43465</v>
      </c>
      <c r="AJ12" s="202">
        <f t="shared" si="7"/>
        <v>30589</v>
      </c>
      <c r="AK12" s="202">
        <f t="shared" si="8"/>
        <v>29675</v>
      </c>
      <c r="AL12" s="127">
        <f t="shared" si="9"/>
        <v>15</v>
      </c>
      <c r="AM12" s="192">
        <f>IF(AND(IF(ISBLANK(K12),EOMONTH(AJ12,AL12*12),K12)&lt;'ECL Calculation'!$B$1,SUM('Input Sheet'!Q12,'Input Sheet'!R12)&gt;0),EOMONTH('ECL Calculation'!$B$1,12*5),IF(ISBLANK(K12),EOMONTH(AJ12,AL12*12),K12))</f>
        <v>45291</v>
      </c>
      <c r="AN12" s="203">
        <f t="shared" si="10"/>
        <v>39845190.630000003</v>
      </c>
      <c r="AO12" s="203">
        <f t="shared" si="11"/>
        <v>39845190.630000003</v>
      </c>
      <c r="AP12" s="203">
        <f t="shared" si="12"/>
        <v>0</v>
      </c>
      <c r="AQ12" s="126">
        <f>VLOOKUP(U12,'Lookup Table'!$B$2:$C$10,2,0)</f>
        <v>1</v>
      </c>
      <c r="AR12" s="127">
        <f>VLOOKUP(S12,'Lookup Table'!$B$2:$C$9,2,0)</f>
        <v>2</v>
      </c>
      <c r="AS12" s="127">
        <f>VLOOKUP(T12,'Lookup Table'!$B$2:$C$9,2,0)</f>
        <v>2</v>
      </c>
      <c r="AT12" s="136">
        <f t="shared" si="13"/>
        <v>15845196.630000001</v>
      </c>
      <c r="AU12" s="128">
        <f t="shared" si="14"/>
        <v>3.5000000000000003E-2</v>
      </c>
      <c r="AV12" s="136">
        <f t="shared" si="15"/>
        <v>14835843.76</v>
      </c>
      <c r="AW12" s="37" t="str">
        <f t="shared" si="16"/>
        <v>B3</v>
      </c>
      <c r="AX12" s="128">
        <f>VLOOKUP(E12,'Lookup Table'!$B$12:$C$82,2,0)</f>
        <v>3.3636363636363638E-2</v>
      </c>
      <c r="AY12" s="128">
        <f>'Lookup Table'!$E$3</f>
        <v>0.45</v>
      </c>
      <c r="AZ12" s="129" t="str">
        <f t="shared" si="17"/>
        <v>Yemen</v>
      </c>
      <c r="BA12" s="37">
        <f>VLOOKUP(AA12,'Lookup Table'!$J$3:$K$27,2,0)</f>
        <v>1</v>
      </c>
      <c r="BB12" s="37">
        <f t="shared" si="18"/>
        <v>1</v>
      </c>
      <c r="BC12" s="37">
        <f t="shared" si="19"/>
        <v>1</v>
      </c>
      <c r="BD12" s="37">
        <f>IF(AND(K12&lt;'ECL Calculation'!$B$1,'Input Sheet'!W12="No"),3,IF(X12="Yes",2,1))</f>
        <v>3</v>
      </c>
      <c r="BE12" s="37">
        <f t="shared" si="20"/>
        <v>3</v>
      </c>
      <c r="BF12" s="37" t="str">
        <f t="shared" si="21"/>
        <v>Stage 3</v>
      </c>
      <c r="BG12" s="37" t="str">
        <f t="shared" si="22"/>
        <v>Yes</v>
      </c>
    </row>
    <row r="13" spans="1:97" x14ac:dyDescent="0.2">
      <c r="A13" s="35">
        <f t="shared" si="23"/>
        <v>11</v>
      </c>
      <c r="B13" s="33">
        <v>1011</v>
      </c>
      <c r="C13" s="33" t="s">
        <v>263</v>
      </c>
      <c r="D13" s="33" t="s">
        <v>806</v>
      </c>
      <c r="E13" s="33" t="s">
        <v>231</v>
      </c>
      <c r="F13" s="33" t="s">
        <v>542</v>
      </c>
      <c r="G13" s="117">
        <v>4</v>
      </c>
      <c r="H13" s="34">
        <v>27695</v>
      </c>
      <c r="I13" s="34">
        <v>27485</v>
      </c>
      <c r="J13" s="34">
        <v>27790</v>
      </c>
      <c r="K13" s="34">
        <v>35018</v>
      </c>
      <c r="L13" s="34">
        <v>29721</v>
      </c>
      <c r="M13" s="34">
        <v>29720</v>
      </c>
      <c r="N13" s="113">
        <v>15</v>
      </c>
      <c r="O13" s="200">
        <v>127907318.37</v>
      </c>
      <c r="P13" s="200">
        <v>127907318.37</v>
      </c>
      <c r="Q13" s="200">
        <v>0</v>
      </c>
      <c r="R13" s="201">
        <v>0</v>
      </c>
      <c r="S13" s="33" t="s">
        <v>22</v>
      </c>
      <c r="T13" s="33" t="s">
        <v>22</v>
      </c>
      <c r="U13" s="33" t="s">
        <v>203</v>
      </c>
      <c r="V13" s="33"/>
      <c r="W13" s="33" t="s">
        <v>210</v>
      </c>
      <c r="X13" s="33" t="s">
        <v>210</v>
      </c>
      <c r="Y13" s="33"/>
      <c r="Z13" s="33" t="s">
        <v>209</v>
      </c>
      <c r="AA13" s="35" t="str">
        <f>_xlfn.IFNA(VLOOKUP(E13,'Lookup Table'!$J$33:$K$176,2,0),"B3")</f>
        <v>B2</v>
      </c>
      <c r="AB13" s="35">
        <f>_xlfn.IFNA(VLOOKUP($AA13,'Rating Lookup'!$B$2:$I$27,8,0),15)</f>
        <v>15</v>
      </c>
      <c r="AC13" s="35" t="str">
        <f>_xlfn.IFNA(VLOOKUP(E13,'Lookup Table'!$M$33:$N$173,2,0),"B3")</f>
        <v>B2</v>
      </c>
      <c r="AD13" s="35">
        <f>_xlfn.IFNA(VLOOKUP($AC13,'Rating Lookup'!$B$2:$I$27,8,0),15)</f>
        <v>15</v>
      </c>
      <c r="AE13" s="35">
        <f t="shared" si="4"/>
        <v>0</v>
      </c>
      <c r="AG13" s="35" t="str">
        <f t="shared" si="5"/>
        <v>ABI QAIR ELECTRICITY</v>
      </c>
      <c r="AH13" s="35" t="str">
        <f t="shared" si="6"/>
        <v>Government Loan</v>
      </c>
      <c r="AI13" s="202">
        <f>'ECL Calculation'!$B$1</f>
        <v>43465</v>
      </c>
      <c r="AJ13" s="202">
        <f t="shared" si="7"/>
        <v>29721</v>
      </c>
      <c r="AK13" s="202">
        <f t="shared" si="8"/>
        <v>29720</v>
      </c>
      <c r="AL13" s="127">
        <f t="shared" si="9"/>
        <v>15</v>
      </c>
      <c r="AM13" s="192">
        <f>IF(AND(IF(ISBLANK(K13),EOMONTH(AJ13,AL13*12),K13)&lt;'ECL Calculation'!$B$1,SUM('Input Sheet'!Q13,'Input Sheet'!R13)&gt;0),EOMONTH('ECL Calculation'!$B$1,12*5),IF(ISBLANK(K13),EOMONTH(AJ13,AL13*12),K13))</f>
        <v>35018</v>
      </c>
      <c r="AN13" s="203">
        <f t="shared" si="10"/>
        <v>127907318.37</v>
      </c>
      <c r="AO13" s="203">
        <f t="shared" si="11"/>
        <v>127907318.37</v>
      </c>
      <c r="AP13" s="203">
        <f t="shared" si="12"/>
        <v>0</v>
      </c>
      <c r="AQ13" s="126">
        <f>VLOOKUP(U13,'Lookup Table'!$B$2:$C$10,2,0)</f>
        <v>1</v>
      </c>
      <c r="AR13" s="127">
        <f>VLOOKUP(S13,'Lookup Table'!$B$2:$C$9,2,0)</f>
        <v>2</v>
      </c>
      <c r="AS13" s="127">
        <f>VLOOKUP(T13,'Lookup Table'!$B$2:$C$9,2,0)</f>
        <v>2</v>
      </c>
      <c r="AT13" s="136">
        <f t="shared" si="13"/>
        <v>0</v>
      </c>
      <c r="AU13" s="128">
        <f t="shared" si="14"/>
        <v>0.04</v>
      </c>
      <c r="AV13" s="136">
        <f t="shared" si="15"/>
        <v>0</v>
      </c>
      <c r="AW13" s="37" t="str">
        <f t="shared" si="16"/>
        <v>B2</v>
      </c>
      <c r="AX13" s="128">
        <f>VLOOKUP(E13,'Lookup Table'!$B$12:$C$82,2,0)</f>
        <v>2.8999999999999998E-2</v>
      </c>
      <c r="AY13" s="128">
        <f>'Lookup Table'!$E$3</f>
        <v>0.45</v>
      </c>
      <c r="AZ13" s="129" t="str">
        <f t="shared" si="17"/>
        <v>Egypt</v>
      </c>
      <c r="BA13" s="37">
        <f>VLOOKUP(AA13,'Lookup Table'!$J$3:$K$27,2,0)</f>
        <v>1</v>
      </c>
      <c r="BB13" s="37">
        <f t="shared" si="18"/>
        <v>1</v>
      </c>
      <c r="BC13" s="37">
        <f t="shared" si="19"/>
        <v>1</v>
      </c>
      <c r="BD13" s="37">
        <f>IF(AND(K13&lt;'ECL Calculation'!$B$1,'Input Sheet'!W13="No"),3,IF(X13="Yes",2,1))</f>
        <v>3</v>
      </c>
      <c r="BE13" s="37">
        <f t="shared" si="20"/>
        <v>1</v>
      </c>
      <c r="BF13" s="37" t="str">
        <f t="shared" si="21"/>
        <v>Stage 3</v>
      </c>
      <c r="BG13" s="37" t="str">
        <f t="shared" si="22"/>
        <v>No</v>
      </c>
    </row>
    <row r="14" spans="1:97" x14ac:dyDescent="0.2">
      <c r="A14" s="35">
        <f t="shared" si="23"/>
        <v>12</v>
      </c>
      <c r="B14" s="33">
        <v>1012</v>
      </c>
      <c r="C14" s="33" t="s">
        <v>264</v>
      </c>
      <c r="D14" s="33" t="s">
        <v>806</v>
      </c>
      <c r="E14" s="33" t="s">
        <v>477</v>
      </c>
      <c r="F14" s="33" t="s">
        <v>542</v>
      </c>
      <c r="G14" s="117">
        <v>3.5</v>
      </c>
      <c r="H14" s="34">
        <v>27442</v>
      </c>
      <c r="I14" s="34">
        <v>27442</v>
      </c>
      <c r="J14" s="34">
        <v>27476</v>
      </c>
      <c r="K14" s="34">
        <v>34029</v>
      </c>
      <c r="L14" s="34">
        <v>28734</v>
      </c>
      <c r="M14" s="34">
        <v>29646</v>
      </c>
      <c r="N14" s="113">
        <v>15</v>
      </c>
      <c r="O14" s="200">
        <v>5000000</v>
      </c>
      <c r="P14" s="200">
        <v>5000000</v>
      </c>
      <c r="Q14" s="200">
        <v>0</v>
      </c>
      <c r="R14" s="201">
        <v>0</v>
      </c>
      <c r="S14" s="33" t="s">
        <v>22</v>
      </c>
      <c r="T14" s="33" t="s">
        <v>22</v>
      </c>
      <c r="U14" s="33" t="s">
        <v>203</v>
      </c>
      <c r="V14" s="33"/>
      <c r="W14" s="33" t="s">
        <v>210</v>
      </c>
      <c r="X14" s="33" t="s">
        <v>210</v>
      </c>
      <c r="Y14" s="33"/>
      <c r="Z14" s="33" t="s">
        <v>209</v>
      </c>
      <c r="AA14" s="35" t="str">
        <f>_xlfn.IFNA(VLOOKUP(E14,'Lookup Table'!$J$33:$K$176,2,0),"B3")</f>
        <v>B1</v>
      </c>
      <c r="AB14" s="35">
        <f>_xlfn.IFNA(VLOOKUP($AA14,'Rating Lookup'!$B$2:$I$27,8,0),15)</f>
        <v>14</v>
      </c>
      <c r="AC14" s="35" t="str">
        <f>_xlfn.IFNA(VLOOKUP(E14,'Lookup Table'!$M$33:$N$173,2,0),"B3")</f>
        <v>Ba2</v>
      </c>
      <c r="AD14" s="35">
        <f>_xlfn.IFNA(VLOOKUP($AC14,'Rating Lookup'!$B$2:$I$27,8,0),15)</f>
        <v>12</v>
      </c>
      <c r="AE14" s="35">
        <f t="shared" si="4"/>
        <v>2</v>
      </c>
      <c r="AG14" s="35" t="str">
        <f t="shared" si="5"/>
        <v>AZRAQ SAUDI BORDERS ROAD</v>
      </c>
      <c r="AH14" s="35" t="str">
        <f t="shared" si="6"/>
        <v>Government Loan</v>
      </c>
      <c r="AI14" s="202">
        <f>'ECL Calculation'!$B$1</f>
        <v>43465</v>
      </c>
      <c r="AJ14" s="202">
        <f t="shared" si="7"/>
        <v>28734</v>
      </c>
      <c r="AK14" s="202">
        <f t="shared" si="8"/>
        <v>29646</v>
      </c>
      <c r="AL14" s="127">
        <f t="shared" si="9"/>
        <v>15</v>
      </c>
      <c r="AM14" s="192">
        <f>IF(AND(IF(ISBLANK(K14),EOMONTH(AJ14,AL14*12),K14)&lt;'ECL Calculation'!$B$1,SUM('Input Sheet'!Q14,'Input Sheet'!R14)&gt;0),EOMONTH('ECL Calculation'!$B$1,12*5),IF(ISBLANK(K14),EOMONTH(AJ14,AL14*12),K14))</f>
        <v>34029</v>
      </c>
      <c r="AN14" s="203">
        <f t="shared" si="10"/>
        <v>5000000</v>
      </c>
      <c r="AO14" s="203">
        <f t="shared" si="11"/>
        <v>5000000</v>
      </c>
      <c r="AP14" s="203">
        <f t="shared" si="12"/>
        <v>0</v>
      </c>
      <c r="AQ14" s="126">
        <f>VLOOKUP(U14,'Lookup Table'!$B$2:$C$10,2,0)</f>
        <v>1</v>
      </c>
      <c r="AR14" s="127">
        <f>VLOOKUP(S14,'Lookup Table'!$B$2:$C$9,2,0)</f>
        <v>2</v>
      </c>
      <c r="AS14" s="127">
        <f>VLOOKUP(T14,'Lookup Table'!$B$2:$C$9,2,0)</f>
        <v>2</v>
      </c>
      <c r="AT14" s="136">
        <f t="shared" si="13"/>
        <v>0</v>
      </c>
      <c r="AU14" s="128">
        <f t="shared" si="14"/>
        <v>3.5000000000000003E-2</v>
      </c>
      <c r="AV14" s="136">
        <f t="shared" si="15"/>
        <v>0</v>
      </c>
      <c r="AW14" s="37" t="str">
        <f t="shared" si="16"/>
        <v>B1</v>
      </c>
      <c r="AX14" s="128">
        <f>VLOOKUP(E14,'Lookup Table'!$B$12:$C$82,2,0)</f>
        <v>3.5909090909090911E-2</v>
      </c>
      <c r="AY14" s="128">
        <f>'Lookup Table'!$E$3</f>
        <v>0.45</v>
      </c>
      <c r="AZ14" s="129" t="str">
        <f t="shared" si="17"/>
        <v>Jordan</v>
      </c>
      <c r="BA14" s="37">
        <f>VLOOKUP(AA14,'Lookup Table'!$J$3:$K$27,2,0)</f>
        <v>1</v>
      </c>
      <c r="BB14" s="37">
        <f t="shared" si="18"/>
        <v>2</v>
      </c>
      <c r="BC14" s="37">
        <f t="shared" si="19"/>
        <v>1</v>
      </c>
      <c r="BD14" s="37">
        <f>IF(AND(K14&lt;'ECL Calculation'!$B$1,'Input Sheet'!W14="No"),3,IF(X14="Yes",2,1))</f>
        <v>3</v>
      </c>
      <c r="BE14" s="37">
        <f t="shared" si="20"/>
        <v>1</v>
      </c>
      <c r="BF14" s="37" t="str">
        <f t="shared" si="21"/>
        <v>Stage 3</v>
      </c>
      <c r="BG14" s="37" t="str">
        <f t="shared" si="22"/>
        <v>No</v>
      </c>
    </row>
    <row r="15" spans="1:97" x14ac:dyDescent="0.2">
      <c r="A15" s="35">
        <f t="shared" si="23"/>
        <v>13</v>
      </c>
      <c r="B15" s="33">
        <v>1013</v>
      </c>
      <c r="C15" s="33" t="s">
        <v>265</v>
      </c>
      <c r="D15" s="33" t="s">
        <v>806</v>
      </c>
      <c r="E15" s="33" t="s">
        <v>480</v>
      </c>
      <c r="F15" s="33" t="s">
        <v>542</v>
      </c>
      <c r="G15" s="117">
        <v>3</v>
      </c>
      <c r="H15" s="34">
        <v>27787</v>
      </c>
      <c r="I15" s="34">
        <v>27787</v>
      </c>
      <c r="J15" s="34">
        <v>28168</v>
      </c>
      <c r="K15" s="34">
        <v>36098</v>
      </c>
      <c r="L15" s="34">
        <v>30802</v>
      </c>
      <c r="M15" s="34">
        <v>29675</v>
      </c>
      <c r="N15" s="113">
        <v>15</v>
      </c>
      <c r="O15" s="200">
        <v>40000000</v>
      </c>
      <c r="P15" s="200">
        <v>40000000</v>
      </c>
      <c r="Q15" s="200">
        <v>0</v>
      </c>
      <c r="R15" s="201">
        <v>0</v>
      </c>
      <c r="S15" s="33" t="s">
        <v>22</v>
      </c>
      <c r="T15" s="33" t="s">
        <v>22</v>
      </c>
      <c r="U15" s="33" t="s">
        <v>203</v>
      </c>
      <c r="V15" s="33"/>
      <c r="W15" s="33" t="s">
        <v>210</v>
      </c>
      <c r="X15" s="33" t="s">
        <v>210</v>
      </c>
      <c r="Y15" s="33"/>
      <c r="Z15" s="33" t="s">
        <v>209</v>
      </c>
      <c r="AA15" s="35" t="str">
        <f>_xlfn.IFNA(VLOOKUP(E15,'Lookup Table'!$J$33:$K$176,2,0),"B3")</f>
        <v>Ba1</v>
      </c>
      <c r="AB15" s="35">
        <f>_xlfn.IFNA(VLOOKUP($AA15,'Rating Lookup'!$B$2:$I$27,8,0),15)</f>
        <v>11</v>
      </c>
      <c r="AC15" s="35" t="str">
        <f>_xlfn.IFNA(VLOOKUP(E15,'Lookup Table'!$M$33:$N$173,2,0),"B3")</f>
        <v>Ba1</v>
      </c>
      <c r="AD15" s="35">
        <f>_xlfn.IFNA(VLOOKUP($AC15,'Rating Lookup'!$B$2:$I$27,8,0),15)</f>
        <v>11</v>
      </c>
      <c r="AE15" s="35">
        <f t="shared" si="4"/>
        <v>0</v>
      </c>
      <c r="AG15" s="35" t="str">
        <f t="shared" si="5"/>
        <v>RESIDENTIAL BUIDLING</v>
      </c>
      <c r="AH15" s="35" t="str">
        <f t="shared" si="6"/>
        <v>Government Loan</v>
      </c>
      <c r="AI15" s="202">
        <f>'ECL Calculation'!$B$1</f>
        <v>43465</v>
      </c>
      <c r="AJ15" s="202">
        <f t="shared" si="7"/>
        <v>30802</v>
      </c>
      <c r="AK15" s="202">
        <f t="shared" si="8"/>
        <v>29675</v>
      </c>
      <c r="AL15" s="127">
        <f t="shared" si="9"/>
        <v>15</v>
      </c>
      <c r="AM15" s="192">
        <f>IF(AND(IF(ISBLANK(K15),EOMONTH(AJ15,AL15*12),K15)&lt;'ECL Calculation'!$B$1,SUM('Input Sheet'!Q15,'Input Sheet'!R15)&gt;0),EOMONTH('ECL Calculation'!$B$1,12*5),IF(ISBLANK(K15),EOMONTH(AJ15,AL15*12),K15))</f>
        <v>36098</v>
      </c>
      <c r="AN15" s="203">
        <f t="shared" si="10"/>
        <v>40000000</v>
      </c>
      <c r="AO15" s="203">
        <f t="shared" si="11"/>
        <v>40000000</v>
      </c>
      <c r="AP15" s="203">
        <f t="shared" si="12"/>
        <v>0</v>
      </c>
      <c r="AQ15" s="126">
        <f>VLOOKUP(U15,'Lookup Table'!$B$2:$C$10,2,0)</f>
        <v>1</v>
      </c>
      <c r="AR15" s="127">
        <f>VLOOKUP(S15,'Lookup Table'!$B$2:$C$9,2,0)</f>
        <v>2</v>
      </c>
      <c r="AS15" s="127">
        <f>VLOOKUP(T15,'Lookup Table'!$B$2:$C$9,2,0)</f>
        <v>2</v>
      </c>
      <c r="AT15" s="136">
        <f t="shared" si="13"/>
        <v>0</v>
      </c>
      <c r="AU15" s="128">
        <f t="shared" si="14"/>
        <v>0.03</v>
      </c>
      <c r="AV15" s="136">
        <f t="shared" si="15"/>
        <v>0</v>
      </c>
      <c r="AW15" s="37" t="str">
        <f t="shared" si="16"/>
        <v>Ba1</v>
      </c>
      <c r="AX15" s="128">
        <f>VLOOKUP(E15,'Lookup Table'!$B$12:$C$82,2,0)</f>
        <v>3.1662499999999996E-2</v>
      </c>
      <c r="AY15" s="128">
        <f>'Lookup Table'!$E$3</f>
        <v>0.45</v>
      </c>
      <c r="AZ15" s="129" t="str">
        <f t="shared" si="17"/>
        <v>Morocco</v>
      </c>
      <c r="BA15" s="37">
        <f>VLOOKUP(AA15,'Lookup Table'!$J$3:$K$27,2,0)</f>
        <v>1</v>
      </c>
      <c r="BB15" s="37">
        <f t="shared" si="18"/>
        <v>1</v>
      </c>
      <c r="BC15" s="37">
        <f t="shared" si="19"/>
        <v>1</v>
      </c>
      <c r="BD15" s="37">
        <f>IF(AND(K15&lt;'ECL Calculation'!$B$1,'Input Sheet'!W15="No"),3,IF(X15="Yes",2,1))</f>
        <v>3</v>
      </c>
      <c r="BE15" s="37">
        <f t="shared" si="20"/>
        <v>1</v>
      </c>
      <c r="BF15" s="37" t="str">
        <f t="shared" si="21"/>
        <v>Stage 3</v>
      </c>
      <c r="BG15" s="37" t="str">
        <f t="shared" si="22"/>
        <v>No</v>
      </c>
    </row>
    <row r="16" spans="1:97" x14ac:dyDescent="0.2">
      <c r="A16" s="35">
        <f t="shared" si="23"/>
        <v>14</v>
      </c>
      <c r="B16" s="33">
        <v>1014</v>
      </c>
      <c r="C16" s="33" t="s">
        <v>266</v>
      </c>
      <c r="D16" s="33" t="s">
        <v>806</v>
      </c>
      <c r="E16" s="33" t="s">
        <v>19</v>
      </c>
      <c r="F16" s="33" t="s">
        <v>542</v>
      </c>
      <c r="G16" s="117">
        <v>5</v>
      </c>
      <c r="H16" s="34">
        <v>27801</v>
      </c>
      <c r="I16" s="34">
        <v>27515</v>
      </c>
      <c r="J16" s="34">
        <v>27868</v>
      </c>
      <c r="K16" s="34">
        <v>34454</v>
      </c>
      <c r="L16" s="34">
        <v>29341</v>
      </c>
      <c r="M16" s="34">
        <v>30436</v>
      </c>
      <c r="N16" s="113">
        <v>14</v>
      </c>
      <c r="O16" s="200">
        <v>60000000</v>
      </c>
      <c r="P16" s="200">
        <v>60000000</v>
      </c>
      <c r="Q16" s="200">
        <v>0</v>
      </c>
      <c r="R16" s="201">
        <v>0</v>
      </c>
      <c r="S16" s="33" t="s">
        <v>22</v>
      </c>
      <c r="T16" s="33" t="s">
        <v>22</v>
      </c>
      <c r="U16" s="33" t="s">
        <v>203</v>
      </c>
      <c r="V16" s="33"/>
      <c r="W16" s="33" t="s">
        <v>210</v>
      </c>
      <c r="X16" s="33" t="s">
        <v>210</v>
      </c>
      <c r="Y16" s="33"/>
      <c r="Z16" s="33" t="s">
        <v>209</v>
      </c>
      <c r="AA16" s="35" t="str">
        <f>_xlfn.IFNA(VLOOKUP(E16,'Lookup Table'!$J$33:$K$176,2,0),"B3")</f>
        <v>B2</v>
      </c>
      <c r="AB16" s="35">
        <f>_xlfn.IFNA(VLOOKUP($AA16,'Rating Lookup'!$B$2:$I$27,8,0),15)</f>
        <v>15</v>
      </c>
      <c r="AC16" s="35" t="str">
        <f>_xlfn.IFNA(VLOOKUP(E16,'Lookup Table'!$M$33:$N$173,2,0),"B3")</f>
        <v>Baa1</v>
      </c>
      <c r="AD16" s="35">
        <f>_xlfn.IFNA(VLOOKUP($AC16,'Rating Lookup'!$B$2:$I$27,8,0),15)</f>
        <v>8</v>
      </c>
      <c r="AE16" s="35">
        <f t="shared" si="4"/>
        <v>7</v>
      </c>
      <c r="AG16" s="35" t="str">
        <f t="shared" si="5"/>
        <v>SMALL SCALE INDUSSTRIES</v>
      </c>
      <c r="AH16" s="35" t="str">
        <f t="shared" si="6"/>
        <v>Government Loan</v>
      </c>
      <c r="AI16" s="202">
        <f>'ECL Calculation'!$B$1</f>
        <v>43465</v>
      </c>
      <c r="AJ16" s="202">
        <f t="shared" si="7"/>
        <v>29341</v>
      </c>
      <c r="AK16" s="202">
        <f t="shared" si="8"/>
        <v>30436</v>
      </c>
      <c r="AL16" s="127">
        <f t="shared" si="9"/>
        <v>14</v>
      </c>
      <c r="AM16" s="192">
        <f>IF(AND(IF(ISBLANK(K16),EOMONTH(AJ16,AL16*12),K16)&lt;'ECL Calculation'!$B$1,SUM('Input Sheet'!Q16,'Input Sheet'!R16)&gt;0),EOMONTH('ECL Calculation'!$B$1,12*5),IF(ISBLANK(K16),EOMONTH(AJ16,AL16*12),K16))</f>
        <v>34454</v>
      </c>
      <c r="AN16" s="203">
        <f t="shared" si="10"/>
        <v>60000000</v>
      </c>
      <c r="AO16" s="203">
        <f t="shared" si="11"/>
        <v>60000000</v>
      </c>
      <c r="AP16" s="203">
        <f t="shared" si="12"/>
        <v>0</v>
      </c>
      <c r="AQ16" s="126">
        <f>VLOOKUP(U16,'Lookup Table'!$B$2:$C$10,2,0)</f>
        <v>1</v>
      </c>
      <c r="AR16" s="127">
        <f>VLOOKUP(S16,'Lookup Table'!$B$2:$C$9,2,0)</f>
        <v>2</v>
      </c>
      <c r="AS16" s="127">
        <f>VLOOKUP(T16,'Lookup Table'!$B$2:$C$9,2,0)</f>
        <v>2</v>
      </c>
      <c r="AT16" s="136">
        <f t="shared" si="13"/>
        <v>0</v>
      </c>
      <c r="AU16" s="128">
        <f t="shared" si="14"/>
        <v>0.05</v>
      </c>
      <c r="AV16" s="136">
        <f t="shared" si="15"/>
        <v>0</v>
      </c>
      <c r="AW16" s="37" t="str">
        <f t="shared" si="16"/>
        <v>B2</v>
      </c>
      <c r="AX16" s="128">
        <f>VLOOKUP(E16,'Lookup Table'!$B$12:$C$82,2,0)</f>
        <v>3.6111111111111115E-2</v>
      </c>
      <c r="AY16" s="128">
        <f>'Lookup Table'!$E$3</f>
        <v>0.45</v>
      </c>
      <c r="AZ16" s="129" t="str">
        <f t="shared" si="17"/>
        <v>Bahrain</v>
      </c>
      <c r="BA16" s="37">
        <f>VLOOKUP(AA16,'Lookup Table'!$J$3:$K$27,2,0)</f>
        <v>1</v>
      </c>
      <c r="BB16" s="37">
        <f t="shared" si="18"/>
        <v>2</v>
      </c>
      <c r="BC16" s="37">
        <f t="shared" si="19"/>
        <v>1</v>
      </c>
      <c r="BD16" s="37">
        <f>IF(AND(K16&lt;'ECL Calculation'!$B$1,'Input Sheet'!W16="No"),3,IF(X16="Yes",2,1))</f>
        <v>3</v>
      </c>
      <c r="BE16" s="37">
        <f t="shared" si="20"/>
        <v>1</v>
      </c>
      <c r="BF16" s="37" t="str">
        <f t="shared" si="21"/>
        <v>Stage 3</v>
      </c>
      <c r="BG16" s="37" t="str">
        <f t="shared" si="22"/>
        <v>No</v>
      </c>
    </row>
    <row r="17" spans="1:59" x14ac:dyDescent="0.2">
      <c r="A17" s="35">
        <f t="shared" si="23"/>
        <v>15</v>
      </c>
      <c r="B17" s="33">
        <v>1015</v>
      </c>
      <c r="C17" s="33" t="s">
        <v>267</v>
      </c>
      <c r="D17" s="33" t="s">
        <v>806</v>
      </c>
      <c r="E17" s="33" t="s">
        <v>19</v>
      </c>
      <c r="F17" s="33" t="s">
        <v>542</v>
      </c>
      <c r="G17" s="117">
        <v>4</v>
      </c>
      <c r="H17" s="34">
        <v>27801</v>
      </c>
      <c r="I17" s="34">
        <v>27426</v>
      </c>
      <c r="J17" s="34">
        <v>27868</v>
      </c>
      <c r="K17" s="34">
        <v>34607</v>
      </c>
      <c r="L17" s="34">
        <v>29310</v>
      </c>
      <c r="M17" s="34">
        <v>29675</v>
      </c>
      <c r="N17" s="113">
        <v>15</v>
      </c>
      <c r="O17" s="200">
        <v>100000000</v>
      </c>
      <c r="P17" s="200">
        <v>100000000</v>
      </c>
      <c r="Q17" s="200">
        <v>0</v>
      </c>
      <c r="R17" s="201">
        <v>0</v>
      </c>
      <c r="S17" s="33" t="s">
        <v>22</v>
      </c>
      <c r="T17" s="33" t="s">
        <v>22</v>
      </c>
      <c r="U17" s="33" t="s">
        <v>203</v>
      </c>
      <c r="V17" s="33"/>
      <c r="W17" s="33" t="s">
        <v>210</v>
      </c>
      <c r="X17" s="33" t="s">
        <v>210</v>
      </c>
      <c r="Y17" s="33"/>
      <c r="Z17" s="33" t="s">
        <v>209</v>
      </c>
      <c r="AA17" s="35" t="str">
        <f>_xlfn.IFNA(VLOOKUP(E17,'Lookup Table'!$J$33:$K$176,2,0),"B3")</f>
        <v>B2</v>
      </c>
      <c r="AB17" s="35">
        <f>_xlfn.IFNA(VLOOKUP($AA17,'Rating Lookup'!$B$2:$I$27,8,0),15)</f>
        <v>15</v>
      </c>
      <c r="AC17" s="35" t="str">
        <f>_xlfn.IFNA(VLOOKUP(E17,'Lookup Table'!$M$33:$N$173,2,0),"B3")</f>
        <v>Baa1</v>
      </c>
      <c r="AD17" s="35">
        <f>_xlfn.IFNA(VLOOKUP($AC17,'Rating Lookup'!$B$2:$I$27,8,0),15)</f>
        <v>8</v>
      </c>
      <c r="AE17" s="35">
        <f t="shared" si="4"/>
        <v>7</v>
      </c>
      <c r="AG17" s="35" t="str">
        <f t="shared" si="5"/>
        <v>SITRA P&amp;W STATION</v>
      </c>
      <c r="AH17" s="35" t="str">
        <f t="shared" si="6"/>
        <v>Government Loan</v>
      </c>
      <c r="AI17" s="202">
        <f>'ECL Calculation'!$B$1</f>
        <v>43465</v>
      </c>
      <c r="AJ17" s="202">
        <f t="shared" si="7"/>
        <v>29310</v>
      </c>
      <c r="AK17" s="202">
        <f t="shared" si="8"/>
        <v>29675</v>
      </c>
      <c r="AL17" s="127">
        <f t="shared" si="9"/>
        <v>15</v>
      </c>
      <c r="AM17" s="192">
        <f>IF(AND(IF(ISBLANK(K17),EOMONTH(AJ17,AL17*12),K17)&lt;'ECL Calculation'!$B$1,SUM('Input Sheet'!Q17,'Input Sheet'!R17)&gt;0),EOMONTH('ECL Calculation'!$B$1,12*5),IF(ISBLANK(K17),EOMONTH(AJ17,AL17*12),K17))</f>
        <v>34607</v>
      </c>
      <c r="AN17" s="203">
        <f t="shared" si="10"/>
        <v>100000000</v>
      </c>
      <c r="AO17" s="203">
        <f t="shared" si="11"/>
        <v>100000000</v>
      </c>
      <c r="AP17" s="203">
        <f t="shared" si="12"/>
        <v>0</v>
      </c>
      <c r="AQ17" s="126">
        <f>VLOOKUP(U17,'Lookup Table'!$B$2:$C$10,2,0)</f>
        <v>1</v>
      </c>
      <c r="AR17" s="127">
        <f>VLOOKUP(S17,'Lookup Table'!$B$2:$C$9,2,0)</f>
        <v>2</v>
      </c>
      <c r="AS17" s="127">
        <f>VLOOKUP(T17,'Lookup Table'!$B$2:$C$9,2,0)</f>
        <v>2</v>
      </c>
      <c r="AT17" s="136">
        <f t="shared" si="13"/>
        <v>0</v>
      </c>
      <c r="AU17" s="128">
        <f t="shared" si="14"/>
        <v>0.04</v>
      </c>
      <c r="AV17" s="136">
        <f t="shared" si="15"/>
        <v>0</v>
      </c>
      <c r="AW17" s="37" t="str">
        <f t="shared" si="16"/>
        <v>B2</v>
      </c>
      <c r="AX17" s="128">
        <f>VLOOKUP(E17,'Lookup Table'!$B$12:$C$82,2,0)</f>
        <v>3.6111111111111115E-2</v>
      </c>
      <c r="AY17" s="128">
        <f>'Lookup Table'!$E$3</f>
        <v>0.45</v>
      </c>
      <c r="AZ17" s="129" t="str">
        <f t="shared" si="17"/>
        <v>Bahrain</v>
      </c>
      <c r="BA17" s="37">
        <f>VLOOKUP(AA17,'Lookup Table'!$J$3:$K$27,2,0)</f>
        <v>1</v>
      </c>
      <c r="BB17" s="37">
        <f t="shared" si="18"/>
        <v>2</v>
      </c>
      <c r="BC17" s="37">
        <f t="shared" si="19"/>
        <v>1</v>
      </c>
      <c r="BD17" s="37">
        <f>IF(AND(K17&lt;'ECL Calculation'!$B$1,'Input Sheet'!W17="No"),3,IF(X17="Yes",2,1))</f>
        <v>3</v>
      </c>
      <c r="BE17" s="37">
        <f t="shared" si="20"/>
        <v>1</v>
      </c>
      <c r="BF17" s="37" t="str">
        <f t="shared" si="21"/>
        <v>Stage 3</v>
      </c>
      <c r="BG17" s="37" t="str">
        <f t="shared" si="22"/>
        <v>No</v>
      </c>
    </row>
    <row r="18" spans="1:59" x14ac:dyDescent="0.2">
      <c r="A18" s="35">
        <f t="shared" si="23"/>
        <v>16</v>
      </c>
      <c r="B18" s="33">
        <v>1016</v>
      </c>
      <c r="C18" s="33" t="s">
        <v>268</v>
      </c>
      <c r="D18" s="33" t="s">
        <v>806</v>
      </c>
      <c r="E18" s="33" t="s">
        <v>478</v>
      </c>
      <c r="F18" s="33" t="s">
        <v>542</v>
      </c>
      <c r="G18" s="117">
        <v>3.5</v>
      </c>
      <c r="H18" s="34">
        <v>27878</v>
      </c>
      <c r="I18" s="34">
        <v>27426</v>
      </c>
      <c r="J18" s="34">
        <v>28129</v>
      </c>
      <c r="K18" s="34">
        <v>32658</v>
      </c>
      <c r="L18" s="34">
        <v>29371</v>
      </c>
      <c r="M18" s="34">
        <v>29736</v>
      </c>
      <c r="N18" s="113">
        <v>9</v>
      </c>
      <c r="O18" s="200">
        <v>29089629.539999999</v>
      </c>
      <c r="P18" s="200">
        <v>29089629.539999999</v>
      </c>
      <c r="Q18" s="200">
        <v>0</v>
      </c>
      <c r="R18" s="201">
        <v>0</v>
      </c>
      <c r="S18" s="33" t="s">
        <v>22</v>
      </c>
      <c r="T18" s="33" t="s">
        <v>22</v>
      </c>
      <c r="U18" s="33" t="s">
        <v>203</v>
      </c>
      <c r="V18" s="33"/>
      <c r="W18" s="33" t="s">
        <v>210</v>
      </c>
      <c r="X18" s="33" t="s">
        <v>210</v>
      </c>
      <c r="Y18" s="33" t="s">
        <v>209</v>
      </c>
      <c r="Z18" s="33" t="s">
        <v>209</v>
      </c>
      <c r="AA18" s="35" t="str">
        <f>_xlfn.IFNA(VLOOKUP(E18,'Lookup Table'!$J$33:$K$176,2,0),"B3")</f>
        <v>B3</v>
      </c>
      <c r="AB18" s="35">
        <f>_xlfn.IFNA(VLOOKUP($AA18,'Rating Lookup'!$B$2:$I$27,8,0),15)</f>
        <v>16</v>
      </c>
      <c r="AC18" s="35" t="str">
        <f>_xlfn.IFNA(VLOOKUP(E18,'Lookup Table'!$M$33:$N$173,2,0),"B3")</f>
        <v>B3</v>
      </c>
      <c r="AD18" s="35">
        <f>_xlfn.IFNA(VLOOKUP($AC18,'Rating Lookup'!$B$2:$I$27,8,0),15)</f>
        <v>16</v>
      </c>
      <c r="AE18" s="35">
        <f t="shared" si="4"/>
        <v>0</v>
      </c>
      <c r="AG18" s="35" t="str">
        <f t="shared" si="5"/>
        <v>PURSHASING OF FISHING BOATS</v>
      </c>
      <c r="AH18" s="35" t="str">
        <f t="shared" si="6"/>
        <v>Government Loan</v>
      </c>
      <c r="AI18" s="202">
        <f>'ECL Calculation'!$B$1</f>
        <v>43465</v>
      </c>
      <c r="AJ18" s="202">
        <f t="shared" si="7"/>
        <v>29371</v>
      </c>
      <c r="AK18" s="202">
        <f t="shared" si="8"/>
        <v>29736</v>
      </c>
      <c r="AL18" s="127">
        <f t="shared" si="9"/>
        <v>9</v>
      </c>
      <c r="AM18" s="192">
        <f>IF(AND(IF(ISBLANK(K18),EOMONTH(AJ18,AL18*12),K18)&lt;'ECL Calculation'!$B$1,SUM('Input Sheet'!Q18,'Input Sheet'!R18)&gt;0),EOMONTH('ECL Calculation'!$B$1,12*5),IF(ISBLANK(K18),EOMONTH(AJ18,AL18*12),K18))</f>
        <v>32658</v>
      </c>
      <c r="AN18" s="203">
        <f t="shared" si="10"/>
        <v>29089629.539999999</v>
      </c>
      <c r="AO18" s="203">
        <f t="shared" si="11"/>
        <v>29089629.539999999</v>
      </c>
      <c r="AP18" s="203">
        <f t="shared" si="12"/>
        <v>0</v>
      </c>
      <c r="AQ18" s="126">
        <f>VLOOKUP(U18,'Lookup Table'!$B$2:$C$10,2,0)</f>
        <v>1</v>
      </c>
      <c r="AR18" s="127">
        <f>VLOOKUP(S18,'Lookup Table'!$B$2:$C$9,2,0)</f>
        <v>2</v>
      </c>
      <c r="AS18" s="127">
        <f>VLOOKUP(T18,'Lookup Table'!$B$2:$C$9,2,0)</f>
        <v>2</v>
      </c>
      <c r="AT18" s="136">
        <f t="shared" si="13"/>
        <v>0</v>
      </c>
      <c r="AU18" s="128">
        <f t="shared" si="14"/>
        <v>3.5000000000000003E-2</v>
      </c>
      <c r="AV18" s="136">
        <f t="shared" si="15"/>
        <v>0</v>
      </c>
      <c r="AW18" s="37" t="str">
        <f t="shared" si="16"/>
        <v>B3</v>
      </c>
      <c r="AX18" s="128">
        <f>VLOOKUP(E18,'Lookup Table'!$B$12:$C$82,2,0)</f>
        <v>3.3636363636363638E-2</v>
      </c>
      <c r="AY18" s="128">
        <f>'Lookup Table'!$E$3</f>
        <v>0.45</v>
      </c>
      <c r="AZ18" s="129" t="str">
        <f t="shared" si="17"/>
        <v>Yemen</v>
      </c>
      <c r="BA18" s="37">
        <f>VLOOKUP(AA18,'Lookup Table'!$J$3:$K$27,2,0)</f>
        <v>1</v>
      </c>
      <c r="BB18" s="37">
        <f t="shared" si="18"/>
        <v>1</v>
      </c>
      <c r="BC18" s="37">
        <f t="shared" si="19"/>
        <v>1</v>
      </c>
      <c r="BD18" s="37">
        <f>IF(AND(K18&lt;'ECL Calculation'!$B$1,'Input Sheet'!W18="No"),3,IF(X18="Yes",2,1))</f>
        <v>3</v>
      </c>
      <c r="BE18" s="37">
        <f t="shared" si="20"/>
        <v>3</v>
      </c>
      <c r="BF18" s="37" t="str">
        <f t="shared" si="21"/>
        <v>Stage 3</v>
      </c>
      <c r="BG18" s="37" t="str">
        <f t="shared" si="22"/>
        <v>No</v>
      </c>
    </row>
    <row r="19" spans="1:59" x14ac:dyDescent="0.2">
      <c r="A19" s="35">
        <f t="shared" si="23"/>
        <v>17</v>
      </c>
      <c r="B19" s="33">
        <v>1017</v>
      </c>
      <c r="C19" s="33" t="s">
        <v>269</v>
      </c>
      <c r="D19" s="33" t="s">
        <v>806</v>
      </c>
      <c r="E19" s="33" t="s">
        <v>478</v>
      </c>
      <c r="F19" s="33" t="s">
        <v>542</v>
      </c>
      <c r="G19" s="117">
        <v>2.5</v>
      </c>
      <c r="H19" s="34">
        <v>27878</v>
      </c>
      <c r="I19" s="34">
        <v>27546</v>
      </c>
      <c r="J19" s="34">
        <v>28047</v>
      </c>
      <c r="K19" s="34">
        <v>32689</v>
      </c>
      <c r="L19" s="34">
        <v>29402</v>
      </c>
      <c r="M19" s="34">
        <v>29767</v>
      </c>
      <c r="N19" s="113">
        <v>9</v>
      </c>
      <c r="O19" s="200">
        <v>6441092.1500000004</v>
      </c>
      <c r="P19" s="200">
        <v>6441092.1500000004</v>
      </c>
      <c r="Q19" s="200">
        <v>0</v>
      </c>
      <c r="R19" s="201">
        <v>0</v>
      </c>
      <c r="S19" s="33" t="s">
        <v>22</v>
      </c>
      <c r="T19" s="33" t="s">
        <v>22</v>
      </c>
      <c r="U19" s="33" t="s">
        <v>203</v>
      </c>
      <c r="V19" s="33"/>
      <c r="W19" s="33" t="s">
        <v>210</v>
      </c>
      <c r="X19" s="33" t="s">
        <v>210</v>
      </c>
      <c r="Y19" s="33" t="s">
        <v>209</v>
      </c>
      <c r="Z19" s="33" t="s">
        <v>209</v>
      </c>
      <c r="AA19" s="35" t="str">
        <f>_xlfn.IFNA(VLOOKUP(E19,'Lookup Table'!$J$33:$K$176,2,0),"B3")</f>
        <v>B3</v>
      </c>
      <c r="AB19" s="35">
        <f>_xlfn.IFNA(VLOOKUP($AA19,'Rating Lookup'!$B$2:$I$27,8,0),15)</f>
        <v>16</v>
      </c>
      <c r="AC19" s="35" t="str">
        <f>_xlfn.IFNA(VLOOKUP(E19,'Lookup Table'!$M$33:$N$173,2,0),"B3")</f>
        <v>B3</v>
      </c>
      <c r="AD19" s="35">
        <f>_xlfn.IFNA(VLOOKUP($AC19,'Rating Lookup'!$B$2:$I$27,8,0),15)</f>
        <v>16</v>
      </c>
      <c r="AE19" s="35">
        <f t="shared" si="4"/>
        <v>0</v>
      </c>
      <c r="AG19" s="35" t="str">
        <f t="shared" si="5"/>
        <v>GEOLOGICAL SURVEY</v>
      </c>
      <c r="AH19" s="35" t="str">
        <f t="shared" si="6"/>
        <v>Government Loan</v>
      </c>
      <c r="AI19" s="202">
        <f>'ECL Calculation'!$B$1</f>
        <v>43465</v>
      </c>
      <c r="AJ19" s="202">
        <f t="shared" si="7"/>
        <v>29402</v>
      </c>
      <c r="AK19" s="202">
        <f t="shared" si="8"/>
        <v>29767</v>
      </c>
      <c r="AL19" s="127">
        <f t="shared" si="9"/>
        <v>9</v>
      </c>
      <c r="AM19" s="192">
        <f>IF(AND(IF(ISBLANK(K19),EOMONTH(AJ19,AL19*12),K19)&lt;'ECL Calculation'!$B$1,SUM('Input Sheet'!Q19,'Input Sheet'!R19)&gt;0),EOMONTH('ECL Calculation'!$B$1,12*5),IF(ISBLANK(K19),EOMONTH(AJ19,AL19*12),K19))</f>
        <v>32689</v>
      </c>
      <c r="AN19" s="203">
        <f t="shared" si="10"/>
        <v>6441092.1500000004</v>
      </c>
      <c r="AO19" s="203">
        <f t="shared" si="11"/>
        <v>6441092.1500000004</v>
      </c>
      <c r="AP19" s="203">
        <f t="shared" si="12"/>
        <v>0</v>
      </c>
      <c r="AQ19" s="126">
        <f>VLOOKUP(U19,'Lookup Table'!$B$2:$C$10,2,0)</f>
        <v>1</v>
      </c>
      <c r="AR19" s="127">
        <f>VLOOKUP(S19,'Lookup Table'!$B$2:$C$9,2,0)</f>
        <v>2</v>
      </c>
      <c r="AS19" s="127">
        <f>VLOOKUP(T19,'Lookup Table'!$B$2:$C$9,2,0)</f>
        <v>2</v>
      </c>
      <c r="AT19" s="136">
        <f t="shared" si="13"/>
        <v>0</v>
      </c>
      <c r="AU19" s="128">
        <f t="shared" si="14"/>
        <v>2.5000000000000001E-2</v>
      </c>
      <c r="AV19" s="136">
        <f t="shared" si="15"/>
        <v>0</v>
      </c>
      <c r="AW19" s="37" t="str">
        <f t="shared" si="16"/>
        <v>B3</v>
      </c>
      <c r="AX19" s="128">
        <f>VLOOKUP(E19,'Lookup Table'!$B$12:$C$82,2,0)</f>
        <v>3.3636363636363638E-2</v>
      </c>
      <c r="AY19" s="128">
        <f>'Lookup Table'!$E$3</f>
        <v>0.45</v>
      </c>
      <c r="AZ19" s="129" t="str">
        <f t="shared" si="17"/>
        <v>Yemen</v>
      </c>
      <c r="BA19" s="37">
        <f>VLOOKUP(AA19,'Lookup Table'!$J$3:$K$27,2,0)</f>
        <v>1</v>
      </c>
      <c r="BB19" s="37">
        <f t="shared" si="18"/>
        <v>1</v>
      </c>
      <c r="BC19" s="37">
        <f t="shared" si="19"/>
        <v>1</v>
      </c>
      <c r="BD19" s="37">
        <f>IF(AND(K19&lt;'ECL Calculation'!$B$1,'Input Sheet'!W19="No"),3,IF(X19="Yes",2,1))</f>
        <v>3</v>
      </c>
      <c r="BE19" s="37">
        <f t="shared" si="20"/>
        <v>3</v>
      </c>
      <c r="BF19" s="37" t="str">
        <f t="shared" si="21"/>
        <v>Stage 3</v>
      </c>
      <c r="BG19" s="37" t="str">
        <f t="shared" si="22"/>
        <v>No</v>
      </c>
    </row>
    <row r="20" spans="1:59" x14ac:dyDescent="0.2">
      <c r="A20" s="35">
        <f t="shared" si="23"/>
        <v>18</v>
      </c>
      <c r="B20" s="33">
        <v>1018</v>
      </c>
      <c r="C20" s="33" t="s">
        <v>270</v>
      </c>
      <c r="D20" s="33" t="s">
        <v>806</v>
      </c>
      <c r="E20" s="33" t="s">
        <v>480</v>
      </c>
      <c r="F20" s="33" t="s">
        <v>542</v>
      </c>
      <c r="G20" s="117">
        <v>5.5</v>
      </c>
      <c r="H20" s="34">
        <v>27879</v>
      </c>
      <c r="I20" s="34">
        <v>27397</v>
      </c>
      <c r="J20" s="34">
        <v>28128</v>
      </c>
      <c r="K20" s="34">
        <v>32538</v>
      </c>
      <c r="L20" s="34">
        <v>29981</v>
      </c>
      <c r="M20" s="34">
        <v>29616</v>
      </c>
      <c r="N20" s="113">
        <v>7</v>
      </c>
      <c r="O20" s="200">
        <v>67817626.959999993</v>
      </c>
      <c r="P20" s="200">
        <v>67817626.959999993</v>
      </c>
      <c r="Q20" s="200">
        <v>0</v>
      </c>
      <c r="R20" s="201">
        <v>0</v>
      </c>
      <c r="S20" s="33" t="s">
        <v>22</v>
      </c>
      <c r="T20" s="33" t="s">
        <v>22</v>
      </c>
      <c r="U20" s="33" t="s">
        <v>203</v>
      </c>
      <c r="V20" s="33"/>
      <c r="W20" s="33" t="s">
        <v>210</v>
      </c>
      <c r="X20" s="33" t="s">
        <v>210</v>
      </c>
      <c r="Y20" s="33"/>
      <c r="Z20" s="33" t="s">
        <v>209</v>
      </c>
      <c r="AA20" s="35" t="str">
        <f>_xlfn.IFNA(VLOOKUP(E20,'Lookup Table'!$J$33:$K$176,2,0),"B3")</f>
        <v>Ba1</v>
      </c>
      <c r="AB20" s="35">
        <f>_xlfn.IFNA(VLOOKUP($AA20,'Rating Lookup'!$B$2:$I$27,8,0),15)</f>
        <v>11</v>
      </c>
      <c r="AC20" s="35" t="str">
        <f>_xlfn.IFNA(VLOOKUP(E20,'Lookup Table'!$M$33:$N$173,2,0),"B3")</f>
        <v>Ba1</v>
      </c>
      <c r="AD20" s="35">
        <f>_xlfn.IFNA(VLOOKUP($AC20,'Rating Lookup'!$B$2:$I$27,8,0),15)</f>
        <v>11</v>
      </c>
      <c r="AE20" s="35">
        <f t="shared" si="4"/>
        <v>0</v>
      </c>
      <c r="AG20" s="35" t="str">
        <f t="shared" si="5"/>
        <v>COTTON SPINNING FACTORIES</v>
      </c>
      <c r="AH20" s="35" t="str">
        <f t="shared" si="6"/>
        <v>Government Loan</v>
      </c>
      <c r="AI20" s="202">
        <f>'ECL Calculation'!$B$1</f>
        <v>43465</v>
      </c>
      <c r="AJ20" s="202">
        <f t="shared" si="7"/>
        <v>29981</v>
      </c>
      <c r="AK20" s="202">
        <f t="shared" si="8"/>
        <v>29616</v>
      </c>
      <c r="AL20" s="127">
        <f t="shared" si="9"/>
        <v>7</v>
      </c>
      <c r="AM20" s="192">
        <f>IF(AND(IF(ISBLANK(K20),EOMONTH(AJ20,AL20*12),K20)&lt;'ECL Calculation'!$B$1,SUM('Input Sheet'!Q20,'Input Sheet'!R20)&gt;0),EOMONTH('ECL Calculation'!$B$1,12*5),IF(ISBLANK(K20),EOMONTH(AJ20,AL20*12),K20))</f>
        <v>32538</v>
      </c>
      <c r="AN20" s="203">
        <f t="shared" si="10"/>
        <v>67817626.959999993</v>
      </c>
      <c r="AO20" s="203">
        <f t="shared" si="11"/>
        <v>67817626.959999993</v>
      </c>
      <c r="AP20" s="203">
        <f t="shared" si="12"/>
        <v>0</v>
      </c>
      <c r="AQ20" s="126">
        <f>VLOOKUP(U20,'Lookup Table'!$B$2:$C$10,2,0)</f>
        <v>1</v>
      </c>
      <c r="AR20" s="127">
        <f>VLOOKUP(S20,'Lookup Table'!$B$2:$C$9,2,0)</f>
        <v>2</v>
      </c>
      <c r="AS20" s="127">
        <f>VLOOKUP(T20,'Lookup Table'!$B$2:$C$9,2,0)</f>
        <v>2</v>
      </c>
      <c r="AT20" s="136">
        <f t="shared" si="13"/>
        <v>0</v>
      </c>
      <c r="AU20" s="128">
        <f t="shared" si="14"/>
        <v>5.5E-2</v>
      </c>
      <c r="AV20" s="136">
        <f t="shared" si="15"/>
        <v>0</v>
      </c>
      <c r="AW20" s="37" t="str">
        <f t="shared" si="16"/>
        <v>Ba1</v>
      </c>
      <c r="AX20" s="128">
        <f>VLOOKUP(E20,'Lookup Table'!$B$12:$C$82,2,0)</f>
        <v>3.1662499999999996E-2</v>
      </c>
      <c r="AY20" s="128">
        <f>'Lookup Table'!$E$3</f>
        <v>0.45</v>
      </c>
      <c r="AZ20" s="129" t="str">
        <f t="shared" si="17"/>
        <v>Morocco</v>
      </c>
      <c r="BA20" s="37">
        <f>VLOOKUP(AA20,'Lookup Table'!$J$3:$K$27,2,0)</f>
        <v>1</v>
      </c>
      <c r="BB20" s="37">
        <f t="shared" si="18"/>
        <v>1</v>
      </c>
      <c r="BC20" s="37">
        <f t="shared" si="19"/>
        <v>1</v>
      </c>
      <c r="BD20" s="37">
        <f>IF(AND(K20&lt;'ECL Calculation'!$B$1,'Input Sheet'!W20="No"),3,IF(X20="Yes",2,1))</f>
        <v>3</v>
      </c>
      <c r="BE20" s="37">
        <f t="shared" si="20"/>
        <v>1</v>
      </c>
      <c r="BF20" s="37" t="str">
        <f t="shared" si="21"/>
        <v>Stage 3</v>
      </c>
      <c r="BG20" s="37" t="str">
        <f t="shared" si="22"/>
        <v>No</v>
      </c>
    </row>
    <row r="21" spans="1:59" x14ac:dyDescent="0.2">
      <c r="A21" s="35">
        <f t="shared" si="23"/>
        <v>19</v>
      </c>
      <c r="B21" s="33">
        <v>1019</v>
      </c>
      <c r="C21" s="33" t="s">
        <v>271</v>
      </c>
      <c r="D21" s="33" t="s">
        <v>806</v>
      </c>
      <c r="E21" s="33" t="s">
        <v>481</v>
      </c>
      <c r="F21" s="33" t="s">
        <v>542</v>
      </c>
      <c r="G21" s="117">
        <v>3</v>
      </c>
      <c r="H21" s="34">
        <v>27930</v>
      </c>
      <c r="I21" s="34">
        <v>28173</v>
      </c>
      <c r="J21" s="34">
        <v>28173</v>
      </c>
      <c r="K21" s="34">
        <v>34469</v>
      </c>
      <c r="L21" s="34">
        <v>30270</v>
      </c>
      <c r="M21" s="34">
        <v>29721</v>
      </c>
      <c r="N21" s="113">
        <v>12</v>
      </c>
      <c r="O21" s="200">
        <v>3074941.9</v>
      </c>
      <c r="P21" s="200">
        <v>3074941.9</v>
      </c>
      <c r="Q21" s="200">
        <v>0</v>
      </c>
      <c r="R21" s="201">
        <v>0</v>
      </c>
      <c r="S21" s="33" t="s">
        <v>22</v>
      </c>
      <c r="T21" s="33" t="s">
        <v>22</v>
      </c>
      <c r="U21" s="33" t="s">
        <v>203</v>
      </c>
      <c r="V21" s="33"/>
      <c r="W21" s="33" t="s">
        <v>210</v>
      </c>
      <c r="X21" s="33" t="s">
        <v>210</v>
      </c>
      <c r="Y21" s="33" t="s">
        <v>209</v>
      </c>
      <c r="Z21" s="33" t="s">
        <v>209</v>
      </c>
      <c r="AA21" s="35" t="str">
        <f>_xlfn.IFNA(VLOOKUP(E21,'Lookup Table'!$J$33:$K$176,2,0),"B3")</f>
        <v>B3</v>
      </c>
      <c r="AB21" s="35">
        <f>_xlfn.IFNA(VLOOKUP($AA21,'Rating Lookup'!$B$2:$I$27,8,0),15)</f>
        <v>16</v>
      </c>
      <c r="AC21" s="35" t="str">
        <f>_xlfn.IFNA(VLOOKUP(E21,'Lookup Table'!$M$33:$N$173,2,0),"B3")</f>
        <v>B3</v>
      </c>
      <c r="AD21" s="35">
        <f>_xlfn.IFNA(VLOOKUP($AC21,'Rating Lookup'!$B$2:$I$27,8,0),15)</f>
        <v>16</v>
      </c>
      <c r="AE21" s="35">
        <f t="shared" si="4"/>
        <v>0</v>
      </c>
      <c r="AG21" s="35" t="str">
        <f t="shared" si="5"/>
        <v>FISHERIES DEVELOPMENT</v>
      </c>
      <c r="AH21" s="35" t="str">
        <f t="shared" si="6"/>
        <v>Government Loan</v>
      </c>
      <c r="AI21" s="202">
        <f>'ECL Calculation'!$B$1</f>
        <v>43465</v>
      </c>
      <c r="AJ21" s="202">
        <f t="shared" si="7"/>
        <v>30270</v>
      </c>
      <c r="AK21" s="202">
        <f t="shared" si="8"/>
        <v>29721</v>
      </c>
      <c r="AL21" s="127">
        <f t="shared" si="9"/>
        <v>12</v>
      </c>
      <c r="AM21" s="192">
        <f>IF(AND(IF(ISBLANK(K21),EOMONTH(AJ21,AL21*12),K21)&lt;'ECL Calculation'!$B$1,SUM('Input Sheet'!Q21,'Input Sheet'!R21)&gt;0),EOMONTH('ECL Calculation'!$B$1,12*5),IF(ISBLANK(K21),EOMONTH(AJ21,AL21*12),K21))</f>
        <v>34469</v>
      </c>
      <c r="AN21" s="203">
        <f t="shared" si="10"/>
        <v>3074941.9</v>
      </c>
      <c r="AO21" s="203">
        <f t="shared" si="11"/>
        <v>3074941.9</v>
      </c>
      <c r="AP21" s="203">
        <f t="shared" si="12"/>
        <v>0</v>
      </c>
      <c r="AQ21" s="126">
        <f>VLOOKUP(U21,'Lookup Table'!$B$2:$C$10,2,0)</f>
        <v>1</v>
      </c>
      <c r="AR21" s="127">
        <f>VLOOKUP(S21,'Lookup Table'!$B$2:$C$9,2,0)</f>
        <v>2</v>
      </c>
      <c r="AS21" s="127">
        <f>VLOOKUP(T21,'Lookup Table'!$B$2:$C$9,2,0)</f>
        <v>2</v>
      </c>
      <c r="AT21" s="136">
        <f t="shared" si="13"/>
        <v>0</v>
      </c>
      <c r="AU21" s="128">
        <f t="shared" si="14"/>
        <v>0.03</v>
      </c>
      <c r="AV21" s="136">
        <f t="shared" si="15"/>
        <v>0</v>
      </c>
      <c r="AW21" s="37" t="str">
        <f t="shared" si="16"/>
        <v>B3</v>
      </c>
      <c r="AX21" s="128">
        <f>VLOOKUP(E21,'Lookup Table'!$B$12:$C$82,2,0)</f>
        <v>3.2500000000000001E-2</v>
      </c>
      <c r="AY21" s="128">
        <f>'Lookup Table'!$E$3</f>
        <v>0.45</v>
      </c>
      <c r="AZ21" s="129" t="str">
        <f t="shared" si="17"/>
        <v>Burundi</v>
      </c>
      <c r="BA21" s="37">
        <f>VLOOKUP(AA21,'Lookup Table'!$J$3:$K$27,2,0)</f>
        <v>1</v>
      </c>
      <c r="BB21" s="37">
        <f t="shared" si="18"/>
        <v>1</v>
      </c>
      <c r="BC21" s="37">
        <f t="shared" si="19"/>
        <v>1</v>
      </c>
      <c r="BD21" s="37">
        <f>IF(AND(K21&lt;'ECL Calculation'!$B$1,'Input Sheet'!W21="No"),3,IF(X21="Yes",2,1))</f>
        <v>3</v>
      </c>
      <c r="BE21" s="37">
        <f t="shared" si="20"/>
        <v>3</v>
      </c>
      <c r="BF21" s="37" t="str">
        <f t="shared" si="21"/>
        <v>Stage 3</v>
      </c>
      <c r="BG21" s="37" t="str">
        <f t="shared" si="22"/>
        <v>No</v>
      </c>
    </row>
    <row r="22" spans="1:59" x14ac:dyDescent="0.2">
      <c r="A22" s="35">
        <f t="shared" si="23"/>
        <v>20</v>
      </c>
      <c r="B22" s="33">
        <v>1020</v>
      </c>
      <c r="C22" s="33" t="s">
        <v>272</v>
      </c>
      <c r="D22" s="33" t="s">
        <v>806</v>
      </c>
      <c r="E22" s="33" t="s">
        <v>482</v>
      </c>
      <c r="F22" s="33" t="s">
        <v>542</v>
      </c>
      <c r="G22" s="117">
        <v>5</v>
      </c>
      <c r="H22" s="34">
        <v>27937</v>
      </c>
      <c r="I22" s="34">
        <v>28051</v>
      </c>
      <c r="J22" s="34">
        <v>28051</v>
      </c>
      <c r="K22" s="34">
        <v>32781</v>
      </c>
      <c r="L22" s="34">
        <v>29310</v>
      </c>
      <c r="M22" s="34">
        <v>29675</v>
      </c>
      <c r="N22" s="113">
        <v>10</v>
      </c>
      <c r="O22" s="200">
        <v>38187119.359999999</v>
      </c>
      <c r="P22" s="200">
        <v>38187119.359999999</v>
      </c>
      <c r="Q22" s="200">
        <v>0</v>
      </c>
      <c r="R22" s="201">
        <v>0</v>
      </c>
      <c r="S22" s="33" t="s">
        <v>22</v>
      </c>
      <c r="T22" s="33" t="s">
        <v>22</v>
      </c>
      <c r="U22" s="33" t="s">
        <v>203</v>
      </c>
      <c r="V22" s="33"/>
      <c r="W22" s="33" t="s">
        <v>210</v>
      </c>
      <c r="X22" s="33" t="s">
        <v>210</v>
      </c>
      <c r="Y22" s="33"/>
      <c r="Z22" s="33" t="s">
        <v>209</v>
      </c>
      <c r="AA22" s="35" t="str">
        <f>_xlfn.IFNA(VLOOKUP(E22,'Lookup Table'!$J$33:$K$176,2,0),"B3")</f>
        <v>Ba3</v>
      </c>
      <c r="AB22" s="35">
        <f>_xlfn.IFNA(VLOOKUP($AA22,'Rating Lookup'!$B$2:$I$27,8,0),15)</f>
        <v>13</v>
      </c>
      <c r="AC22" s="35" t="str">
        <f>_xlfn.IFNA(VLOOKUP(E22,'Lookup Table'!$M$33:$N$173,2,0),"B3")</f>
        <v>Ba3</v>
      </c>
      <c r="AD22" s="35">
        <f>_xlfn.IFNA(VLOOKUP($AC22,'Rating Lookup'!$B$2:$I$27,8,0),15)</f>
        <v>13</v>
      </c>
      <c r="AE22" s="35">
        <f t="shared" si="4"/>
        <v>0</v>
      </c>
      <c r="AG22" s="35" t="str">
        <f t="shared" si="5"/>
        <v>MACHINE TOOLS FACTORY</v>
      </c>
      <c r="AH22" s="35" t="str">
        <f t="shared" si="6"/>
        <v>Government Loan</v>
      </c>
      <c r="AI22" s="202">
        <f>'ECL Calculation'!$B$1</f>
        <v>43465</v>
      </c>
      <c r="AJ22" s="202">
        <f t="shared" si="7"/>
        <v>29310</v>
      </c>
      <c r="AK22" s="202">
        <f t="shared" si="8"/>
        <v>29675</v>
      </c>
      <c r="AL22" s="127">
        <f t="shared" si="9"/>
        <v>10</v>
      </c>
      <c r="AM22" s="192">
        <f>IF(AND(IF(ISBLANK(K22),EOMONTH(AJ22,AL22*12),K22)&lt;'ECL Calculation'!$B$1,SUM('Input Sheet'!Q22,'Input Sheet'!R22)&gt;0),EOMONTH('ECL Calculation'!$B$1,12*5),IF(ISBLANK(K22),EOMONTH(AJ22,AL22*12),K22))</f>
        <v>32781</v>
      </c>
      <c r="AN22" s="203">
        <f t="shared" si="10"/>
        <v>38187119.359999999</v>
      </c>
      <c r="AO22" s="203">
        <f t="shared" si="11"/>
        <v>38187119.359999999</v>
      </c>
      <c r="AP22" s="203">
        <f t="shared" si="12"/>
        <v>0</v>
      </c>
      <c r="AQ22" s="126">
        <f>VLOOKUP(U22,'Lookup Table'!$B$2:$C$10,2,0)</f>
        <v>1</v>
      </c>
      <c r="AR22" s="127">
        <f>VLOOKUP(S22,'Lookup Table'!$B$2:$C$9,2,0)</f>
        <v>2</v>
      </c>
      <c r="AS22" s="127">
        <f>VLOOKUP(T22,'Lookup Table'!$B$2:$C$9,2,0)</f>
        <v>2</v>
      </c>
      <c r="AT22" s="136">
        <f t="shared" si="13"/>
        <v>0</v>
      </c>
      <c r="AU22" s="128">
        <f t="shared" si="14"/>
        <v>0.05</v>
      </c>
      <c r="AV22" s="136">
        <f t="shared" si="15"/>
        <v>0</v>
      </c>
      <c r="AW22" s="37" t="str">
        <f t="shared" si="16"/>
        <v>Ba3</v>
      </c>
      <c r="AX22" s="128">
        <f>VLOOKUP(E22,'Lookup Table'!$B$12:$C$82,2,0)</f>
        <v>3.3333333333333333E-2</v>
      </c>
      <c r="AY22" s="128">
        <f>'Lookup Table'!$E$3</f>
        <v>0.45</v>
      </c>
      <c r="AZ22" s="129" t="str">
        <f t="shared" si="17"/>
        <v>Bangladesh</v>
      </c>
      <c r="BA22" s="37">
        <f>VLOOKUP(AA22,'Lookup Table'!$J$3:$K$27,2,0)</f>
        <v>1</v>
      </c>
      <c r="BB22" s="37">
        <f t="shared" si="18"/>
        <v>1</v>
      </c>
      <c r="BC22" s="37">
        <f t="shared" si="19"/>
        <v>1</v>
      </c>
      <c r="BD22" s="37">
        <f>IF(AND(K22&lt;'ECL Calculation'!$B$1,'Input Sheet'!W22="No"),3,IF(X22="Yes",2,1))</f>
        <v>3</v>
      </c>
      <c r="BE22" s="37">
        <f t="shared" si="20"/>
        <v>1</v>
      </c>
      <c r="BF22" s="37" t="str">
        <f t="shared" si="21"/>
        <v>Stage 3</v>
      </c>
      <c r="BG22" s="37" t="str">
        <f t="shared" si="22"/>
        <v>No</v>
      </c>
    </row>
    <row r="23" spans="1:59" x14ac:dyDescent="0.2">
      <c r="A23" s="35">
        <f t="shared" si="23"/>
        <v>21</v>
      </c>
      <c r="B23" s="33">
        <v>1021</v>
      </c>
      <c r="C23" s="33" t="s">
        <v>273</v>
      </c>
      <c r="D23" s="33" t="s">
        <v>806</v>
      </c>
      <c r="E23" s="33" t="s">
        <v>483</v>
      </c>
      <c r="F23" s="33" t="s">
        <v>542</v>
      </c>
      <c r="G23" s="117">
        <v>4</v>
      </c>
      <c r="H23" s="34">
        <v>27947</v>
      </c>
      <c r="I23" s="34">
        <v>27851</v>
      </c>
      <c r="J23" s="34">
        <v>28009</v>
      </c>
      <c r="K23" s="34">
        <v>35065</v>
      </c>
      <c r="L23" s="34">
        <v>29768</v>
      </c>
      <c r="M23" s="34">
        <v>29587</v>
      </c>
      <c r="N23" s="113">
        <v>15</v>
      </c>
      <c r="O23" s="200">
        <v>68000000</v>
      </c>
      <c r="P23" s="200">
        <v>68000000</v>
      </c>
      <c r="Q23" s="200">
        <v>0</v>
      </c>
      <c r="R23" s="201">
        <v>0</v>
      </c>
      <c r="S23" s="33" t="s">
        <v>22</v>
      </c>
      <c r="T23" s="33" t="s">
        <v>22</v>
      </c>
      <c r="U23" s="33" t="s">
        <v>203</v>
      </c>
      <c r="V23" s="33"/>
      <c r="W23" s="33" t="s">
        <v>210</v>
      </c>
      <c r="X23" s="33" t="s">
        <v>210</v>
      </c>
      <c r="Y23" s="33"/>
      <c r="Z23" s="33" t="s">
        <v>209</v>
      </c>
      <c r="AA23" s="35" t="str">
        <f>_xlfn.IFNA(VLOOKUP(E23,'Lookup Table'!$J$33:$K$176,2,0),"B3")</f>
        <v>Baa2</v>
      </c>
      <c r="AB23" s="35">
        <f>_xlfn.IFNA(VLOOKUP($AA23,'Rating Lookup'!$B$2:$I$27,8,0),15)</f>
        <v>9</v>
      </c>
      <c r="AC23" s="35" t="str">
        <f>_xlfn.IFNA(VLOOKUP(E23,'Lookup Table'!$M$33:$N$173,2,0),"B3")</f>
        <v>Baa3</v>
      </c>
      <c r="AD23" s="35">
        <f>_xlfn.IFNA(VLOOKUP($AC23,'Rating Lookup'!$B$2:$I$27,8,0),15)</f>
        <v>10</v>
      </c>
      <c r="AE23" s="35">
        <f t="shared" si="4"/>
        <v>0</v>
      </c>
      <c r="AG23" s="35" t="str">
        <f t="shared" si="5"/>
        <v>GARHWAL RISHIKSH HY.E.</v>
      </c>
      <c r="AH23" s="35" t="str">
        <f t="shared" si="6"/>
        <v>Government Loan</v>
      </c>
      <c r="AI23" s="202">
        <f>'ECL Calculation'!$B$1</f>
        <v>43465</v>
      </c>
      <c r="AJ23" s="202">
        <f t="shared" si="7"/>
        <v>29768</v>
      </c>
      <c r="AK23" s="202">
        <f t="shared" si="8"/>
        <v>29587</v>
      </c>
      <c r="AL23" s="127">
        <f t="shared" si="9"/>
        <v>15</v>
      </c>
      <c r="AM23" s="192">
        <f>IF(AND(IF(ISBLANK(K23),EOMONTH(AJ23,AL23*12),K23)&lt;'ECL Calculation'!$B$1,SUM('Input Sheet'!Q23,'Input Sheet'!R23)&gt;0),EOMONTH('ECL Calculation'!$B$1,12*5),IF(ISBLANK(K23),EOMONTH(AJ23,AL23*12),K23))</f>
        <v>35065</v>
      </c>
      <c r="AN23" s="203">
        <f t="shared" si="10"/>
        <v>68000000</v>
      </c>
      <c r="AO23" s="203">
        <f t="shared" si="11"/>
        <v>68000000</v>
      </c>
      <c r="AP23" s="203">
        <f t="shared" si="12"/>
        <v>0</v>
      </c>
      <c r="AQ23" s="126">
        <f>VLOOKUP(U23,'Lookup Table'!$B$2:$C$10,2,0)</f>
        <v>1</v>
      </c>
      <c r="AR23" s="127">
        <f>VLOOKUP(S23,'Lookup Table'!$B$2:$C$9,2,0)</f>
        <v>2</v>
      </c>
      <c r="AS23" s="127">
        <f>VLOOKUP(T23,'Lookup Table'!$B$2:$C$9,2,0)</f>
        <v>2</v>
      </c>
      <c r="AT23" s="136">
        <f t="shared" si="13"/>
        <v>0</v>
      </c>
      <c r="AU23" s="128">
        <f t="shared" si="14"/>
        <v>0.04</v>
      </c>
      <c r="AV23" s="136">
        <f t="shared" si="15"/>
        <v>0</v>
      </c>
      <c r="AW23" s="37" t="str">
        <f t="shared" si="16"/>
        <v>Baa2</v>
      </c>
      <c r="AX23" s="128">
        <f>VLOOKUP(E23,'Lookup Table'!$B$12:$C$82,2,0)</f>
        <v>0.04</v>
      </c>
      <c r="AY23" s="128">
        <f>'Lookup Table'!$E$3</f>
        <v>0.45</v>
      </c>
      <c r="AZ23" s="129" t="str">
        <f t="shared" si="17"/>
        <v>India</v>
      </c>
      <c r="BA23" s="37">
        <f>VLOOKUP(AA23,'Lookup Table'!$J$3:$K$27,2,0)</f>
        <v>1</v>
      </c>
      <c r="BB23" s="37">
        <f t="shared" si="18"/>
        <v>1</v>
      </c>
      <c r="BC23" s="37">
        <f t="shared" si="19"/>
        <v>1</v>
      </c>
      <c r="BD23" s="37">
        <f>IF(AND(K23&lt;'ECL Calculation'!$B$1,'Input Sheet'!W23="No"),3,IF(X23="Yes",2,1))</f>
        <v>3</v>
      </c>
      <c r="BE23" s="37">
        <f t="shared" si="20"/>
        <v>1</v>
      </c>
      <c r="BF23" s="37" t="str">
        <f t="shared" si="21"/>
        <v>Stage 3</v>
      </c>
      <c r="BG23" s="37" t="str">
        <f t="shared" si="22"/>
        <v>No</v>
      </c>
    </row>
    <row r="24" spans="1:59" x14ac:dyDescent="0.2">
      <c r="A24" s="35">
        <f t="shared" si="23"/>
        <v>22</v>
      </c>
      <c r="B24" s="33">
        <v>1022</v>
      </c>
      <c r="C24" s="33" t="s">
        <v>274</v>
      </c>
      <c r="D24" s="33" t="s">
        <v>806</v>
      </c>
      <c r="E24" s="33" t="s">
        <v>484</v>
      </c>
      <c r="F24" s="33" t="s">
        <v>542</v>
      </c>
      <c r="G24" s="117">
        <v>5</v>
      </c>
      <c r="H24" s="34">
        <v>27961</v>
      </c>
      <c r="I24" s="34">
        <v>27760</v>
      </c>
      <c r="J24" s="34">
        <v>28138</v>
      </c>
      <c r="K24" s="34">
        <v>33237</v>
      </c>
      <c r="L24" s="34">
        <v>30132</v>
      </c>
      <c r="M24" s="34">
        <v>29706</v>
      </c>
      <c r="N24" s="113">
        <v>9</v>
      </c>
      <c r="O24" s="200">
        <v>89097479.930000007</v>
      </c>
      <c r="P24" s="200">
        <v>89097479.930000007</v>
      </c>
      <c r="Q24" s="200">
        <v>0</v>
      </c>
      <c r="R24" s="201">
        <v>25924715.359999999</v>
      </c>
      <c r="S24" s="33" t="s">
        <v>22</v>
      </c>
      <c r="T24" s="33" t="s">
        <v>22</v>
      </c>
      <c r="U24" s="33" t="s">
        <v>203</v>
      </c>
      <c r="V24" s="33"/>
      <c r="W24" s="33" t="s">
        <v>210</v>
      </c>
      <c r="X24" s="33" t="s">
        <v>209</v>
      </c>
      <c r="Y24" s="33"/>
      <c r="Z24" s="33" t="s">
        <v>209</v>
      </c>
      <c r="AA24" s="35" t="str">
        <f>_xlfn.IFNA(VLOOKUP(E24,'Lookup Table'!$J$33:$K$176,2,0),"B3")</f>
        <v>Ca-C</v>
      </c>
      <c r="AB24" s="35">
        <f>_xlfn.IFNA(VLOOKUP($AA24,'Rating Lookup'!$B$2:$I$27,8,0),15)</f>
        <v>15</v>
      </c>
      <c r="AC24" s="35" t="str">
        <f>_xlfn.IFNA(VLOOKUP(E24,'Lookup Table'!$M$33:$N$173,2,0),"B3")</f>
        <v>Ca-C</v>
      </c>
      <c r="AD24" s="35">
        <f>_xlfn.IFNA(VLOOKUP($AC24,'Rating Lookup'!$B$2:$I$27,8,0),15)</f>
        <v>15</v>
      </c>
      <c r="AE24" s="35">
        <f t="shared" si="4"/>
        <v>0</v>
      </c>
      <c r="AG24" s="35" t="str">
        <f t="shared" si="5"/>
        <v>BALHAJ ABDULLAH COTTON FACTORY</v>
      </c>
      <c r="AH24" s="35" t="str">
        <f t="shared" si="6"/>
        <v>Government Loan</v>
      </c>
      <c r="AI24" s="202">
        <f>'ECL Calculation'!$B$1</f>
        <v>43465</v>
      </c>
      <c r="AJ24" s="202">
        <f t="shared" si="7"/>
        <v>30132</v>
      </c>
      <c r="AK24" s="202">
        <f t="shared" si="8"/>
        <v>29706</v>
      </c>
      <c r="AL24" s="127">
        <f t="shared" si="9"/>
        <v>9</v>
      </c>
      <c r="AM24" s="192">
        <f>IF(AND(IF(ISBLANK(K24),EOMONTH(AJ24,AL24*12),K24)&lt;'ECL Calculation'!$B$1,SUM('Input Sheet'!Q24,'Input Sheet'!R24)&gt;0),EOMONTH('ECL Calculation'!$B$1,12*5),IF(ISBLANK(K24),EOMONTH(AJ24,AL24*12),K24))</f>
        <v>45291</v>
      </c>
      <c r="AN24" s="203">
        <f t="shared" si="10"/>
        <v>89097479.930000007</v>
      </c>
      <c r="AO24" s="203">
        <f t="shared" si="11"/>
        <v>89097479.930000007</v>
      </c>
      <c r="AP24" s="203">
        <f t="shared" si="12"/>
        <v>0</v>
      </c>
      <c r="AQ24" s="126">
        <f>VLOOKUP(U24,'Lookup Table'!$B$2:$C$10,2,0)</f>
        <v>1</v>
      </c>
      <c r="AR24" s="127">
        <f>VLOOKUP(S24,'Lookup Table'!$B$2:$C$9,2,0)</f>
        <v>2</v>
      </c>
      <c r="AS24" s="127">
        <f>VLOOKUP(T24,'Lookup Table'!$B$2:$C$9,2,0)</f>
        <v>2</v>
      </c>
      <c r="AT24" s="136">
        <f t="shared" si="13"/>
        <v>0</v>
      </c>
      <c r="AU24" s="128">
        <f t="shared" si="14"/>
        <v>0.05</v>
      </c>
      <c r="AV24" s="136">
        <f t="shared" si="15"/>
        <v>25924715.359999999</v>
      </c>
      <c r="AW24" s="37" t="str">
        <f t="shared" si="16"/>
        <v>Ca-C</v>
      </c>
      <c r="AX24" s="128">
        <f>VLOOKUP(E24,'Lookup Table'!$B$12:$C$82,2,0)</f>
        <v>2.9249999999999998E-2</v>
      </c>
      <c r="AY24" s="128">
        <f>'Lookup Table'!$E$3</f>
        <v>0.45</v>
      </c>
      <c r="AZ24" s="129" t="str">
        <f t="shared" si="17"/>
        <v>Sudan</v>
      </c>
      <c r="BA24" s="37">
        <f>VLOOKUP(AA24,'Lookup Table'!$J$3:$K$27,2,0)</f>
        <v>1</v>
      </c>
      <c r="BB24" s="37">
        <f t="shared" si="18"/>
        <v>1</v>
      </c>
      <c r="BC24" s="37">
        <f t="shared" si="19"/>
        <v>1</v>
      </c>
      <c r="BD24" s="37">
        <f>IF(AND(K24&lt;'ECL Calculation'!$B$1,'Input Sheet'!W24="No"),3,IF(X24="Yes",2,1))</f>
        <v>3</v>
      </c>
      <c r="BE24" s="37">
        <f t="shared" si="20"/>
        <v>1</v>
      </c>
      <c r="BF24" s="37" t="str">
        <f t="shared" si="21"/>
        <v>Stage 3</v>
      </c>
      <c r="BG24" s="37" t="str">
        <f t="shared" si="22"/>
        <v>No</v>
      </c>
    </row>
    <row r="25" spans="1:59" x14ac:dyDescent="0.2">
      <c r="A25" s="35">
        <f t="shared" si="23"/>
        <v>23</v>
      </c>
      <c r="B25" s="33">
        <v>1023</v>
      </c>
      <c r="C25" s="33" t="s">
        <v>275</v>
      </c>
      <c r="D25" s="33" t="s">
        <v>806</v>
      </c>
      <c r="E25" s="33" t="s">
        <v>24</v>
      </c>
      <c r="F25" s="33" t="s">
        <v>542</v>
      </c>
      <c r="G25" s="117">
        <v>4</v>
      </c>
      <c r="H25" s="34">
        <v>27989</v>
      </c>
      <c r="I25" s="34">
        <v>27942</v>
      </c>
      <c r="J25" s="34">
        <v>28101</v>
      </c>
      <c r="K25" s="34">
        <v>34881</v>
      </c>
      <c r="L25" s="34">
        <v>29221</v>
      </c>
      <c r="M25" s="34">
        <v>29587</v>
      </c>
      <c r="N25" s="113">
        <v>16</v>
      </c>
      <c r="O25" s="200">
        <v>55010250.869999997</v>
      </c>
      <c r="P25" s="200">
        <v>55010250.869999997</v>
      </c>
      <c r="Q25" s="200">
        <v>0</v>
      </c>
      <c r="R25" s="201">
        <v>0</v>
      </c>
      <c r="S25" s="33" t="s">
        <v>22</v>
      </c>
      <c r="T25" s="33" t="s">
        <v>22</v>
      </c>
      <c r="U25" s="33" t="s">
        <v>203</v>
      </c>
      <c r="V25" s="33"/>
      <c r="W25" s="33" t="s">
        <v>210</v>
      </c>
      <c r="X25" s="33" t="s">
        <v>210</v>
      </c>
      <c r="Y25" s="33"/>
      <c r="Z25" s="33" t="s">
        <v>209</v>
      </c>
      <c r="AA25" s="35" t="str">
        <f>_xlfn.IFNA(VLOOKUP(E25,'Lookup Table'!$J$33:$K$176,2,0),"B3")</f>
        <v>Ba1</v>
      </c>
      <c r="AB25" s="35">
        <f>_xlfn.IFNA(VLOOKUP($AA25,'Rating Lookup'!$B$2:$I$27,8,0),15)</f>
        <v>11</v>
      </c>
      <c r="AC25" s="35" t="str">
        <f>_xlfn.IFNA(VLOOKUP(E25,'Lookup Table'!$M$33:$N$173,2,0),"B3")</f>
        <v>A1</v>
      </c>
      <c r="AD25" s="35">
        <f>_xlfn.IFNA(VLOOKUP($AC25,'Rating Lookup'!$B$2:$I$27,8,0),15)</f>
        <v>5</v>
      </c>
      <c r="AE25" s="35">
        <f t="shared" si="4"/>
        <v>6</v>
      </c>
      <c r="AG25" s="35" t="str">
        <f t="shared" si="5"/>
        <v>GAS FIELDS DEVELOPMENT IN EBAL</v>
      </c>
      <c r="AH25" s="35" t="str">
        <f t="shared" si="6"/>
        <v>Government Loan</v>
      </c>
      <c r="AI25" s="202">
        <f>'ECL Calculation'!$B$1</f>
        <v>43465</v>
      </c>
      <c r="AJ25" s="202">
        <f t="shared" si="7"/>
        <v>29221</v>
      </c>
      <c r="AK25" s="202">
        <f t="shared" si="8"/>
        <v>29587</v>
      </c>
      <c r="AL25" s="127">
        <f t="shared" si="9"/>
        <v>16</v>
      </c>
      <c r="AM25" s="192">
        <f>IF(AND(IF(ISBLANK(K25),EOMONTH(AJ25,AL25*12),K25)&lt;'ECL Calculation'!$B$1,SUM('Input Sheet'!Q25,'Input Sheet'!R25)&gt;0),EOMONTH('ECL Calculation'!$B$1,12*5),IF(ISBLANK(K25),EOMONTH(AJ25,AL25*12),K25))</f>
        <v>34881</v>
      </c>
      <c r="AN25" s="203">
        <f t="shared" si="10"/>
        <v>55010250.869999997</v>
      </c>
      <c r="AO25" s="203">
        <f t="shared" si="11"/>
        <v>55010250.869999997</v>
      </c>
      <c r="AP25" s="203">
        <f t="shared" si="12"/>
        <v>0</v>
      </c>
      <c r="AQ25" s="126">
        <f>VLOOKUP(U25,'Lookup Table'!$B$2:$C$10,2,0)</f>
        <v>1</v>
      </c>
      <c r="AR25" s="127">
        <f>VLOOKUP(S25,'Lookup Table'!$B$2:$C$9,2,0)</f>
        <v>2</v>
      </c>
      <c r="AS25" s="127">
        <f>VLOOKUP(T25,'Lookup Table'!$B$2:$C$9,2,0)</f>
        <v>2</v>
      </c>
      <c r="AT25" s="136">
        <f t="shared" si="13"/>
        <v>0</v>
      </c>
      <c r="AU25" s="128">
        <f t="shared" si="14"/>
        <v>0.04</v>
      </c>
      <c r="AV25" s="136">
        <f t="shared" si="15"/>
        <v>0</v>
      </c>
      <c r="AW25" s="37" t="str">
        <f t="shared" si="16"/>
        <v>Ba1</v>
      </c>
      <c r="AX25" s="128">
        <f>VLOOKUP(E25,'Lookup Table'!$B$12:$C$82,2,0)</f>
        <v>3.6818181818181819E-2</v>
      </c>
      <c r="AY25" s="128">
        <f>'Lookup Table'!$E$3</f>
        <v>0.45</v>
      </c>
      <c r="AZ25" s="129" t="str">
        <f t="shared" si="17"/>
        <v>Oman</v>
      </c>
      <c r="BA25" s="37">
        <f>VLOOKUP(AA25,'Lookup Table'!$J$3:$K$27,2,0)</f>
        <v>1</v>
      </c>
      <c r="BB25" s="37">
        <f t="shared" si="18"/>
        <v>2</v>
      </c>
      <c r="BC25" s="37">
        <f t="shared" si="19"/>
        <v>1</v>
      </c>
      <c r="BD25" s="37">
        <f>IF(AND(K25&lt;'ECL Calculation'!$B$1,'Input Sheet'!W25="No"),3,IF(X25="Yes",2,1))</f>
        <v>3</v>
      </c>
      <c r="BE25" s="37">
        <f t="shared" si="20"/>
        <v>1</v>
      </c>
      <c r="BF25" s="37" t="str">
        <f t="shared" si="21"/>
        <v>Stage 3</v>
      </c>
      <c r="BG25" s="37" t="str">
        <f t="shared" si="22"/>
        <v>No</v>
      </c>
    </row>
    <row r="26" spans="1:59" x14ac:dyDescent="0.2">
      <c r="A26" s="35">
        <f t="shared" si="23"/>
        <v>24</v>
      </c>
      <c r="B26" s="33">
        <v>1024</v>
      </c>
      <c r="C26" s="33" t="s">
        <v>276</v>
      </c>
      <c r="D26" s="33" t="s">
        <v>806</v>
      </c>
      <c r="E26" s="33" t="s">
        <v>485</v>
      </c>
      <c r="F26" s="33" t="s">
        <v>542</v>
      </c>
      <c r="G26" s="117">
        <v>3.5</v>
      </c>
      <c r="H26" s="34">
        <v>28057</v>
      </c>
      <c r="I26" s="34">
        <v>28284</v>
      </c>
      <c r="J26" s="34">
        <v>28284</v>
      </c>
      <c r="K26" s="34">
        <v>35034</v>
      </c>
      <c r="L26" s="34">
        <v>29921</v>
      </c>
      <c r="M26" s="34">
        <v>29738</v>
      </c>
      <c r="N26" s="113">
        <v>14</v>
      </c>
      <c r="O26" s="200">
        <v>14987893.970000001</v>
      </c>
      <c r="P26" s="200">
        <v>14987893.970000001</v>
      </c>
      <c r="Q26" s="200">
        <v>0</v>
      </c>
      <c r="R26" s="201">
        <v>0</v>
      </c>
      <c r="S26" s="33" t="s">
        <v>22</v>
      </c>
      <c r="T26" s="33" t="s">
        <v>22</v>
      </c>
      <c r="U26" s="33" t="s">
        <v>203</v>
      </c>
      <c r="V26" s="33"/>
      <c r="W26" s="33" t="s">
        <v>210</v>
      </c>
      <c r="X26" s="33" t="s">
        <v>210</v>
      </c>
      <c r="Y26" s="33"/>
      <c r="Z26" s="33" t="s">
        <v>209</v>
      </c>
      <c r="AA26" s="35" t="str">
        <f>_xlfn.IFNA(VLOOKUP(E26,'Lookup Table'!$J$33:$K$176,2,0),"B3")</f>
        <v>B3</v>
      </c>
      <c r="AB26" s="35">
        <f>_xlfn.IFNA(VLOOKUP($AA26,'Rating Lookup'!$B$2:$I$27,8,0),15)</f>
        <v>16</v>
      </c>
      <c r="AC26" s="35">
        <f>_xlfn.IFNA(VLOOKUP(E26,'Lookup Table'!$M$33:$N$173,2,0),"B3")</f>
        <v>0</v>
      </c>
      <c r="AD26" s="35">
        <f>_xlfn.IFNA(VLOOKUP($AC26,'Rating Lookup'!$B$2:$I$27,8,0),15)</f>
        <v>15</v>
      </c>
      <c r="AE26" s="35">
        <f t="shared" si="4"/>
        <v>1</v>
      </c>
      <c r="AG26" s="35" t="str">
        <f t="shared" si="5"/>
        <v>SELINGUE DAM PROJECT</v>
      </c>
      <c r="AH26" s="35" t="str">
        <f t="shared" si="6"/>
        <v>Government Loan</v>
      </c>
      <c r="AI26" s="202">
        <f>'ECL Calculation'!$B$1</f>
        <v>43465</v>
      </c>
      <c r="AJ26" s="202">
        <f t="shared" si="7"/>
        <v>29921</v>
      </c>
      <c r="AK26" s="202">
        <f t="shared" si="8"/>
        <v>29738</v>
      </c>
      <c r="AL26" s="127">
        <f t="shared" si="9"/>
        <v>14</v>
      </c>
      <c r="AM26" s="192">
        <f>IF(AND(IF(ISBLANK(K26),EOMONTH(AJ26,AL26*12),K26)&lt;'ECL Calculation'!$B$1,SUM('Input Sheet'!Q26,'Input Sheet'!R26)&gt;0),EOMONTH('ECL Calculation'!$B$1,12*5),IF(ISBLANK(K26),EOMONTH(AJ26,AL26*12),K26))</f>
        <v>35034</v>
      </c>
      <c r="AN26" s="203">
        <f t="shared" si="10"/>
        <v>14987893.970000001</v>
      </c>
      <c r="AO26" s="203">
        <f t="shared" si="11"/>
        <v>14987893.970000001</v>
      </c>
      <c r="AP26" s="203">
        <f t="shared" si="12"/>
        <v>0</v>
      </c>
      <c r="AQ26" s="126">
        <f>VLOOKUP(U26,'Lookup Table'!$B$2:$C$10,2,0)</f>
        <v>1</v>
      </c>
      <c r="AR26" s="127">
        <f>VLOOKUP(S26,'Lookup Table'!$B$2:$C$9,2,0)</f>
        <v>2</v>
      </c>
      <c r="AS26" s="127">
        <f>VLOOKUP(T26,'Lookup Table'!$B$2:$C$9,2,0)</f>
        <v>2</v>
      </c>
      <c r="AT26" s="136">
        <f t="shared" si="13"/>
        <v>0</v>
      </c>
      <c r="AU26" s="128">
        <f t="shared" si="14"/>
        <v>3.5000000000000003E-2</v>
      </c>
      <c r="AV26" s="136">
        <f t="shared" si="15"/>
        <v>0</v>
      </c>
      <c r="AW26" s="37" t="str">
        <f t="shared" si="16"/>
        <v>B3</v>
      </c>
      <c r="AX26" s="128">
        <f>VLOOKUP(E26,'Lookup Table'!$B$12:$C$82,2,0)</f>
        <v>2.2000000000000002E-2</v>
      </c>
      <c r="AY26" s="128">
        <f>'Lookup Table'!$E$3</f>
        <v>0.45</v>
      </c>
      <c r="AZ26" s="129" t="str">
        <f t="shared" si="17"/>
        <v>Mali</v>
      </c>
      <c r="BA26" s="37">
        <f>VLOOKUP(AA26,'Lookup Table'!$J$3:$K$27,2,0)</f>
        <v>1</v>
      </c>
      <c r="BB26" s="37">
        <f t="shared" si="18"/>
        <v>2</v>
      </c>
      <c r="BC26" s="37">
        <f t="shared" si="19"/>
        <v>1</v>
      </c>
      <c r="BD26" s="37">
        <f>IF(AND(K26&lt;'ECL Calculation'!$B$1,'Input Sheet'!W26="No"),3,IF(X26="Yes",2,1))</f>
        <v>3</v>
      </c>
      <c r="BE26" s="37">
        <f t="shared" si="20"/>
        <v>1</v>
      </c>
      <c r="BF26" s="37" t="str">
        <f t="shared" si="21"/>
        <v>Stage 3</v>
      </c>
      <c r="BG26" s="37" t="str">
        <f t="shared" si="22"/>
        <v>No</v>
      </c>
    </row>
    <row r="27" spans="1:59" x14ac:dyDescent="0.2">
      <c r="A27" s="35">
        <f t="shared" si="23"/>
        <v>25</v>
      </c>
      <c r="B27" s="33">
        <v>1025</v>
      </c>
      <c r="C27" s="33" t="s">
        <v>277</v>
      </c>
      <c r="D27" s="33" t="s">
        <v>806</v>
      </c>
      <c r="E27" s="33" t="s">
        <v>486</v>
      </c>
      <c r="F27" s="33" t="s">
        <v>542</v>
      </c>
      <c r="G27" s="117">
        <v>4.5</v>
      </c>
      <c r="H27" s="34">
        <v>28068</v>
      </c>
      <c r="I27" s="34">
        <v>28138</v>
      </c>
      <c r="J27" s="34">
        <v>28138</v>
      </c>
      <c r="K27" s="34">
        <v>33373</v>
      </c>
      <c r="L27" s="34">
        <v>29905</v>
      </c>
      <c r="M27" s="34">
        <v>29721</v>
      </c>
      <c r="N27" s="113">
        <v>10</v>
      </c>
      <c r="O27" s="200">
        <v>16000000</v>
      </c>
      <c r="P27" s="200">
        <v>16000000</v>
      </c>
      <c r="Q27" s="200">
        <v>0</v>
      </c>
      <c r="R27" s="201">
        <v>0</v>
      </c>
      <c r="S27" s="33" t="s">
        <v>22</v>
      </c>
      <c r="T27" s="33" t="s">
        <v>22</v>
      </c>
      <c r="U27" s="33" t="s">
        <v>203</v>
      </c>
      <c r="V27" s="33"/>
      <c r="W27" s="33" t="s">
        <v>210</v>
      </c>
      <c r="X27" s="33" t="s">
        <v>210</v>
      </c>
      <c r="Y27" s="33"/>
      <c r="Z27" s="33" t="s">
        <v>209</v>
      </c>
      <c r="AA27" s="35" t="str">
        <f>_xlfn.IFNA(VLOOKUP(E27,'Lookup Table'!$J$33:$K$176,2,0),"B3")</f>
        <v>A3</v>
      </c>
      <c r="AB27" s="35">
        <f>_xlfn.IFNA(VLOOKUP($AA27,'Rating Lookup'!$B$2:$I$27,8,0),15)</f>
        <v>7</v>
      </c>
      <c r="AC27" s="35" t="str">
        <f>_xlfn.IFNA(VLOOKUP(E27,'Lookup Table'!$M$33:$N$173,2,0),"B3")</f>
        <v>A3</v>
      </c>
      <c r="AD27" s="35">
        <f>_xlfn.IFNA(VLOOKUP($AC27,'Rating Lookup'!$B$2:$I$27,8,0),15)</f>
        <v>7</v>
      </c>
      <c r="AE27" s="35">
        <f t="shared" si="4"/>
        <v>0</v>
      </c>
      <c r="AG27" s="35" t="str">
        <f t="shared" si="5"/>
        <v>SABAH FLOUR &amp; FEED MI.</v>
      </c>
      <c r="AH27" s="35" t="str">
        <f t="shared" si="6"/>
        <v>Government Loan</v>
      </c>
      <c r="AI27" s="202">
        <f>'ECL Calculation'!$B$1</f>
        <v>43465</v>
      </c>
      <c r="AJ27" s="202">
        <f t="shared" si="7"/>
        <v>29905</v>
      </c>
      <c r="AK27" s="202">
        <f t="shared" si="8"/>
        <v>29721</v>
      </c>
      <c r="AL27" s="127">
        <f t="shared" si="9"/>
        <v>10</v>
      </c>
      <c r="AM27" s="192">
        <f>IF(AND(IF(ISBLANK(K27),EOMONTH(AJ27,AL27*12),K27)&lt;'ECL Calculation'!$B$1,SUM('Input Sheet'!Q27,'Input Sheet'!R27)&gt;0),EOMONTH('ECL Calculation'!$B$1,12*5),IF(ISBLANK(K27),EOMONTH(AJ27,AL27*12),K27))</f>
        <v>33373</v>
      </c>
      <c r="AN27" s="203">
        <f t="shared" si="10"/>
        <v>16000000</v>
      </c>
      <c r="AO27" s="203">
        <f t="shared" si="11"/>
        <v>16000000</v>
      </c>
      <c r="AP27" s="203">
        <f t="shared" si="12"/>
        <v>0</v>
      </c>
      <c r="AQ27" s="126">
        <f>VLOOKUP(U27,'Lookup Table'!$B$2:$C$10,2,0)</f>
        <v>1</v>
      </c>
      <c r="AR27" s="127">
        <f>VLOOKUP(S27,'Lookup Table'!$B$2:$C$9,2,0)</f>
        <v>2</v>
      </c>
      <c r="AS27" s="127">
        <f>VLOOKUP(T27,'Lookup Table'!$B$2:$C$9,2,0)</f>
        <v>2</v>
      </c>
      <c r="AT27" s="136">
        <f t="shared" si="13"/>
        <v>0</v>
      </c>
      <c r="AU27" s="128">
        <f t="shared" si="14"/>
        <v>4.4999999999999998E-2</v>
      </c>
      <c r="AV27" s="136">
        <f t="shared" si="15"/>
        <v>0</v>
      </c>
      <c r="AW27" s="37" t="str">
        <f t="shared" si="16"/>
        <v>A3</v>
      </c>
      <c r="AX27" s="128">
        <f>VLOOKUP(E27,'Lookup Table'!$B$12:$C$82,2,0)</f>
        <v>4.4999999999999998E-2</v>
      </c>
      <c r="AY27" s="128">
        <f>'Lookup Table'!$E$3</f>
        <v>0.45</v>
      </c>
      <c r="AZ27" s="129" t="str">
        <f t="shared" si="17"/>
        <v>Malaysia</v>
      </c>
      <c r="BA27" s="37">
        <f>VLOOKUP(AA27,'Lookup Table'!$J$3:$K$27,2,0)</f>
        <v>1</v>
      </c>
      <c r="BB27" s="37">
        <f t="shared" si="18"/>
        <v>1</v>
      </c>
      <c r="BC27" s="37">
        <f t="shared" si="19"/>
        <v>1</v>
      </c>
      <c r="BD27" s="37">
        <f>IF(AND(K27&lt;'ECL Calculation'!$B$1,'Input Sheet'!W27="No"),3,IF(X27="Yes",2,1))</f>
        <v>3</v>
      </c>
      <c r="BE27" s="37">
        <f t="shared" si="20"/>
        <v>1</v>
      </c>
      <c r="BF27" s="37" t="str">
        <f t="shared" si="21"/>
        <v>Stage 3</v>
      </c>
      <c r="BG27" s="37" t="str">
        <f t="shared" si="22"/>
        <v>No</v>
      </c>
    </row>
    <row r="28" spans="1:59" x14ac:dyDescent="0.2">
      <c r="A28" s="35">
        <f t="shared" si="23"/>
        <v>26</v>
      </c>
      <c r="B28" s="33">
        <v>1026</v>
      </c>
      <c r="C28" s="33" t="s">
        <v>278</v>
      </c>
      <c r="D28" s="33" t="s">
        <v>806</v>
      </c>
      <c r="E28" s="33" t="s">
        <v>486</v>
      </c>
      <c r="F28" s="33" t="s">
        <v>542</v>
      </c>
      <c r="G28" s="117">
        <v>4.5</v>
      </c>
      <c r="H28" s="34">
        <v>28071</v>
      </c>
      <c r="I28" s="34">
        <v>28299</v>
      </c>
      <c r="J28" s="34">
        <v>28299</v>
      </c>
      <c r="K28" s="34">
        <v>33192</v>
      </c>
      <c r="L28" s="34">
        <v>31001</v>
      </c>
      <c r="M28" s="34">
        <v>29721</v>
      </c>
      <c r="N28" s="113">
        <v>6</v>
      </c>
      <c r="O28" s="200">
        <v>10845819.800000001</v>
      </c>
      <c r="P28" s="200">
        <v>10845819.800000001</v>
      </c>
      <c r="Q28" s="200">
        <v>0</v>
      </c>
      <c r="R28" s="201">
        <v>0</v>
      </c>
      <c r="S28" s="33" t="s">
        <v>22</v>
      </c>
      <c r="T28" s="33" t="s">
        <v>22</v>
      </c>
      <c r="U28" s="33" t="s">
        <v>203</v>
      </c>
      <c r="V28" s="33"/>
      <c r="W28" s="33" t="s">
        <v>210</v>
      </c>
      <c r="X28" s="33" t="s">
        <v>210</v>
      </c>
      <c r="Y28" s="33"/>
      <c r="Z28" s="33" t="s">
        <v>209</v>
      </c>
      <c r="AA28" s="35" t="str">
        <f>_xlfn.IFNA(VLOOKUP(E28,'Lookup Table'!$J$33:$K$176,2,0),"B3")</f>
        <v>A3</v>
      </c>
      <c r="AB28" s="35">
        <f>_xlfn.IFNA(VLOOKUP($AA28,'Rating Lookup'!$B$2:$I$27,8,0),15)</f>
        <v>7</v>
      </c>
      <c r="AC28" s="35" t="str">
        <f>_xlfn.IFNA(VLOOKUP(E28,'Lookup Table'!$M$33:$N$173,2,0),"B3")</f>
        <v>A3</v>
      </c>
      <c r="AD28" s="35">
        <f>_xlfn.IFNA(VLOOKUP($AC28,'Rating Lookup'!$B$2:$I$27,8,0),15)</f>
        <v>7</v>
      </c>
      <c r="AE28" s="35">
        <f t="shared" si="4"/>
        <v>0</v>
      </c>
      <c r="AG28" s="35" t="str">
        <f t="shared" si="5"/>
        <v>SARAWAK LAND DEVELOPMENT</v>
      </c>
      <c r="AH28" s="35" t="str">
        <f t="shared" si="6"/>
        <v>Government Loan</v>
      </c>
      <c r="AI28" s="202">
        <f>'ECL Calculation'!$B$1</f>
        <v>43465</v>
      </c>
      <c r="AJ28" s="202">
        <f t="shared" si="7"/>
        <v>31001</v>
      </c>
      <c r="AK28" s="202">
        <f t="shared" si="8"/>
        <v>29721</v>
      </c>
      <c r="AL28" s="127">
        <f t="shared" si="9"/>
        <v>6</v>
      </c>
      <c r="AM28" s="192">
        <f>IF(AND(IF(ISBLANK(K28),EOMONTH(AJ28,AL28*12),K28)&lt;'ECL Calculation'!$B$1,SUM('Input Sheet'!Q28,'Input Sheet'!R28)&gt;0),EOMONTH('ECL Calculation'!$B$1,12*5),IF(ISBLANK(K28),EOMONTH(AJ28,AL28*12),K28))</f>
        <v>33192</v>
      </c>
      <c r="AN28" s="203">
        <f t="shared" si="10"/>
        <v>10845819.800000001</v>
      </c>
      <c r="AO28" s="203">
        <f t="shared" si="11"/>
        <v>10845819.800000001</v>
      </c>
      <c r="AP28" s="203">
        <f t="shared" si="12"/>
        <v>0</v>
      </c>
      <c r="AQ28" s="126">
        <f>VLOOKUP(U28,'Lookup Table'!$B$2:$C$10,2,0)</f>
        <v>1</v>
      </c>
      <c r="AR28" s="127">
        <f>VLOOKUP(S28,'Lookup Table'!$B$2:$C$9,2,0)</f>
        <v>2</v>
      </c>
      <c r="AS28" s="127">
        <f>VLOOKUP(T28,'Lookup Table'!$B$2:$C$9,2,0)</f>
        <v>2</v>
      </c>
      <c r="AT28" s="136">
        <f t="shared" si="13"/>
        <v>0</v>
      </c>
      <c r="AU28" s="128">
        <f t="shared" si="14"/>
        <v>4.4999999999999998E-2</v>
      </c>
      <c r="AV28" s="136">
        <f t="shared" si="15"/>
        <v>0</v>
      </c>
      <c r="AW28" s="37" t="str">
        <f t="shared" si="16"/>
        <v>A3</v>
      </c>
      <c r="AX28" s="128">
        <f>VLOOKUP(E28,'Lookup Table'!$B$12:$C$82,2,0)</f>
        <v>4.4999999999999998E-2</v>
      </c>
      <c r="AY28" s="128">
        <f>'Lookup Table'!$E$3</f>
        <v>0.45</v>
      </c>
      <c r="AZ28" s="129" t="str">
        <f t="shared" si="17"/>
        <v>Malaysia</v>
      </c>
      <c r="BA28" s="37">
        <f>VLOOKUP(AA28,'Lookup Table'!$J$3:$K$27,2,0)</f>
        <v>1</v>
      </c>
      <c r="BB28" s="37">
        <f t="shared" si="18"/>
        <v>1</v>
      </c>
      <c r="BC28" s="37">
        <f t="shared" si="19"/>
        <v>1</v>
      </c>
      <c r="BD28" s="37">
        <f>IF(AND(K28&lt;'ECL Calculation'!$B$1,'Input Sheet'!W28="No"),3,IF(X28="Yes",2,1))</f>
        <v>3</v>
      </c>
      <c r="BE28" s="37">
        <f t="shared" si="20"/>
        <v>1</v>
      </c>
      <c r="BF28" s="37" t="str">
        <f t="shared" si="21"/>
        <v>Stage 3</v>
      </c>
      <c r="BG28" s="37" t="str">
        <f t="shared" si="22"/>
        <v>No</v>
      </c>
    </row>
    <row r="29" spans="1:59" x14ac:dyDescent="0.2">
      <c r="A29" s="35">
        <f t="shared" si="23"/>
        <v>27</v>
      </c>
      <c r="B29" s="33">
        <v>1027</v>
      </c>
      <c r="C29" s="33" t="s">
        <v>271</v>
      </c>
      <c r="D29" s="33" t="s">
        <v>806</v>
      </c>
      <c r="E29" s="33" t="s">
        <v>487</v>
      </c>
      <c r="F29" s="33" t="s">
        <v>542</v>
      </c>
      <c r="G29" s="117">
        <v>5</v>
      </c>
      <c r="H29" s="34">
        <v>28077</v>
      </c>
      <c r="I29" s="34">
        <v>28194</v>
      </c>
      <c r="J29" s="34">
        <v>28194</v>
      </c>
      <c r="K29" s="34">
        <v>33786</v>
      </c>
      <c r="L29" s="34">
        <v>30317</v>
      </c>
      <c r="M29" s="34">
        <v>29587</v>
      </c>
      <c r="N29" s="113">
        <v>10</v>
      </c>
      <c r="O29" s="200">
        <v>19916786.16</v>
      </c>
      <c r="P29" s="200">
        <v>19916786.16</v>
      </c>
      <c r="Q29" s="200">
        <v>0</v>
      </c>
      <c r="R29" s="201">
        <v>0</v>
      </c>
      <c r="S29" s="33" t="s">
        <v>22</v>
      </c>
      <c r="T29" s="33" t="s">
        <v>22</v>
      </c>
      <c r="U29" s="33" t="s">
        <v>203</v>
      </c>
      <c r="V29" s="33"/>
      <c r="W29" s="33" t="s">
        <v>210</v>
      </c>
      <c r="X29" s="33" t="s">
        <v>210</v>
      </c>
      <c r="Y29" s="33"/>
      <c r="Z29" s="33" t="s">
        <v>209</v>
      </c>
      <c r="AA29" s="35" t="str">
        <f>_xlfn.IFNA(VLOOKUP(E29,'Lookup Table'!$J$33:$K$176,2,0),"B3")</f>
        <v>B2</v>
      </c>
      <c r="AB29" s="35">
        <f>_xlfn.IFNA(VLOOKUP($AA29,'Rating Lookup'!$B$2:$I$27,8,0),15)</f>
        <v>15</v>
      </c>
      <c r="AC29" s="35" t="str">
        <f>_xlfn.IFNA(VLOOKUP(E29,'Lookup Table'!$M$33:$N$173,2,0),"B3")</f>
        <v>B1</v>
      </c>
      <c r="AD29" s="35">
        <f>_xlfn.IFNA(VLOOKUP($AC29,'Rating Lookup'!$B$2:$I$27,8,0),15)</f>
        <v>14</v>
      </c>
      <c r="AE29" s="35">
        <f t="shared" si="4"/>
        <v>1</v>
      </c>
      <c r="AG29" s="35" t="str">
        <f t="shared" si="5"/>
        <v>FISHERIES DEVELOPMENT</v>
      </c>
      <c r="AH29" s="35" t="str">
        <f t="shared" si="6"/>
        <v>Government Loan</v>
      </c>
      <c r="AI29" s="202">
        <f>'ECL Calculation'!$B$1</f>
        <v>43465</v>
      </c>
      <c r="AJ29" s="202">
        <f t="shared" si="7"/>
        <v>30317</v>
      </c>
      <c r="AK29" s="202">
        <f t="shared" si="8"/>
        <v>29587</v>
      </c>
      <c r="AL29" s="127">
        <f t="shared" si="9"/>
        <v>10</v>
      </c>
      <c r="AM29" s="192">
        <f>IF(AND(IF(ISBLANK(K29),EOMONTH(AJ29,AL29*12),K29)&lt;'ECL Calculation'!$B$1,SUM('Input Sheet'!Q29,'Input Sheet'!R29)&gt;0),EOMONTH('ECL Calculation'!$B$1,12*5),IF(ISBLANK(K29),EOMONTH(AJ29,AL29*12),K29))</f>
        <v>33786</v>
      </c>
      <c r="AN29" s="203">
        <f t="shared" si="10"/>
        <v>19916786.16</v>
      </c>
      <c r="AO29" s="203">
        <f t="shared" si="11"/>
        <v>19916786.16</v>
      </c>
      <c r="AP29" s="203">
        <f t="shared" si="12"/>
        <v>0</v>
      </c>
      <c r="AQ29" s="126">
        <f>VLOOKUP(U29,'Lookup Table'!$B$2:$C$10,2,0)</f>
        <v>1</v>
      </c>
      <c r="AR29" s="127">
        <f>VLOOKUP(S29,'Lookup Table'!$B$2:$C$9,2,0)</f>
        <v>2</v>
      </c>
      <c r="AS29" s="127">
        <f>VLOOKUP(T29,'Lookup Table'!$B$2:$C$9,2,0)</f>
        <v>2</v>
      </c>
      <c r="AT29" s="136">
        <f t="shared" si="13"/>
        <v>0</v>
      </c>
      <c r="AU29" s="128">
        <f t="shared" si="14"/>
        <v>0.05</v>
      </c>
      <c r="AV29" s="136">
        <f t="shared" si="15"/>
        <v>0</v>
      </c>
      <c r="AW29" s="37" t="str">
        <f t="shared" si="16"/>
        <v>B2</v>
      </c>
      <c r="AX29" s="128">
        <f>VLOOKUP(E29,'Lookup Table'!$B$12:$C$82,2,0)</f>
        <v>0.05</v>
      </c>
      <c r="AY29" s="128">
        <f>'Lookup Table'!$E$3</f>
        <v>0.45</v>
      </c>
      <c r="AZ29" s="129" t="str">
        <f t="shared" si="17"/>
        <v>Sri Lanka</v>
      </c>
      <c r="BA29" s="37">
        <f>VLOOKUP(AA29,'Lookup Table'!$J$3:$K$27,2,0)</f>
        <v>1</v>
      </c>
      <c r="BB29" s="37">
        <f t="shared" si="18"/>
        <v>2</v>
      </c>
      <c r="BC29" s="37">
        <f t="shared" si="19"/>
        <v>1</v>
      </c>
      <c r="BD29" s="37">
        <f>IF(AND(K29&lt;'ECL Calculation'!$B$1,'Input Sheet'!W29="No"),3,IF(X29="Yes",2,1))</f>
        <v>3</v>
      </c>
      <c r="BE29" s="37">
        <f t="shared" si="20"/>
        <v>1</v>
      </c>
      <c r="BF29" s="37" t="str">
        <f t="shared" si="21"/>
        <v>Stage 3</v>
      </c>
      <c r="BG29" s="37" t="str">
        <f t="shared" si="22"/>
        <v>No</v>
      </c>
    </row>
    <row r="30" spans="1:59" x14ac:dyDescent="0.2">
      <c r="A30" s="35">
        <f t="shared" si="23"/>
        <v>28</v>
      </c>
      <c r="B30" s="33">
        <v>1028</v>
      </c>
      <c r="C30" s="33" t="s">
        <v>279</v>
      </c>
      <c r="D30" s="33" t="s">
        <v>806</v>
      </c>
      <c r="E30" s="33" t="s">
        <v>488</v>
      </c>
      <c r="F30" s="33" t="s">
        <v>542</v>
      </c>
      <c r="G30" s="117">
        <v>4</v>
      </c>
      <c r="H30" s="34">
        <v>29920</v>
      </c>
      <c r="I30" s="34">
        <v>30028</v>
      </c>
      <c r="J30" s="34">
        <v>30028</v>
      </c>
      <c r="K30" s="34">
        <v>35309</v>
      </c>
      <c r="L30" s="34">
        <v>31107</v>
      </c>
      <c r="M30" s="34">
        <v>29677</v>
      </c>
      <c r="N30" s="113">
        <v>12</v>
      </c>
      <c r="O30" s="200">
        <v>0</v>
      </c>
      <c r="P30" s="200">
        <v>0</v>
      </c>
      <c r="Q30" s="200">
        <v>0</v>
      </c>
      <c r="R30" s="201">
        <v>0</v>
      </c>
      <c r="S30" s="33" t="s">
        <v>22</v>
      </c>
      <c r="T30" s="33" t="s">
        <v>22</v>
      </c>
      <c r="U30" s="33" t="s">
        <v>203</v>
      </c>
      <c r="V30" s="33"/>
      <c r="W30" s="33" t="s">
        <v>210</v>
      </c>
      <c r="X30" s="33" t="s">
        <v>210</v>
      </c>
      <c r="Y30" s="33"/>
      <c r="Z30" s="33" t="s">
        <v>209</v>
      </c>
      <c r="AA30" s="35" t="str">
        <f>_xlfn.IFNA(VLOOKUP(E30,'Lookup Table'!$J$33:$K$176,2,0),"B3")</f>
        <v>B2</v>
      </c>
      <c r="AB30" s="35">
        <f>_xlfn.IFNA(VLOOKUP($AA30,'Rating Lookup'!$B$2:$I$27,8,0),15)</f>
        <v>15</v>
      </c>
      <c r="AC30" s="35">
        <f>_xlfn.IFNA(VLOOKUP(E30,'Lookup Table'!$M$33:$N$173,2,0),"B3")</f>
        <v>0</v>
      </c>
      <c r="AD30" s="35">
        <f>_xlfn.IFNA(VLOOKUP($AC30,'Rating Lookup'!$B$2:$I$27,8,0),15)</f>
        <v>15</v>
      </c>
      <c r="AE30" s="35">
        <f t="shared" si="4"/>
        <v>0</v>
      </c>
      <c r="AG30" s="35" t="str">
        <f t="shared" si="5"/>
        <v>DWALA BAOUND ROAD</v>
      </c>
      <c r="AH30" s="35" t="str">
        <f t="shared" si="6"/>
        <v>Government Loan</v>
      </c>
      <c r="AI30" s="202">
        <f>'ECL Calculation'!$B$1</f>
        <v>43465</v>
      </c>
      <c r="AJ30" s="202">
        <f t="shared" si="7"/>
        <v>31107</v>
      </c>
      <c r="AK30" s="202">
        <f t="shared" si="8"/>
        <v>29677</v>
      </c>
      <c r="AL30" s="127">
        <f t="shared" si="9"/>
        <v>12</v>
      </c>
      <c r="AM30" s="192">
        <f>IF(AND(IF(ISBLANK(K30),EOMONTH(AJ30,AL30*12),K30)&lt;'ECL Calculation'!$B$1,SUM('Input Sheet'!Q30,'Input Sheet'!R30)&gt;0),EOMONTH('ECL Calculation'!$B$1,12*5),IF(ISBLANK(K30),EOMONTH(AJ30,AL30*12),K30))</f>
        <v>35309</v>
      </c>
      <c r="AN30" s="203">
        <f t="shared" si="10"/>
        <v>0</v>
      </c>
      <c r="AO30" s="203">
        <f t="shared" si="11"/>
        <v>0</v>
      </c>
      <c r="AP30" s="203">
        <f t="shared" si="12"/>
        <v>0</v>
      </c>
      <c r="AQ30" s="126">
        <f>VLOOKUP(U30,'Lookup Table'!$B$2:$C$10,2,0)</f>
        <v>1</v>
      </c>
      <c r="AR30" s="127">
        <f>VLOOKUP(S30,'Lookup Table'!$B$2:$C$9,2,0)</f>
        <v>2</v>
      </c>
      <c r="AS30" s="127">
        <f>VLOOKUP(T30,'Lookup Table'!$B$2:$C$9,2,0)</f>
        <v>2</v>
      </c>
      <c r="AT30" s="136">
        <f t="shared" si="13"/>
        <v>0</v>
      </c>
      <c r="AU30" s="128">
        <f t="shared" si="14"/>
        <v>0.04</v>
      </c>
      <c r="AV30" s="136">
        <f t="shared" si="15"/>
        <v>0</v>
      </c>
      <c r="AW30" s="37" t="str">
        <f t="shared" si="16"/>
        <v>B2</v>
      </c>
      <c r="AX30" s="128">
        <f>VLOOKUP(E30,'Lookup Table'!$B$12:$C$82,2,0)</f>
        <v>0.04</v>
      </c>
      <c r="AY30" s="128">
        <f>'Lookup Table'!$E$3</f>
        <v>0.45</v>
      </c>
      <c r="AZ30" s="129" t="str">
        <f t="shared" si="17"/>
        <v>Cameroon</v>
      </c>
      <c r="BA30" s="37">
        <f>VLOOKUP(AA30,'Lookup Table'!$J$3:$K$27,2,0)</f>
        <v>1</v>
      </c>
      <c r="BB30" s="37">
        <f t="shared" si="18"/>
        <v>1</v>
      </c>
      <c r="BC30" s="37">
        <f t="shared" si="19"/>
        <v>1</v>
      </c>
      <c r="BD30" s="37">
        <f>IF(AND(K30&lt;'ECL Calculation'!$B$1,'Input Sheet'!W30="No"),3,IF(X30="Yes",2,1))</f>
        <v>3</v>
      </c>
      <c r="BE30" s="37">
        <f t="shared" si="20"/>
        <v>1</v>
      </c>
      <c r="BF30" s="37" t="str">
        <f t="shared" si="21"/>
        <v>Stage 3</v>
      </c>
      <c r="BG30" s="37" t="str">
        <f t="shared" si="22"/>
        <v>No</v>
      </c>
    </row>
    <row r="31" spans="1:59" x14ac:dyDescent="0.2">
      <c r="A31" s="35">
        <f t="shared" si="23"/>
        <v>29</v>
      </c>
      <c r="B31" s="33">
        <v>1029</v>
      </c>
      <c r="C31" s="33" t="s">
        <v>280</v>
      </c>
      <c r="D31" s="33" t="s">
        <v>806</v>
      </c>
      <c r="E31" s="33" t="s">
        <v>479</v>
      </c>
      <c r="F31" s="33" t="s">
        <v>542</v>
      </c>
      <c r="G31" s="117">
        <v>4</v>
      </c>
      <c r="H31" s="34">
        <v>28182</v>
      </c>
      <c r="I31" s="34">
        <v>28355</v>
      </c>
      <c r="J31" s="34">
        <v>28355</v>
      </c>
      <c r="K31" s="34">
        <v>33117</v>
      </c>
      <c r="L31" s="34">
        <v>28915</v>
      </c>
      <c r="M31" s="34">
        <v>29646</v>
      </c>
      <c r="N31" s="113">
        <v>12</v>
      </c>
      <c r="O31" s="200">
        <v>47000000</v>
      </c>
      <c r="P31" s="200">
        <v>47000000</v>
      </c>
      <c r="Q31" s="200">
        <v>0</v>
      </c>
      <c r="R31" s="201">
        <v>0</v>
      </c>
      <c r="S31" s="33" t="s">
        <v>22</v>
      </c>
      <c r="T31" s="33" t="s">
        <v>22</v>
      </c>
      <c r="U31" s="33" t="s">
        <v>203</v>
      </c>
      <c r="V31" s="33"/>
      <c r="W31" s="33" t="s">
        <v>210</v>
      </c>
      <c r="X31" s="33" t="s">
        <v>210</v>
      </c>
      <c r="Y31" s="33"/>
      <c r="Z31" s="33" t="s">
        <v>209</v>
      </c>
      <c r="AA31" s="35" t="str">
        <f>_xlfn.IFNA(VLOOKUP(E31,'Lookup Table'!$J$33:$K$176,2,0),"B3")</f>
        <v>B2</v>
      </c>
      <c r="AB31" s="35">
        <f>_xlfn.IFNA(VLOOKUP($AA31,'Rating Lookup'!$B$2:$I$27,8,0),15)</f>
        <v>15</v>
      </c>
      <c r="AC31" s="35" t="str">
        <f>_xlfn.IFNA(VLOOKUP(E31,'Lookup Table'!$M$33:$N$173,2,0),"B3")</f>
        <v>Baa3</v>
      </c>
      <c r="AD31" s="35">
        <f>_xlfn.IFNA(VLOOKUP($AC31,'Rating Lookup'!$B$2:$I$27,8,0),15)</f>
        <v>10</v>
      </c>
      <c r="AE31" s="35">
        <f t="shared" si="4"/>
        <v>5</v>
      </c>
      <c r="AG31" s="35" t="str">
        <f t="shared" si="5"/>
        <v>TRANSPORTATION NET DEVELOPMENT</v>
      </c>
      <c r="AH31" s="35" t="str">
        <f t="shared" si="6"/>
        <v>Government Loan</v>
      </c>
      <c r="AI31" s="202">
        <f>'ECL Calculation'!$B$1</f>
        <v>43465</v>
      </c>
      <c r="AJ31" s="202">
        <f t="shared" si="7"/>
        <v>28915</v>
      </c>
      <c r="AK31" s="202">
        <f t="shared" si="8"/>
        <v>29646</v>
      </c>
      <c r="AL31" s="127">
        <f t="shared" si="9"/>
        <v>12</v>
      </c>
      <c r="AM31" s="192">
        <f>IF(AND(IF(ISBLANK(K31),EOMONTH(AJ31,AL31*12),K31)&lt;'ECL Calculation'!$B$1,SUM('Input Sheet'!Q31,'Input Sheet'!R31)&gt;0),EOMONTH('ECL Calculation'!$B$1,12*5),IF(ISBLANK(K31),EOMONTH(AJ31,AL31*12),K31))</f>
        <v>33117</v>
      </c>
      <c r="AN31" s="203">
        <f t="shared" si="10"/>
        <v>47000000</v>
      </c>
      <c r="AO31" s="203">
        <f t="shared" si="11"/>
        <v>47000000</v>
      </c>
      <c r="AP31" s="203">
        <f t="shared" si="12"/>
        <v>0</v>
      </c>
      <c r="AQ31" s="126">
        <f>VLOOKUP(U31,'Lookup Table'!$B$2:$C$10,2,0)</f>
        <v>1</v>
      </c>
      <c r="AR31" s="127">
        <f>VLOOKUP(S31,'Lookup Table'!$B$2:$C$9,2,0)</f>
        <v>2</v>
      </c>
      <c r="AS31" s="127">
        <f>VLOOKUP(T31,'Lookup Table'!$B$2:$C$9,2,0)</f>
        <v>2</v>
      </c>
      <c r="AT31" s="136">
        <f t="shared" si="13"/>
        <v>0</v>
      </c>
      <c r="AU31" s="128">
        <f t="shared" si="14"/>
        <v>0.04</v>
      </c>
      <c r="AV31" s="136">
        <f t="shared" si="15"/>
        <v>0</v>
      </c>
      <c r="AW31" s="37" t="str">
        <f t="shared" si="16"/>
        <v>B2</v>
      </c>
      <c r="AX31" s="128">
        <f>VLOOKUP(E31,'Lookup Table'!$B$12:$C$82,2,0)</f>
        <v>4.5999999999999999E-2</v>
      </c>
      <c r="AY31" s="128">
        <f>'Lookup Table'!$E$3</f>
        <v>0.45</v>
      </c>
      <c r="AZ31" s="129" t="str">
        <f t="shared" si="17"/>
        <v>Tunisia</v>
      </c>
      <c r="BA31" s="37">
        <f>VLOOKUP(AA31,'Lookup Table'!$J$3:$K$27,2,0)</f>
        <v>1</v>
      </c>
      <c r="BB31" s="37">
        <f t="shared" si="18"/>
        <v>2</v>
      </c>
      <c r="BC31" s="37">
        <f t="shared" si="19"/>
        <v>1</v>
      </c>
      <c r="BD31" s="37">
        <f>IF(AND(K31&lt;'ECL Calculation'!$B$1,'Input Sheet'!W31="No"),3,IF(X31="Yes",2,1))</f>
        <v>3</v>
      </c>
      <c r="BE31" s="37">
        <f t="shared" si="20"/>
        <v>1</v>
      </c>
      <c r="BF31" s="37" t="str">
        <f t="shared" si="21"/>
        <v>Stage 3</v>
      </c>
      <c r="BG31" s="37" t="str">
        <f t="shared" si="22"/>
        <v>No</v>
      </c>
    </row>
    <row r="32" spans="1:59" x14ac:dyDescent="0.2">
      <c r="A32" s="35">
        <f t="shared" si="23"/>
        <v>30</v>
      </c>
      <c r="B32" s="33">
        <v>1030</v>
      </c>
      <c r="C32" s="33" t="s">
        <v>281</v>
      </c>
      <c r="D32" s="33" t="s">
        <v>806</v>
      </c>
      <c r="E32" s="33" t="s">
        <v>489</v>
      </c>
      <c r="F32" s="33" t="s">
        <v>542</v>
      </c>
      <c r="G32" s="117">
        <v>4</v>
      </c>
      <c r="H32" s="34">
        <v>28233</v>
      </c>
      <c r="I32" s="34">
        <v>28368</v>
      </c>
      <c r="J32" s="34">
        <v>28368</v>
      </c>
      <c r="K32" s="34">
        <v>35033</v>
      </c>
      <c r="L32" s="34">
        <v>30285</v>
      </c>
      <c r="M32" s="34">
        <v>29736</v>
      </c>
      <c r="N32" s="113">
        <v>13</v>
      </c>
      <c r="O32" s="200">
        <v>50791488.57</v>
      </c>
      <c r="P32" s="200">
        <v>50791488.57</v>
      </c>
      <c r="Q32" s="200">
        <v>0</v>
      </c>
      <c r="R32" s="201">
        <v>0</v>
      </c>
      <c r="S32" s="33" t="s">
        <v>22</v>
      </c>
      <c r="T32" s="33" t="s">
        <v>22</v>
      </c>
      <c r="U32" s="33" t="s">
        <v>203</v>
      </c>
      <c r="V32" s="33"/>
      <c r="W32" s="33" t="s">
        <v>210</v>
      </c>
      <c r="X32" s="33" t="s">
        <v>210</v>
      </c>
      <c r="Y32" s="33"/>
      <c r="Z32" s="33" t="s">
        <v>209</v>
      </c>
      <c r="AA32" s="35" t="str">
        <f>_xlfn.IFNA(VLOOKUP(E32,'Lookup Table'!$J$33:$K$176,2,0),"B3")</f>
        <v>Baa2</v>
      </c>
      <c r="AB32" s="35">
        <f>_xlfn.IFNA(VLOOKUP($AA32,'Rating Lookup'!$B$2:$I$27,8,0),15)</f>
        <v>9</v>
      </c>
      <c r="AC32" s="35" t="str">
        <f>_xlfn.IFNA(VLOOKUP(E32,'Lookup Table'!$M$33:$N$173,2,0),"B3")</f>
        <v>Baa3</v>
      </c>
      <c r="AD32" s="35">
        <f>_xlfn.IFNA(VLOOKUP($AC32,'Rating Lookup'!$B$2:$I$27,8,0),15)</f>
        <v>10</v>
      </c>
      <c r="AE32" s="35">
        <f t="shared" si="4"/>
        <v>0</v>
      </c>
      <c r="AG32" s="35" t="str">
        <f t="shared" si="5"/>
        <v>BANDUNG POWER DIST.</v>
      </c>
      <c r="AH32" s="35" t="str">
        <f t="shared" si="6"/>
        <v>Government Loan</v>
      </c>
      <c r="AI32" s="202">
        <f>'ECL Calculation'!$B$1</f>
        <v>43465</v>
      </c>
      <c r="AJ32" s="202">
        <f t="shared" si="7"/>
        <v>30285</v>
      </c>
      <c r="AK32" s="202">
        <f t="shared" si="8"/>
        <v>29736</v>
      </c>
      <c r="AL32" s="127">
        <f t="shared" si="9"/>
        <v>13</v>
      </c>
      <c r="AM32" s="192">
        <f>IF(AND(IF(ISBLANK(K32),EOMONTH(AJ32,AL32*12),K32)&lt;'ECL Calculation'!$B$1,SUM('Input Sheet'!Q32,'Input Sheet'!R32)&gt;0),EOMONTH('ECL Calculation'!$B$1,12*5),IF(ISBLANK(K32),EOMONTH(AJ32,AL32*12),K32))</f>
        <v>35033</v>
      </c>
      <c r="AN32" s="203">
        <f t="shared" si="10"/>
        <v>50791488.57</v>
      </c>
      <c r="AO32" s="203">
        <f t="shared" si="11"/>
        <v>50791488.57</v>
      </c>
      <c r="AP32" s="203">
        <f t="shared" si="12"/>
        <v>0</v>
      </c>
      <c r="AQ32" s="126">
        <f>VLOOKUP(U32,'Lookup Table'!$B$2:$C$10,2,0)</f>
        <v>1</v>
      </c>
      <c r="AR32" s="127">
        <f>VLOOKUP(S32,'Lookup Table'!$B$2:$C$9,2,0)</f>
        <v>2</v>
      </c>
      <c r="AS32" s="127">
        <f>VLOOKUP(T32,'Lookup Table'!$B$2:$C$9,2,0)</f>
        <v>2</v>
      </c>
      <c r="AT32" s="136">
        <f t="shared" si="13"/>
        <v>0</v>
      </c>
      <c r="AU32" s="128">
        <f t="shared" si="14"/>
        <v>0.04</v>
      </c>
      <c r="AV32" s="136">
        <f t="shared" si="15"/>
        <v>0</v>
      </c>
      <c r="AW32" s="37" t="str">
        <f t="shared" si="16"/>
        <v>Baa2</v>
      </c>
      <c r="AX32" s="128">
        <f>VLOOKUP(E32,'Lookup Table'!$B$12:$C$82,2,0)</f>
        <v>0.04</v>
      </c>
      <c r="AY32" s="128">
        <f>'Lookup Table'!$E$3</f>
        <v>0.45</v>
      </c>
      <c r="AZ32" s="129" t="str">
        <f t="shared" si="17"/>
        <v>Indonesia</v>
      </c>
      <c r="BA32" s="37">
        <f>VLOOKUP(AA32,'Lookup Table'!$J$3:$K$27,2,0)</f>
        <v>1</v>
      </c>
      <c r="BB32" s="37">
        <f t="shared" si="18"/>
        <v>1</v>
      </c>
      <c r="BC32" s="37">
        <f t="shared" si="19"/>
        <v>1</v>
      </c>
      <c r="BD32" s="37">
        <f>IF(AND(K32&lt;'ECL Calculation'!$B$1,'Input Sheet'!W32="No"),3,IF(X32="Yes",2,1))</f>
        <v>3</v>
      </c>
      <c r="BE32" s="37">
        <f t="shared" si="20"/>
        <v>1</v>
      </c>
      <c r="BF32" s="37" t="str">
        <f t="shared" si="21"/>
        <v>Stage 3</v>
      </c>
      <c r="BG32" s="37" t="str">
        <f t="shared" si="22"/>
        <v>No</v>
      </c>
    </row>
    <row r="33" spans="1:59" x14ac:dyDescent="0.2">
      <c r="A33" s="35">
        <f t="shared" si="23"/>
        <v>31</v>
      </c>
      <c r="B33" s="33">
        <v>1031</v>
      </c>
      <c r="C33" s="33" t="s">
        <v>282</v>
      </c>
      <c r="D33" s="33" t="s">
        <v>806</v>
      </c>
      <c r="E33" s="33" t="s">
        <v>490</v>
      </c>
      <c r="F33" s="33" t="s">
        <v>542</v>
      </c>
      <c r="G33" s="117">
        <v>3.5</v>
      </c>
      <c r="H33" s="34">
        <v>28257</v>
      </c>
      <c r="I33" s="34">
        <v>28336</v>
      </c>
      <c r="J33" s="34">
        <v>28336</v>
      </c>
      <c r="K33" s="34">
        <v>33970</v>
      </c>
      <c r="L33" s="34">
        <v>29403</v>
      </c>
      <c r="M33" s="34">
        <v>29587</v>
      </c>
      <c r="N33" s="113">
        <v>13</v>
      </c>
      <c r="O33" s="200">
        <v>7802455.6399999997</v>
      </c>
      <c r="P33" s="200">
        <v>7802455.6399999997</v>
      </c>
      <c r="Q33" s="200">
        <v>0</v>
      </c>
      <c r="R33" s="201">
        <v>0</v>
      </c>
      <c r="S33" s="33" t="s">
        <v>22</v>
      </c>
      <c r="T33" s="33" t="s">
        <v>22</v>
      </c>
      <c r="U33" s="33" t="s">
        <v>203</v>
      </c>
      <c r="V33" s="33"/>
      <c r="W33" s="33" t="s">
        <v>210</v>
      </c>
      <c r="X33" s="33" t="s">
        <v>210</v>
      </c>
      <c r="Y33" s="33"/>
      <c r="Z33" s="33" t="s">
        <v>209</v>
      </c>
      <c r="AA33" s="35" t="str">
        <f>_xlfn.IFNA(VLOOKUP(E33,'Lookup Table'!$J$33:$K$176,2,0),"B3")</f>
        <v>B3</v>
      </c>
      <c r="AB33" s="35">
        <f>_xlfn.IFNA(VLOOKUP($AA33,'Rating Lookup'!$B$2:$I$27,8,0),15)</f>
        <v>16</v>
      </c>
      <c r="AC33" s="35" t="str">
        <f>_xlfn.IFNA(VLOOKUP(E33,'Lookup Table'!$M$33:$N$173,2,0),"B3")</f>
        <v>B3</v>
      </c>
      <c r="AD33" s="35">
        <f>_xlfn.IFNA(VLOOKUP($AC33,'Rating Lookup'!$B$2:$I$27,8,0),15)</f>
        <v>16</v>
      </c>
      <c r="AE33" s="35">
        <f t="shared" si="4"/>
        <v>0</v>
      </c>
      <c r="AG33" s="35" t="str">
        <f t="shared" si="5"/>
        <v>YANDOM AIRPORT</v>
      </c>
      <c r="AH33" s="35" t="str">
        <f t="shared" si="6"/>
        <v>Government Loan</v>
      </c>
      <c r="AI33" s="202">
        <f>'ECL Calculation'!$B$1</f>
        <v>43465</v>
      </c>
      <c r="AJ33" s="202">
        <f t="shared" si="7"/>
        <v>29403</v>
      </c>
      <c r="AK33" s="202">
        <f t="shared" si="8"/>
        <v>29587</v>
      </c>
      <c r="AL33" s="127">
        <f t="shared" si="9"/>
        <v>13</v>
      </c>
      <c r="AM33" s="192">
        <f>IF(AND(IF(ISBLANK(K33),EOMONTH(AJ33,AL33*12),K33)&lt;'ECL Calculation'!$B$1,SUM('Input Sheet'!Q33,'Input Sheet'!R33)&gt;0),EOMONTH('ECL Calculation'!$B$1,12*5),IF(ISBLANK(K33),EOMONTH(AJ33,AL33*12),K33))</f>
        <v>33970</v>
      </c>
      <c r="AN33" s="203">
        <f t="shared" si="10"/>
        <v>7802455.6399999997</v>
      </c>
      <c r="AO33" s="203">
        <f t="shared" si="11"/>
        <v>7802455.6399999997</v>
      </c>
      <c r="AP33" s="203">
        <f t="shared" si="12"/>
        <v>0</v>
      </c>
      <c r="AQ33" s="126">
        <f>VLOOKUP(U33,'Lookup Table'!$B$2:$C$10,2,0)</f>
        <v>1</v>
      </c>
      <c r="AR33" s="127">
        <f>VLOOKUP(S33,'Lookup Table'!$B$2:$C$9,2,0)</f>
        <v>2</v>
      </c>
      <c r="AS33" s="127">
        <f>VLOOKUP(T33,'Lookup Table'!$B$2:$C$9,2,0)</f>
        <v>2</v>
      </c>
      <c r="AT33" s="136">
        <f t="shared" si="13"/>
        <v>0</v>
      </c>
      <c r="AU33" s="128">
        <f t="shared" si="14"/>
        <v>3.5000000000000003E-2</v>
      </c>
      <c r="AV33" s="136">
        <f t="shared" si="15"/>
        <v>0</v>
      </c>
      <c r="AW33" s="37" t="str">
        <f t="shared" si="16"/>
        <v>B3</v>
      </c>
      <c r="AX33" s="128">
        <f>VLOOKUP(E33,'Lookup Table'!$B$12:$C$82,2,0)</f>
        <v>2.5000000000000001E-2</v>
      </c>
      <c r="AY33" s="128">
        <f>'Lookup Table'!$E$3</f>
        <v>0.45</v>
      </c>
      <c r="AZ33" s="129" t="str">
        <f t="shared" si="17"/>
        <v>Gambia</v>
      </c>
      <c r="BA33" s="37">
        <f>VLOOKUP(AA33,'Lookup Table'!$J$3:$K$27,2,0)</f>
        <v>1</v>
      </c>
      <c r="BB33" s="37">
        <f t="shared" si="18"/>
        <v>1</v>
      </c>
      <c r="BC33" s="37">
        <f t="shared" si="19"/>
        <v>1</v>
      </c>
      <c r="BD33" s="37">
        <f>IF(AND(K33&lt;'ECL Calculation'!$B$1,'Input Sheet'!W33="No"),3,IF(X33="Yes",2,1))</f>
        <v>3</v>
      </c>
      <c r="BE33" s="37">
        <f t="shared" si="20"/>
        <v>1</v>
      </c>
      <c r="BF33" s="37" t="str">
        <f t="shared" si="21"/>
        <v>Stage 3</v>
      </c>
      <c r="BG33" s="37" t="str">
        <f t="shared" si="22"/>
        <v>No</v>
      </c>
    </row>
    <row r="34" spans="1:59" x14ac:dyDescent="0.2">
      <c r="A34" s="35">
        <f t="shared" si="23"/>
        <v>32</v>
      </c>
      <c r="B34" s="33">
        <v>1032</v>
      </c>
      <c r="C34" s="33" t="s">
        <v>283</v>
      </c>
      <c r="D34" s="33" t="s">
        <v>806</v>
      </c>
      <c r="E34" s="33" t="s">
        <v>477</v>
      </c>
      <c r="F34" s="33" t="s">
        <v>542</v>
      </c>
      <c r="G34" s="117">
        <v>5</v>
      </c>
      <c r="H34" s="34">
        <v>28284</v>
      </c>
      <c r="I34" s="34">
        <v>27030</v>
      </c>
      <c r="J34" s="34">
        <v>28355</v>
      </c>
      <c r="K34" s="34">
        <v>32416</v>
      </c>
      <c r="L34" s="34">
        <v>28944</v>
      </c>
      <c r="M34" s="34">
        <v>29675</v>
      </c>
      <c r="N34" s="113">
        <v>10</v>
      </c>
      <c r="O34" s="200">
        <v>99999920.590000004</v>
      </c>
      <c r="P34" s="200">
        <v>99999920.590000004</v>
      </c>
      <c r="Q34" s="200">
        <v>0</v>
      </c>
      <c r="R34" s="201">
        <v>0</v>
      </c>
      <c r="S34" s="33" t="s">
        <v>22</v>
      </c>
      <c r="T34" s="33" t="s">
        <v>22</v>
      </c>
      <c r="U34" s="33" t="s">
        <v>203</v>
      </c>
      <c r="V34" s="33"/>
      <c r="W34" s="33" t="s">
        <v>210</v>
      </c>
      <c r="X34" s="33" t="s">
        <v>210</v>
      </c>
      <c r="Y34" s="33"/>
      <c r="Z34" s="33" t="s">
        <v>209</v>
      </c>
      <c r="AA34" s="35" t="str">
        <f>_xlfn.IFNA(VLOOKUP(E34,'Lookup Table'!$J$33:$K$176,2,0),"B3")</f>
        <v>B1</v>
      </c>
      <c r="AB34" s="35">
        <f>_xlfn.IFNA(VLOOKUP($AA34,'Rating Lookup'!$B$2:$I$27,8,0),15)</f>
        <v>14</v>
      </c>
      <c r="AC34" s="35" t="str">
        <f>_xlfn.IFNA(VLOOKUP(E34,'Lookup Table'!$M$33:$N$173,2,0),"B3")</f>
        <v>Ba2</v>
      </c>
      <c r="AD34" s="35">
        <f>_xlfn.IFNA(VLOOKUP($AC34,'Rating Lookup'!$B$2:$I$27,8,0),15)</f>
        <v>12</v>
      </c>
      <c r="AE34" s="35">
        <f t="shared" si="4"/>
        <v>2</v>
      </c>
      <c r="AG34" s="35" t="str">
        <f t="shared" si="5"/>
        <v>AL-HASA PHOSPHAT MINING</v>
      </c>
      <c r="AH34" s="35" t="str">
        <f t="shared" si="6"/>
        <v>Government Loan</v>
      </c>
      <c r="AI34" s="202">
        <f>'ECL Calculation'!$B$1</f>
        <v>43465</v>
      </c>
      <c r="AJ34" s="202">
        <f t="shared" si="7"/>
        <v>28944</v>
      </c>
      <c r="AK34" s="202">
        <f t="shared" si="8"/>
        <v>29675</v>
      </c>
      <c r="AL34" s="127">
        <f t="shared" si="9"/>
        <v>10</v>
      </c>
      <c r="AM34" s="192">
        <f>IF(AND(IF(ISBLANK(K34),EOMONTH(AJ34,AL34*12),K34)&lt;'ECL Calculation'!$B$1,SUM('Input Sheet'!Q34,'Input Sheet'!R34)&gt;0),EOMONTH('ECL Calculation'!$B$1,12*5),IF(ISBLANK(K34),EOMONTH(AJ34,AL34*12),K34))</f>
        <v>32416</v>
      </c>
      <c r="AN34" s="203">
        <f t="shared" si="10"/>
        <v>99999920.590000004</v>
      </c>
      <c r="AO34" s="203">
        <f t="shared" si="11"/>
        <v>99999920.590000004</v>
      </c>
      <c r="AP34" s="203">
        <f t="shared" si="12"/>
        <v>0</v>
      </c>
      <c r="AQ34" s="126">
        <f>VLOOKUP(U34,'Lookup Table'!$B$2:$C$10,2,0)</f>
        <v>1</v>
      </c>
      <c r="AR34" s="127">
        <f>VLOOKUP(S34,'Lookup Table'!$B$2:$C$9,2,0)</f>
        <v>2</v>
      </c>
      <c r="AS34" s="127">
        <f>VLOOKUP(T34,'Lookup Table'!$B$2:$C$9,2,0)</f>
        <v>2</v>
      </c>
      <c r="AT34" s="136">
        <f t="shared" si="13"/>
        <v>0</v>
      </c>
      <c r="AU34" s="128">
        <f t="shared" si="14"/>
        <v>0.05</v>
      </c>
      <c r="AV34" s="136">
        <f t="shared" si="15"/>
        <v>0</v>
      </c>
      <c r="AW34" s="37" t="str">
        <f t="shared" si="16"/>
        <v>B1</v>
      </c>
      <c r="AX34" s="128">
        <f>VLOOKUP(E34,'Lookup Table'!$B$12:$C$82,2,0)</f>
        <v>3.5909090909090911E-2</v>
      </c>
      <c r="AY34" s="128">
        <f>'Lookup Table'!$E$3</f>
        <v>0.45</v>
      </c>
      <c r="AZ34" s="129" t="str">
        <f t="shared" si="17"/>
        <v>Jordan</v>
      </c>
      <c r="BA34" s="37">
        <f>VLOOKUP(AA34,'Lookup Table'!$J$3:$K$27,2,0)</f>
        <v>1</v>
      </c>
      <c r="BB34" s="37">
        <f t="shared" si="18"/>
        <v>2</v>
      </c>
      <c r="BC34" s="37">
        <f t="shared" si="19"/>
        <v>1</v>
      </c>
      <c r="BD34" s="37">
        <f>IF(AND(K34&lt;'ECL Calculation'!$B$1,'Input Sheet'!W34="No"),3,IF(X34="Yes",2,1))</f>
        <v>3</v>
      </c>
      <c r="BE34" s="37">
        <f t="shared" si="20"/>
        <v>1</v>
      </c>
      <c r="BF34" s="37" t="str">
        <f t="shared" si="21"/>
        <v>Stage 3</v>
      </c>
      <c r="BG34" s="37" t="str">
        <f t="shared" si="22"/>
        <v>No</v>
      </c>
    </row>
    <row r="35" spans="1:59" x14ac:dyDescent="0.2">
      <c r="A35" s="35">
        <f t="shared" si="23"/>
        <v>33</v>
      </c>
      <c r="B35" s="33">
        <v>1033</v>
      </c>
      <c r="C35" s="33" t="s">
        <v>284</v>
      </c>
      <c r="D35" s="33" t="s">
        <v>806</v>
      </c>
      <c r="E35" s="33" t="s">
        <v>491</v>
      </c>
      <c r="F35" s="33" t="s">
        <v>542</v>
      </c>
      <c r="G35" s="117">
        <v>4</v>
      </c>
      <c r="H35" s="34">
        <v>28380</v>
      </c>
      <c r="I35" s="34">
        <v>28065</v>
      </c>
      <c r="J35" s="34">
        <v>28413</v>
      </c>
      <c r="K35" s="34">
        <v>35565</v>
      </c>
      <c r="L35" s="34">
        <v>30270</v>
      </c>
      <c r="M35" s="34">
        <v>29721</v>
      </c>
      <c r="N35" s="113">
        <v>15</v>
      </c>
      <c r="O35" s="200">
        <v>16819927.899999999</v>
      </c>
      <c r="P35" s="200">
        <v>16819927.899999999</v>
      </c>
      <c r="Q35" s="200">
        <v>0</v>
      </c>
      <c r="R35" s="201">
        <v>0</v>
      </c>
      <c r="S35" s="33" t="s">
        <v>22</v>
      </c>
      <c r="T35" s="33" t="s">
        <v>22</v>
      </c>
      <c r="U35" s="33" t="s">
        <v>203</v>
      </c>
      <c r="V35" s="33"/>
      <c r="W35" s="33" t="s">
        <v>210</v>
      </c>
      <c r="X35" s="33" t="s">
        <v>210</v>
      </c>
      <c r="Y35" s="33"/>
      <c r="Z35" s="33" t="s">
        <v>209</v>
      </c>
      <c r="AA35" s="35" t="str">
        <f>_xlfn.IFNA(VLOOKUP(E35,'Lookup Table'!$J$33:$K$176,2,0),"B3")</f>
        <v>B3</v>
      </c>
      <c r="AB35" s="35">
        <f>_xlfn.IFNA(VLOOKUP($AA35,'Rating Lookup'!$B$2:$I$27,8,0),15)</f>
        <v>16</v>
      </c>
      <c r="AC35" s="35" t="str">
        <f>_xlfn.IFNA(VLOOKUP(E35,'Lookup Table'!$M$33:$N$173,2,0),"B3")</f>
        <v>B3</v>
      </c>
      <c r="AD35" s="35">
        <f>_xlfn.IFNA(VLOOKUP($AC35,'Rating Lookup'!$B$2:$I$27,8,0),15)</f>
        <v>16</v>
      </c>
      <c r="AE35" s="35">
        <f t="shared" si="4"/>
        <v>0</v>
      </c>
      <c r="AG35" s="35" t="str">
        <f t="shared" si="5"/>
        <v>BAGHLAN SUGAR</v>
      </c>
      <c r="AH35" s="35" t="str">
        <f t="shared" si="6"/>
        <v>Government Loan</v>
      </c>
      <c r="AI35" s="202">
        <f>'ECL Calculation'!$B$1</f>
        <v>43465</v>
      </c>
      <c r="AJ35" s="202">
        <f t="shared" si="7"/>
        <v>30270</v>
      </c>
      <c r="AK35" s="202">
        <f t="shared" si="8"/>
        <v>29721</v>
      </c>
      <c r="AL35" s="127">
        <f t="shared" si="9"/>
        <v>15</v>
      </c>
      <c r="AM35" s="192">
        <f>IF(AND(IF(ISBLANK(K35),EOMONTH(AJ35,AL35*12),K35)&lt;'ECL Calculation'!$B$1,SUM('Input Sheet'!Q35,'Input Sheet'!R35)&gt;0),EOMONTH('ECL Calculation'!$B$1,12*5),IF(ISBLANK(K35),EOMONTH(AJ35,AL35*12),K35))</f>
        <v>35565</v>
      </c>
      <c r="AN35" s="203">
        <f t="shared" si="10"/>
        <v>16819927.899999999</v>
      </c>
      <c r="AO35" s="203">
        <f t="shared" si="11"/>
        <v>16819927.899999999</v>
      </c>
      <c r="AP35" s="203">
        <f t="shared" si="12"/>
        <v>0</v>
      </c>
      <c r="AQ35" s="126">
        <f>VLOOKUP(U35,'Lookup Table'!$B$2:$C$10,2,0)</f>
        <v>1</v>
      </c>
      <c r="AR35" s="127">
        <f>VLOOKUP(S35,'Lookup Table'!$B$2:$C$9,2,0)</f>
        <v>2</v>
      </c>
      <c r="AS35" s="127">
        <f>VLOOKUP(T35,'Lookup Table'!$B$2:$C$9,2,0)</f>
        <v>2</v>
      </c>
      <c r="AT35" s="136">
        <f t="shared" si="13"/>
        <v>0</v>
      </c>
      <c r="AU35" s="128">
        <f t="shared" si="14"/>
        <v>0.04</v>
      </c>
      <c r="AV35" s="136">
        <f t="shared" si="15"/>
        <v>0</v>
      </c>
      <c r="AW35" s="37" t="str">
        <f t="shared" si="16"/>
        <v>B3</v>
      </c>
      <c r="AX35" s="128">
        <f>VLOOKUP(E35,'Lookup Table'!$B$12:$C$82,2,0)</f>
        <v>0.04</v>
      </c>
      <c r="AY35" s="128">
        <f>'Lookup Table'!$E$3</f>
        <v>0.45</v>
      </c>
      <c r="AZ35" s="129" t="str">
        <f t="shared" si="17"/>
        <v>Afghanistan</v>
      </c>
      <c r="BA35" s="37">
        <f>VLOOKUP(AA35,'Lookup Table'!$J$3:$K$27,2,0)</f>
        <v>1</v>
      </c>
      <c r="BB35" s="37">
        <f t="shared" si="18"/>
        <v>1</v>
      </c>
      <c r="BC35" s="37">
        <f t="shared" si="19"/>
        <v>1</v>
      </c>
      <c r="BD35" s="37">
        <f>IF(AND(K35&lt;'ECL Calculation'!$B$1,'Input Sheet'!W35="No"),3,IF(X35="Yes",2,1))</f>
        <v>3</v>
      </c>
      <c r="BE35" s="37">
        <f t="shared" si="20"/>
        <v>1</v>
      </c>
      <c r="BF35" s="37" t="str">
        <f t="shared" si="21"/>
        <v>Stage 3</v>
      </c>
      <c r="BG35" s="37" t="str">
        <f t="shared" si="22"/>
        <v>No</v>
      </c>
    </row>
    <row r="36" spans="1:59" x14ac:dyDescent="0.2">
      <c r="A36" s="35">
        <f t="shared" si="23"/>
        <v>34</v>
      </c>
      <c r="B36" s="33">
        <v>1034</v>
      </c>
      <c r="C36" s="33" t="s">
        <v>285</v>
      </c>
      <c r="D36" s="33" t="s">
        <v>806</v>
      </c>
      <c r="E36" s="33" t="s">
        <v>21</v>
      </c>
      <c r="F36" s="33" t="s">
        <v>542</v>
      </c>
      <c r="G36" s="117">
        <v>4.5</v>
      </c>
      <c r="H36" s="34">
        <v>28416</v>
      </c>
      <c r="I36" s="34">
        <v>28277</v>
      </c>
      <c r="J36" s="34">
        <v>29003</v>
      </c>
      <c r="K36" s="34">
        <v>35490</v>
      </c>
      <c r="L36" s="34">
        <v>30195</v>
      </c>
      <c r="M36" s="34">
        <v>29601</v>
      </c>
      <c r="N36" s="113">
        <v>15</v>
      </c>
      <c r="O36" s="200">
        <v>23996299.469999999</v>
      </c>
      <c r="P36" s="200">
        <v>23996299.469999999</v>
      </c>
      <c r="Q36" s="200">
        <v>0</v>
      </c>
      <c r="R36" s="201">
        <v>0</v>
      </c>
      <c r="S36" s="33" t="s">
        <v>22</v>
      </c>
      <c r="T36" s="33" t="s">
        <v>22</v>
      </c>
      <c r="U36" s="33" t="s">
        <v>203</v>
      </c>
      <c r="V36" s="33"/>
      <c r="W36" s="33" t="s">
        <v>210</v>
      </c>
      <c r="X36" s="33" t="s">
        <v>210</v>
      </c>
      <c r="Y36" s="33"/>
      <c r="Z36" s="33" t="s">
        <v>209</v>
      </c>
      <c r="AA36" s="35" t="str">
        <f>_xlfn.IFNA(VLOOKUP(E36,'Lookup Table'!$J$33:$K$176,2,0),"B3")</f>
        <v>Caa1</v>
      </c>
      <c r="AB36" s="35">
        <f>_xlfn.IFNA(VLOOKUP($AA36,'Rating Lookup'!$B$2:$I$27,8,0),15)</f>
        <v>17</v>
      </c>
      <c r="AC36" s="35" t="str">
        <f>_xlfn.IFNA(VLOOKUP(E36,'Lookup Table'!$M$33:$N$173,2,0),"B3")</f>
        <v>B1</v>
      </c>
      <c r="AD36" s="35">
        <f>_xlfn.IFNA(VLOOKUP($AC36,'Rating Lookup'!$B$2:$I$27,8,0),15)</f>
        <v>14</v>
      </c>
      <c r="AE36" s="35">
        <f t="shared" si="4"/>
        <v>3</v>
      </c>
      <c r="AG36" s="35" t="str">
        <f t="shared" si="5"/>
        <v>BEIRUT PORT FOURTH BASIN</v>
      </c>
      <c r="AH36" s="35" t="str">
        <f t="shared" si="6"/>
        <v>Government Loan</v>
      </c>
      <c r="AI36" s="202">
        <f>'ECL Calculation'!$B$1</f>
        <v>43465</v>
      </c>
      <c r="AJ36" s="202">
        <f t="shared" si="7"/>
        <v>30195</v>
      </c>
      <c r="AK36" s="202">
        <f t="shared" si="8"/>
        <v>29601</v>
      </c>
      <c r="AL36" s="127">
        <f t="shared" si="9"/>
        <v>15</v>
      </c>
      <c r="AM36" s="192">
        <f>IF(AND(IF(ISBLANK(K36),EOMONTH(AJ36,AL36*12),K36)&lt;'ECL Calculation'!$B$1,SUM('Input Sheet'!Q36,'Input Sheet'!R36)&gt;0),EOMONTH('ECL Calculation'!$B$1,12*5),IF(ISBLANK(K36),EOMONTH(AJ36,AL36*12),K36))</f>
        <v>35490</v>
      </c>
      <c r="AN36" s="203">
        <f t="shared" si="10"/>
        <v>23996299.469999999</v>
      </c>
      <c r="AO36" s="203">
        <f t="shared" si="11"/>
        <v>23996299.469999999</v>
      </c>
      <c r="AP36" s="203">
        <f t="shared" si="12"/>
        <v>0</v>
      </c>
      <c r="AQ36" s="126">
        <f>VLOOKUP(U36,'Lookup Table'!$B$2:$C$10,2,0)</f>
        <v>1</v>
      </c>
      <c r="AR36" s="127">
        <f>VLOOKUP(S36,'Lookup Table'!$B$2:$C$9,2,0)</f>
        <v>2</v>
      </c>
      <c r="AS36" s="127">
        <f>VLOOKUP(T36,'Lookup Table'!$B$2:$C$9,2,0)</f>
        <v>2</v>
      </c>
      <c r="AT36" s="136">
        <f t="shared" si="13"/>
        <v>0</v>
      </c>
      <c r="AU36" s="128">
        <f t="shared" si="14"/>
        <v>4.4999999999999998E-2</v>
      </c>
      <c r="AV36" s="136">
        <f t="shared" si="15"/>
        <v>0</v>
      </c>
      <c r="AW36" s="37" t="str">
        <f t="shared" si="16"/>
        <v>Caa1</v>
      </c>
      <c r="AX36" s="128">
        <f>VLOOKUP(E36,'Lookup Table'!$B$12:$C$82,2,0)</f>
        <v>3.2857142857142856E-2</v>
      </c>
      <c r="AY36" s="128">
        <f>'Lookup Table'!$E$3</f>
        <v>0.45</v>
      </c>
      <c r="AZ36" s="129" t="str">
        <f t="shared" si="17"/>
        <v>Lebanon</v>
      </c>
      <c r="BA36" s="37">
        <f>VLOOKUP(AA36,'Lookup Table'!$J$3:$K$27,2,0)</f>
        <v>1</v>
      </c>
      <c r="BB36" s="37">
        <f t="shared" si="18"/>
        <v>2</v>
      </c>
      <c r="BC36" s="37">
        <f t="shared" si="19"/>
        <v>1</v>
      </c>
      <c r="BD36" s="37">
        <f>IF(AND(K36&lt;'ECL Calculation'!$B$1,'Input Sheet'!W36="No"),3,IF(X36="Yes",2,1))</f>
        <v>3</v>
      </c>
      <c r="BE36" s="37">
        <f t="shared" si="20"/>
        <v>1</v>
      </c>
      <c r="BF36" s="37" t="str">
        <f t="shared" si="21"/>
        <v>Stage 3</v>
      </c>
      <c r="BG36" s="37" t="str">
        <f t="shared" si="22"/>
        <v>No</v>
      </c>
    </row>
    <row r="37" spans="1:59" x14ac:dyDescent="0.2">
      <c r="A37" s="35">
        <f t="shared" si="23"/>
        <v>35</v>
      </c>
      <c r="B37" s="33">
        <v>1035</v>
      </c>
      <c r="C37" s="33" t="s">
        <v>286</v>
      </c>
      <c r="D37" s="33" t="s">
        <v>806</v>
      </c>
      <c r="E37" s="33" t="s">
        <v>21</v>
      </c>
      <c r="F37" s="33" t="s">
        <v>542</v>
      </c>
      <c r="G37" s="117">
        <v>4.5</v>
      </c>
      <c r="H37" s="34">
        <v>28416</v>
      </c>
      <c r="I37" s="34">
        <v>28126</v>
      </c>
      <c r="J37" s="34">
        <v>29003</v>
      </c>
      <c r="K37" s="34">
        <v>35490</v>
      </c>
      <c r="L37" s="34">
        <v>30195</v>
      </c>
      <c r="M37" s="34">
        <v>29752</v>
      </c>
      <c r="N37" s="113">
        <v>15</v>
      </c>
      <c r="O37" s="200">
        <v>19834917.960000001</v>
      </c>
      <c r="P37" s="200">
        <v>19834917.960000001</v>
      </c>
      <c r="Q37" s="200">
        <v>0</v>
      </c>
      <c r="R37" s="201">
        <v>0</v>
      </c>
      <c r="S37" s="33" t="s">
        <v>22</v>
      </c>
      <c r="T37" s="33" t="s">
        <v>22</v>
      </c>
      <c r="U37" s="33" t="s">
        <v>203</v>
      </c>
      <c r="V37" s="33"/>
      <c r="W37" s="33" t="s">
        <v>210</v>
      </c>
      <c r="X37" s="33" t="s">
        <v>210</v>
      </c>
      <c r="Y37" s="33"/>
      <c r="Z37" s="33" t="s">
        <v>209</v>
      </c>
      <c r="AA37" s="35" t="str">
        <f>_xlfn.IFNA(VLOOKUP(E37,'Lookup Table'!$J$33:$K$176,2,0),"B3")</f>
        <v>Caa1</v>
      </c>
      <c r="AB37" s="35">
        <f>_xlfn.IFNA(VLOOKUP($AA37,'Rating Lookup'!$B$2:$I$27,8,0),15)</f>
        <v>17</v>
      </c>
      <c r="AC37" s="35" t="str">
        <f>_xlfn.IFNA(VLOOKUP(E37,'Lookup Table'!$M$33:$N$173,2,0),"B3")</f>
        <v>B1</v>
      </c>
      <c r="AD37" s="35">
        <f>_xlfn.IFNA(VLOOKUP($AC37,'Rating Lookup'!$B$2:$I$27,8,0),15)</f>
        <v>14</v>
      </c>
      <c r="AE37" s="35">
        <f t="shared" si="4"/>
        <v>3</v>
      </c>
      <c r="AG37" s="35" t="str">
        <f t="shared" si="5"/>
        <v>ELECTRICITY DEVELOPMENT</v>
      </c>
      <c r="AH37" s="35" t="str">
        <f t="shared" si="6"/>
        <v>Government Loan</v>
      </c>
      <c r="AI37" s="202">
        <f>'ECL Calculation'!$B$1</f>
        <v>43465</v>
      </c>
      <c r="AJ37" s="202">
        <f t="shared" si="7"/>
        <v>30195</v>
      </c>
      <c r="AK37" s="202">
        <f t="shared" si="8"/>
        <v>29752</v>
      </c>
      <c r="AL37" s="127">
        <f t="shared" si="9"/>
        <v>15</v>
      </c>
      <c r="AM37" s="192">
        <f>IF(AND(IF(ISBLANK(K37),EOMONTH(AJ37,AL37*12),K37)&lt;'ECL Calculation'!$B$1,SUM('Input Sheet'!Q37,'Input Sheet'!R37)&gt;0),EOMONTH('ECL Calculation'!$B$1,12*5),IF(ISBLANK(K37),EOMONTH(AJ37,AL37*12),K37))</f>
        <v>35490</v>
      </c>
      <c r="AN37" s="203">
        <f t="shared" si="10"/>
        <v>19834917.960000001</v>
      </c>
      <c r="AO37" s="203">
        <f t="shared" si="11"/>
        <v>19834917.960000001</v>
      </c>
      <c r="AP37" s="203">
        <f t="shared" si="12"/>
        <v>0</v>
      </c>
      <c r="AQ37" s="126">
        <f>VLOOKUP(U37,'Lookup Table'!$B$2:$C$10,2,0)</f>
        <v>1</v>
      </c>
      <c r="AR37" s="127">
        <f>VLOOKUP(S37,'Lookup Table'!$B$2:$C$9,2,0)</f>
        <v>2</v>
      </c>
      <c r="AS37" s="127">
        <f>VLOOKUP(T37,'Lookup Table'!$B$2:$C$9,2,0)</f>
        <v>2</v>
      </c>
      <c r="AT37" s="136">
        <f t="shared" si="13"/>
        <v>0</v>
      </c>
      <c r="AU37" s="128">
        <f t="shared" si="14"/>
        <v>4.4999999999999998E-2</v>
      </c>
      <c r="AV37" s="136">
        <f t="shared" si="15"/>
        <v>0</v>
      </c>
      <c r="AW37" s="37" t="str">
        <f t="shared" si="16"/>
        <v>Caa1</v>
      </c>
      <c r="AX37" s="128">
        <f>VLOOKUP(E37,'Lookup Table'!$B$12:$C$82,2,0)</f>
        <v>3.2857142857142856E-2</v>
      </c>
      <c r="AY37" s="128">
        <f>'Lookup Table'!$E$3</f>
        <v>0.45</v>
      </c>
      <c r="AZ37" s="129" t="str">
        <f t="shared" si="17"/>
        <v>Lebanon</v>
      </c>
      <c r="BA37" s="37">
        <f>VLOOKUP(AA37,'Lookup Table'!$J$3:$K$27,2,0)</f>
        <v>1</v>
      </c>
      <c r="BB37" s="37">
        <f t="shared" si="18"/>
        <v>2</v>
      </c>
      <c r="BC37" s="37">
        <f t="shared" si="19"/>
        <v>1</v>
      </c>
      <c r="BD37" s="37">
        <f>IF(AND(K37&lt;'ECL Calculation'!$B$1,'Input Sheet'!W37="No"),3,IF(X37="Yes",2,1))</f>
        <v>3</v>
      </c>
      <c r="BE37" s="37">
        <f t="shared" si="20"/>
        <v>1</v>
      </c>
      <c r="BF37" s="37" t="str">
        <f t="shared" si="21"/>
        <v>Stage 3</v>
      </c>
      <c r="BG37" s="37" t="str">
        <f t="shared" si="22"/>
        <v>No</v>
      </c>
    </row>
    <row r="38" spans="1:59" x14ac:dyDescent="0.2">
      <c r="A38" s="35">
        <f t="shared" si="23"/>
        <v>36</v>
      </c>
      <c r="B38" s="33">
        <v>1036</v>
      </c>
      <c r="C38" s="33" t="s">
        <v>287</v>
      </c>
      <c r="D38" s="33" t="s">
        <v>806</v>
      </c>
      <c r="E38" s="33" t="s">
        <v>492</v>
      </c>
      <c r="F38" s="33" t="s">
        <v>542</v>
      </c>
      <c r="G38" s="117">
        <v>4.5</v>
      </c>
      <c r="H38" s="34">
        <v>28418</v>
      </c>
      <c r="I38" s="34">
        <v>28557</v>
      </c>
      <c r="J38" s="34">
        <v>28557</v>
      </c>
      <c r="K38" s="34">
        <v>33786</v>
      </c>
      <c r="L38" s="34">
        <v>30317</v>
      </c>
      <c r="M38" s="34">
        <v>29587</v>
      </c>
      <c r="N38" s="113">
        <v>10</v>
      </c>
      <c r="O38" s="200">
        <v>4480000</v>
      </c>
      <c r="P38" s="200">
        <v>4480000</v>
      </c>
      <c r="Q38" s="200">
        <v>0</v>
      </c>
      <c r="R38" s="201">
        <v>0</v>
      </c>
      <c r="S38" s="33" t="s">
        <v>22</v>
      </c>
      <c r="T38" s="33" t="s">
        <v>22</v>
      </c>
      <c r="U38" s="33" t="s">
        <v>203</v>
      </c>
      <c r="V38" s="33"/>
      <c r="W38" s="33" t="s">
        <v>210</v>
      </c>
      <c r="X38" s="33" t="s">
        <v>210</v>
      </c>
      <c r="Y38" s="33"/>
      <c r="Z38" s="33" t="s">
        <v>209</v>
      </c>
      <c r="AA38" s="35" t="str">
        <f>_xlfn.IFNA(VLOOKUP(E38,'Lookup Table'!$J$33:$K$176,2,0),"B3")</f>
        <v>B3</v>
      </c>
      <c r="AB38" s="35">
        <f>_xlfn.IFNA(VLOOKUP($AA38,'Rating Lookup'!$B$2:$I$27,8,0),15)</f>
        <v>16</v>
      </c>
      <c r="AC38" s="35" t="str">
        <f>_xlfn.IFNA(VLOOKUP(E38,'Lookup Table'!$M$33:$N$173,2,0),"B3")</f>
        <v>B3</v>
      </c>
      <c r="AD38" s="35">
        <f>_xlfn.IFNA(VLOOKUP($AC38,'Rating Lookup'!$B$2:$I$27,8,0),15)</f>
        <v>16</v>
      </c>
      <c r="AE38" s="35">
        <f t="shared" si="4"/>
        <v>0</v>
      </c>
      <c r="AG38" s="35" t="str">
        <f t="shared" si="5"/>
        <v>KAGERA SUGER PROJECT</v>
      </c>
      <c r="AH38" s="35" t="str">
        <f t="shared" si="6"/>
        <v>Government Loan</v>
      </c>
      <c r="AI38" s="202">
        <f>'ECL Calculation'!$B$1</f>
        <v>43465</v>
      </c>
      <c r="AJ38" s="202">
        <f t="shared" si="7"/>
        <v>30317</v>
      </c>
      <c r="AK38" s="202">
        <f t="shared" si="8"/>
        <v>29587</v>
      </c>
      <c r="AL38" s="127">
        <f t="shared" si="9"/>
        <v>10</v>
      </c>
      <c r="AM38" s="192">
        <f>IF(AND(IF(ISBLANK(K38),EOMONTH(AJ38,AL38*12),K38)&lt;'ECL Calculation'!$B$1,SUM('Input Sheet'!Q38,'Input Sheet'!R38)&gt;0),EOMONTH('ECL Calculation'!$B$1,12*5),IF(ISBLANK(K38),EOMONTH(AJ38,AL38*12),K38))</f>
        <v>33786</v>
      </c>
      <c r="AN38" s="203">
        <f t="shared" si="10"/>
        <v>4480000</v>
      </c>
      <c r="AO38" s="203">
        <f t="shared" si="11"/>
        <v>4480000</v>
      </c>
      <c r="AP38" s="203">
        <f t="shared" si="12"/>
        <v>0</v>
      </c>
      <c r="AQ38" s="126">
        <f>VLOOKUP(U38,'Lookup Table'!$B$2:$C$10,2,0)</f>
        <v>1</v>
      </c>
      <c r="AR38" s="127">
        <f>VLOOKUP(S38,'Lookup Table'!$B$2:$C$9,2,0)</f>
        <v>2</v>
      </c>
      <c r="AS38" s="127">
        <f>VLOOKUP(T38,'Lookup Table'!$B$2:$C$9,2,0)</f>
        <v>2</v>
      </c>
      <c r="AT38" s="136">
        <f t="shared" si="13"/>
        <v>0</v>
      </c>
      <c r="AU38" s="128">
        <f t="shared" si="14"/>
        <v>4.4999999999999998E-2</v>
      </c>
      <c r="AV38" s="136">
        <f t="shared" si="15"/>
        <v>0</v>
      </c>
      <c r="AW38" s="37" t="str">
        <f t="shared" si="16"/>
        <v>B3</v>
      </c>
      <c r="AX38" s="128">
        <f>VLOOKUP(E38,'Lookup Table'!$B$12:$C$82,2,0)</f>
        <v>3.2500000000000001E-2</v>
      </c>
      <c r="AY38" s="128">
        <f>'Lookup Table'!$E$3</f>
        <v>0.45</v>
      </c>
      <c r="AZ38" s="129" t="str">
        <f t="shared" si="17"/>
        <v>Tanzania, United Republic of</v>
      </c>
      <c r="BA38" s="37">
        <f>VLOOKUP(AA38,'Lookup Table'!$J$3:$K$27,2,0)</f>
        <v>1</v>
      </c>
      <c r="BB38" s="37">
        <f t="shared" si="18"/>
        <v>1</v>
      </c>
      <c r="BC38" s="37">
        <f t="shared" si="19"/>
        <v>1</v>
      </c>
      <c r="BD38" s="37">
        <f>IF(AND(K38&lt;'ECL Calculation'!$B$1,'Input Sheet'!W38="No"),3,IF(X38="Yes",2,1))</f>
        <v>3</v>
      </c>
      <c r="BE38" s="37">
        <f t="shared" si="20"/>
        <v>1</v>
      </c>
      <c r="BF38" s="37" t="str">
        <f t="shared" si="21"/>
        <v>Stage 3</v>
      </c>
      <c r="BG38" s="37" t="str">
        <f t="shared" si="22"/>
        <v>No</v>
      </c>
    </row>
    <row r="39" spans="1:59" x14ac:dyDescent="0.2">
      <c r="A39" s="35">
        <f t="shared" si="23"/>
        <v>37</v>
      </c>
      <c r="B39" s="33">
        <v>1037</v>
      </c>
      <c r="C39" s="33" t="s">
        <v>288</v>
      </c>
      <c r="D39" s="33" t="s">
        <v>806</v>
      </c>
      <c r="E39" s="33" t="s">
        <v>493</v>
      </c>
      <c r="F39" s="33" t="s">
        <v>542</v>
      </c>
      <c r="G39" s="117">
        <v>2</v>
      </c>
      <c r="H39" s="34">
        <v>28456</v>
      </c>
      <c r="I39" s="34">
        <v>28941</v>
      </c>
      <c r="J39" s="34">
        <v>28941</v>
      </c>
      <c r="K39" s="34">
        <v>32690</v>
      </c>
      <c r="L39" s="34">
        <v>29221</v>
      </c>
      <c r="M39" s="34">
        <v>29675</v>
      </c>
      <c r="N39" s="113">
        <v>10</v>
      </c>
      <c r="O39" s="200">
        <v>16000000</v>
      </c>
      <c r="P39" s="200">
        <v>16000000</v>
      </c>
      <c r="Q39" s="200">
        <v>0</v>
      </c>
      <c r="R39" s="201">
        <v>537974.52</v>
      </c>
      <c r="S39" s="33" t="s">
        <v>22</v>
      </c>
      <c r="T39" s="33" t="s">
        <v>22</v>
      </c>
      <c r="U39" s="33" t="s">
        <v>203</v>
      </c>
      <c r="V39" s="33"/>
      <c r="W39" s="33" t="s">
        <v>209</v>
      </c>
      <c r="X39" s="33" t="s">
        <v>210</v>
      </c>
      <c r="Y39" s="33"/>
      <c r="Z39" s="33" t="s">
        <v>209</v>
      </c>
      <c r="AA39" s="35" t="str">
        <f>_xlfn.IFNA(VLOOKUP(E39,'Lookup Table'!$J$33:$K$176,2,0),"B3")</f>
        <v>B3</v>
      </c>
      <c r="AB39" s="35">
        <f>_xlfn.IFNA(VLOOKUP($AA39,'Rating Lookup'!$B$2:$I$27,8,0),15)</f>
        <v>16</v>
      </c>
      <c r="AC39" s="35" t="str">
        <f>_xlfn.IFNA(VLOOKUP(E39,'Lookup Table'!$M$33:$N$173,2,0),"B3")</f>
        <v>B3</v>
      </c>
      <c r="AD39" s="35">
        <f>_xlfn.IFNA(VLOOKUP($AC39,'Rating Lookup'!$B$2:$I$27,8,0),15)</f>
        <v>16</v>
      </c>
      <c r="AE39" s="35">
        <f t="shared" si="4"/>
        <v>0</v>
      </c>
      <c r="AG39" s="35" t="str">
        <f t="shared" si="5"/>
        <v>STEEL BARS MILL</v>
      </c>
      <c r="AH39" s="35" t="str">
        <f t="shared" si="6"/>
        <v>Government Loan</v>
      </c>
      <c r="AI39" s="202">
        <f>'ECL Calculation'!$B$1</f>
        <v>43465</v>
      </c>
      <c r="AJ39" s="202">
        <f t="shared" si="7"/>
        <v>29221</v>
      </c>
      <c r="AK39" s="202">
        <f t="shared" si="8"/>
        <v>29675</v>
      </c>
      <c r="AL39" s="127">
        <f t="shared" si="9"/>
        <v>10</v>
      </c>
      <c r="AM39" s="192">
        <f>IF(AND(IF(ISBLANK(K39),EOMONTH(AJ39,AL39*12),K39)&lt;'ECL Calculation'!$B$1,SUM('Input Sheet'!Q39,'Input Sheet'!R39)&gt;0),EOMONTH('ECL Calculation'!$B$1,12*5),IF(ISBLANK(K39),EOMONTH(AJ39,AL39*12),K39))</f>
        <v>45291</v>
      </c>
      <c r="AN39" s="203">
        <f t="shared" si="10"/>
        <v>16000000</v>
      </c>
      <c r="AO39" s="203">
        <f t="shared" si="11"/>
        <v>16000000</v>
      </c>
      <c r="AP39" s="203">
        <f t="shared" si="12"/>
        <v>0</v>
      </c>
      <c r="AQ39" s="126">
        <f>VLOOKUP(U39,'Lookup Table'!$B$2:$C$10,2,0)</f>
        <v>1</v>
      </c>
      <c r="AR39" s="127">
        <f>VLOOKUP(S39,'Lookup Table'!$B$2:$C$9,2,0)</f>
        <v>2</v>
      </c>
      <c r="AS39" s="127">
        <f>VLOOKUP(T39,'Lookup Table'!$B$2:$C$9,2,0)</f>
        <v>2</v>
      </c>
      <c r="AT39" s="136">
        <f t="shared" si="13"/>
        <v>0</v>
      </c>
      <c r="AU39" s="128">
        <f t="shared" si="14"/>
        <v>0.02</v>
      </c>
      <c r="AV39" s="136">
        <f t="shared" si="15"/>
        <v>537974.52</v>
      </c>
      <c r="AW39" s="37" t="str">
        <f t="shared" si="16"/>
        <v>B3</v>
      </c>
      <c r="AX39" s="128">
        <f>VLOOKUP(E39,'Lookup Table'!$B$12:$C$82,2,0)</f>
        <v>2.2499999999999999E-2</v>
      </c>
      <c r="AY39" s="128">
        <f>'Lookup Table'!$E$3</f>
        <v>0.45</v>
      </c>
      <c r="AZ39" s="129" t="str">
        <f t="shared" si="17"/>
        <v>Mauritania</v>
      </c>
      <c r="BA39" s="37">
        <f>VLOOKUP(AA39,'Lookup Table'!$J$3:$K$27,2,0)</f>
        <v>1</v>
      </c>
      <c r="BB39" s="37">
        <f t="shared" si="18"/>
        <v>1</v>
      </c>
      <c r="BC39" s="37">
        <f t="shared" si="19"/>
        <v>2</v>
      </c>
      <c r="BD39" s="37">
        <f>IF(AND(K39&lt;'ECL Calculation'!$B$1,'Input Sheet'!W39="No"),3,IF(X39="Yes",2,1))</f>
        <v>1</v>
      </c>
      <c r="BE39" s="37">
        <f t="shared" si="20"/>
        <v>1</v>
      </c>
      <c r="BF39" s="37" t="str">
        <f t="shared" si="21"/>
        <v>Stage 2</v>
      </c>
      <c r="BG39" s="37" t="str">
        <f t="shared" si="22"/>
        <v>No</v>
      </c>
    </row>
    <row r="40" spans="1:59" x14ac:dyDescent="0.2">
      <c r="A40" s="35">
        <f t="shared" si="23"/>
        <v>38</v>
      </c>
      <c r="B40" s="33">
        <v>1038</v>
      </c>
      <c r="C40" s="33" t="s">
        <v>289</v>
      </c>
      <c r="D40" s="33" t="s">
        <v>806</v>
      </c>
      <c r="E40" s="33" t="s">
        <v>231</v>
      </c>
      <c r="F40" s="33" t="s">
        <v>542</v>
      </c>
      <c r="G40" s="117">
        <v>3</v>
      </c>
      <c r="H40" s="34">
        <v>28467</v>
      </c>
      <c r="I40" s="34">
        <v>28277</v>
      </c>
      <c r="J40" s="34">
        <v>28555</v>
      </c>
      <c r="K40" s="34">
        <v>35674</v>
      </c>
      <c r="L40" s="34">
        <v>30011</v>
      </c>
      <c r="M40" s="34">
        <v>29646</v>
      </c>
      <c r="N40" s="113">
        <v>16</v>
      </c>
      <c r="O40" s="200">
        <v>60000000</v>
      </c>
      <c r="P40" s="200">
        <v>60000000</v>
      </c>
      <c r="Q40" s="200">
        <v>0</v>
      </c>
      <c r="R40" s="201">
        <v>0</v>
      </c>
      <c r="S40" s="33" t="s">
        <v>22</v>
      </c>
      <c r="T40" s="33" t="s">
        <v>22</v>
      </c>
      <c r="U40" s="33" t="s">
        <v>203</v>
      </c>
      <c r="V40" s="33"/>
      <c r="W40" s="33" t="s">
        <v>210</v>
      </c>
      <c r="X40" s="33" t="s">
        <v>210</v>
      </c>
      <c r="Y40" s="33"/>
      <c r="Z40" s="33" t="s">
        <v>209</v>
      </c>
      <c r="AA40" s="35" t="str">
        <f>_xlfn.IFNA(VLOOKUP(E40,'Lookup Table'!$J$33:$K$176,2,0),"B3")</f>
        <v>B2</v>
      </c>
      <c r="AB40" s="35">
        <f>_xlfn.IFNA(VLOOKUP($AA40,'Rating Lookup'!$B$2:$I$27,8,0),15)</f>
        <v>15</v>
      </c>
      <c r="AC40" s="35" t="str">
        <f>_xlfn.IFNA(VLOOKUP(E40,'Lookup Table'!$M$33:$N$173,2,0),"B3")</f>
        <v>B2</v>
      </c>
      <c r="AD40" s="35">
        <f>_xlfn.IFNA(VLOOKUP($AC40,'Rating Lookup'!$B$2:$I$27,8,0),15)</f>
        <v>15</v>
      </c>
      <c r="AE40" s="35">
        <f t="shared" si="4"/>
        <v>0</v>
      </c>
      <c r="AG40" s="35" t="str">
        <f t="shared" si="5"/>
        <v>ALSOUIC CANAL DEVELOPMENT</v>
      </c>
      <c r="AH40" s="35" t="str">
        <f t="shared" si="6"/>
        <v>Government Loan</v>
      </c>
      <c r="AI40" s="202">
        <f>'ECL Calculation'!$B$1</f>
        <v>43465</v>
      </c>
      <c r="AJ40" s="202">
        <f t="shared" si="7"/>
        <v>30011</v>
      </c>
      <c r="AK40" s="202">
        <f t="shared" si="8"/>
        <v>29646</v>
      </c>
      <c r="AL40" s="127">
        <f t="shared" si="9"/>
        <v>16</v>
      </c>
      <c r="AM40" s="192">
        <f>IF(AND(IF(ISBLANK(K40),EOMONTH(AJ40,AL40*12),K40)&lt;'ECL Calculation'!$B$1,SUM('Input Sheet'!Q40,'Input Sheet'!R40)&gt;0),EOMONTH('ECL Calculation'!$B$1,12*5),IF(ISBLANK(K40),EOMONTH(AJ40,AL40*12),K40))</f>
        <v>35674</v>
      </c>
      <c r="AN40" s="203">
        <f t="shared" si="10"/>
        <v>60000000</v>
      </c>
      <c r="AO40" s="203">
        <f t="shared" si="11"/>
        <v>60000000</v>
      </c>
      <c r="AP40" s="203">
        <f t="shared" si="12"/>
        <v>0</v>
      </c>
      <c r="AQ40" s="126">
        <f>VLOOKUP(U40,'Lookup Table'!$B$2:$C$10,2,0)</f>
        <v>1</v>
      </c>
      <c r="AR40" s="127">
        <f>VLOOKUP(S40,'Lookup Table'!$B$2:$C$9,2,0)</f>
        <v>2</v>
      </c>
      <c r="AS40" s="127">
        <f>VLOOKUP(T40,'Lookup Table'!$B$2:$C$9,2,0)</f>
        <v>2</v>
      </c>
      <c r="AT40" s="136">
        <f t="shared" si="13"/>
        <v>0</v>
      </c>
      <c r="AU40" s="128">
        <f t="shared" si="14"/>
        <v>0.03</v>
      </c>
      <c r="AV40" s="136">
        <f t="shared" si="15"/>
        <v>0</v>
      </c>
      <c r="AW40" s="37" t="str">
        <f t="shared" si="16"/>
        <v>B2</v>
      </c>
      <c r="AX40" s="128">
        <f>VLOOKUP(E40,'Lookup Table'!$B$12:$C$82,2,0)</f>
        <v>2.8999999999999998E-2</v>
      </c>
      <c r="AY40" s="128">
        <f>'Lookup Table'!$E$3</f>
        <v>0.45</v>
      </c>
      <c r="AZ40" s="129" t="str">
        <f t="shared" si="17"/>
        <v>Egypt</v>
      </c>
      <c r="BA40" s="37">
        <f>VLOOKUP(AA40,'Lookup Table'!$J$3:$K$27,2,0)</f>
        <v>1</v>
      </c>
      <c r="BB40" s="37">
        <f t="shared" si="18"/>
        <v>1</v>
      </c>
      <c r="BC40" s="37">
        <f t="shared" si="19"/>
        <v>1</v>
      </c>
      <c r="BD40" s="37">
        <f>IF(AND(K40&lt;'ECL Calculation'!$B$1,'Input Sheet'!W40="No"),3,IF(X40="Yes",2,1))</f>
        <v>3</v>
      </c>
      <c r="BE40" s="37">
        <f t="shared" si="20"/>
        <v>1</v>
      </c>
      <c r="BF40" s="37" t="str">
        <f t="shared" si="21"/>
        <v>Stage 3</v>
      </c>
      <c r="BG40" s="37" t="str">
        <f t="shared" si="22"/>
        <v>No</v>
      </c>
    </row>
    <row r="41" spans="1:59" x14ac:dyDescent="0.2">
      <c r="A41" s="35">
        <f t="shared" si="23"/>
        <v>39</v>
      </c>
      <c r="B41" s="33">
        <v>1039</v>
      </c>
      <c r="C41" s="33" t="s">
        <v>290</v>
      </c>
      <c r="D41" s="33" t="s">
        <v>806</v>
      </c>
      <c r="E41" s="33" t="s">
        <v>476</v>
      </c>
      <c r="F41" s="33" t="s">
        <v>542</v>
      </c>
      <c r="G41" s="117">
        <v>3</v>
      </c>
      <c r="H41" s="34">
        <v>28479</v>
      </c>
      <c r="I41" s="34">
        <v>28399</v>
      </c>
      <c r="J41" s="34">
        <v>28553</v>
      </c>
      <c r="K41" s="34">
        <v>36039</v>
      </c>
      <c r="L41" s="34">
        <v>36068</v>
      </c>
      <c r="M41" s="34">
        <v>29646</v>
      </c>
      <c r="N41" s="113">
        <v>13</v>
      </c>
      <c r="O41" s="200">
        <v>56000000</v>
      </c>
      <c r="P41" s="200">
        <v>55393297.939999998</v>
      </c>
      <c r="Q41" s="200">
        <v>0</v>
      </c>
      <c r="R41" s="201">
        <v>0</v>
      </c>
      <c r="S41" s="33" t="s">
        <v>22</v>
      </c>
      <c r="T41" s="33" t="s">
        <v>22</v>
      </c>
      <c r="U41" s="33" t="s">
        <v>203</v>
      </c>
      <c r="V41" s="33"/>
      <c r="W41" s="33" t="s">
        <v>210</v>
      </c>
      <c r="X41" s="33" t="s">
        <v>209</v>
      </c>
      <c r="Y41" s="33" t="s">
        <v>209</v>
      </c>
      <c r="Z41" s="33" t="s">
        <v>209</v>
      </c>
      <c r="AA41" s="35" t="str">
        <f>_xlfn.IFNA(VLOOKUP(E41,'Lookup Table'!$J$33:$K$176,2,0),"B3")</f>
        <v>B3</v>
      </c>
      <c r="AB41" s="35">
        <f>_xlfn.IFNA(VLOOKUP($AA41,'Rating Lookup'!$B$2:$I$27,8,0),15)</f>
        <v>16</v>
      </c>
      <c r="AC41" s="35" t="str">
        <f>_xlfn.IFNA(VLOOKUP(E41,'Lookup Table'!$M$33:$N$173,2,0),"B3")</f>
        <v>B3</v>
      </c>
      <c r="AD41" s="35">
        <f>_xlfn.IFNA(VLOOKUP($AC41,'Rating Lookup'!$B$2:$I$27,8,0),15)</f>
        <v>16</v>
      </c>
      <c r="AE41" s="35">
        <f t="shared" si="4"/>
        <v>0</v>
      </c>
      <c r="AG41" s="35" t="str">
        <f t="shared" si="5"/>
        <v>BANIAS POWER STATION</v>
      </c>
      <c r="AH41" s="35" t="str">
        <f t="shared" si="6"/>
        <v>Government Loan</v>
      </c>
      <c r="AI41" s="202">
        <f>'ECL Calculation'!$B$1</f>
        <v>43465</v>
      </c>
      <c r="AJ41" s="202">
        <f t="shared" si="7"/>
        <v>36068</v>
      </c>
      <c r="AK41" s="202">
        <f t="shared" si="8"/>
        <v>29646</v>
      </c>
      <c r="AL41" s="127">
        <f t="shared" si="9"/>
        <v>13</v>
      </c>
      <c r="AM41" s="192">
        <f>IF(AND(IF(ISBLANK(K41),EOMONTH(AJ41,AL41*12),K41)&lt;'ECL Calculation'!$B$1,SUM('Input Sheet'!Q41,'Input Sheet'!R41)&gt;0),EOMONTH('ECL Calculation'!$B$1,12*5),IF(ISBLANK(K41),EOMONTH(AJ41,AL41*12),K41))</f>
        <v>36039</v>
      </c>
      <c r="AN41" s="203">
        <f t="shared" si="10"/>
        <v>56000000</v>
      </c>
      <c r="AO41" s="203">
        <f t="shared" si="11"/>
        <v>55393297.939999998</v>
      </c>
      <c r="AP41" s="203">
        <f t="shared" si="12"/>
        <v>606702.06000000238</v>
      </c>
      <c r="AQ41" s="126">
        <f>VLOOKUP(U41,'Lookup Table'!$B$2:$C$10,2,0)</f>
        <v>1</v>
      </c>
      <c r="AR41" s="127">
        <f>VLOOKUP(S41,'Lookup Table'!$B$2:$C$9,2,0)</f>
        <v>2</v>
      </c>
      <c r="AS41" s="127">
        <f>VLOOKUP(T41,'Lookup Table'!$B$2:$C$9,2,0)</f>
        <v>2</v>
      </c>
      <c r="AT41" s="136">
        <f t="shared" si="13"/>
        <v>0</v>
      </c>
      <c r="AU41" s="128">
        <f t="shared" si="14"/>
        <v>0.03</v>
      </c>
      <c r="AV41" s="136">
        <f t="shared" si="15"/>
        <v>0</v>
      </c>
      <c r="AW41" s="37" t="str">
        <f t="shared" si="16"/>
        <v>B3</v>
      </c>
      <c r="AX41" s="128">
        <f>VLOOKUP(E41,'Lookup Table'!$B$12:$C$82,2,0)</f>
        <v>3.6666666666666667E-2</v>
      </c>
      <c r="AY41" s="128">
        <f>'Lookup Table'!$E$3</f>
        <v>0.45</v>
      </c>
      <c r="AZ41" s="129" t="str">
        <f t="shared" si="17"/>
        <v>Syrian Arab Republic</v>
      </c>
      <c r="BA41" s="37">
        <f>VLOOKUP(AA41,'Lookup Table'!$J$3:$K$27,2,0)</f>
        <v>1</v>
      </c>
      <c r="BB41" s="37">
        <f t="shared" si="18"/>
        <v>1</v>
      </c>
      <c r="BC41" s="37">
        <f t="shared" si="19"/>
        <v>1</v>
      </c>
      <c r="BD41" s="37">
        <f>IF(AND(K41&lt;'ECL Calculation'!$B$1,'Input Sheet'!W41="No"),3,IF(X41="Yes",2,1))</f>
        <v>3</v>
      </c>
      <c r="BE41" s="37">
        <f t="shared" si="20"/>
        <v>3</v>
      </c>
      <c r="BF41" s="37" t="str">
        <f t="shared" si="21"/>
        <v>Stage 3</v>
      </c>
      <c r="BG41" s="37" t="str">
        <f t="shared" si="22"/>
        <v>No</v>
      </c>
    </row>
    <row r="42" spans="1:59" x14ac:dyDescent="0.2">
      <c r="A42" s="35">
        <f t="shared" si="23"/>
        <v>40</v>
      </c>
      <c r="B42" s="33">
        <v>1040</v>
      </c>
      <c r="C42" s="33" t="s">
        <v>291</v>
      </c>
      <c r="D42" s="33" t="s">
        <v>806</v>
      </c>
      <c r="E42" s="33" t="s">
        <v>484</v>
      </c>
      <c r="F42" s="33" t="s">
        <v>542</v>
      </c>
      <c r="G42" s="117">
        <v>3.5</v>
      </c>
      <c r="H42" s="34">
        <v>28480</v>
      </c>
      <c r="I42" s="34">
        <v>28491</v>
      </c>
      <c r="J42" s="34">
        <v>28707</v>
      </c>
      <c r="K42" s="34">
        <v>35368</v>
      </c>
      <c r="L42" s="34">
        <v>30071</v>
      </c>
      <c r="M42" s="34">
        <v>29706</v>
      </c>
      <c r="N42" s="113">
        <v>15</v>
      </c>
      <c r="O42" s="200">
        <v>36359905.75</v>
      </c>
      <c r="P42" s="200">
        <v>36359905.75</v>
      </c>
      <c r="Q42" s="200">
        <v>0</v>
      </c>
      <c r="R42" s="201">
        <v>10917047.5112</v>
      </c>
      <c r="S42" s="33" t="s">
        <v>22</v>
      </c>
      <c r="T42" s="33" t="s">
        <v>22</v>
      </c>
      <c r="U42" s="33" t="s">
        <v>203</v>
      </c>
      <c r="V42" s="33"/>
      <c r="W42" s="33" t="s">
        <v>210</v>
      </c>
      <c r="X42" s="33" t="s">
        <v>209</v>
      </c>
      <c r="Y42" s="33"/>
      <c r="Z42" s="33" t="s">
        <v>209</v>
      </c>
      <c r="AA42" s="35" t="str">
        <f>_xlfn.IFNA(VLOOKUP(E42,'Lookup Table'!$J$33:$K$176,2,0),"B3")</f>
        <v>Ca-C</v>
      </c>
      <c r="AB42" s="35">
        <f>_xlfn.IFNA(VLOOKUP($AA42,'Rating Lookup'!$B$2:$I$27,8,0),15)</f>
        <v>15</v>
      </c>
      <c r="AC42" s="35" t="str">
        <f>_xlfn.IFNA(VLOOKUP(E42,'Lookup Table'!$M$33:$N$173,2,0),"B3")</f>
        <v>Ca-C</v>
      </c>
      <c r="AD42" s="35">
        <f>_xlfn.IFNA(VLOOKUP($AC42,'Rating Lookup'!$B$2:$I$27,8,0),15)</f>
        <v>15</v>
      </c>
      <c r="AE42" s="35">
        <f t="shared" si="4"/>
        <v>0</v>
      </c>
      <c r="AG42" s="35" t="str">
        <f t="shared" si="5"/>
        <v>SUDAN RAILWAYS DEVELOPMENT</v>
      </c>
      <c r="AH42" s="35" t="str">
        <f t="shared" si="6"/>
        <v>Government Loan</v>
      </c>
      <c r="AI42" s="202">
        <f>'ECL Calculation'!$B$1</f>
        <v>43465</v>
      </c>
      <c r="AJ42" s="202">
        <f t="shared" si="7"/>
        <v>30071</v>
      </c>
      <c r="AK42" s="202">
        <f t="shared" si="8"/>
        <v>29706</v>
      </c>
      <c r="AL42" s="127">
        <f t="shared" si="9"/>
        <v>15</v>
      </c>
      <c r="AM42" s="192">
        <f>IF(AND(IF(ISBLANK(K42),EOMONTH(AJ42,AL42*12),K42)&lt;'ECL Calculation'!$B$1,SUM('Input Sheet'!Q42,'Input Sheet'!R42)&gt;0),EOMONTH('ECL Calculation'!$B$1,12*5),IF(ISBLANK(K42),EOMONTH(AJ42,AL42*12),K42))</f>
        <v>45291</v>
      </c>
      <c r="AN42" s="203">
        <f t="shared" si="10"/>
        <v>36359905.75</v>
      </c>
      <c r="AO42" s="203">
        <f t="shared" si="11"/>
        <v>36359905.75</v>
      </c>
      <c r="AP42" s="203">
        <f t="shared" si="12"/>
        <v>0</v>
      </c>
      <c r="AQ42" s="126">
        <f>VLOOKUP(U42,'Lookup Table'!$B$2:$C$10,2,0)</f>
        <v>1</v>
      </c>
      <c r="AR42" s="127">
        <f>VLOOKUP(S42,'Lookup Table'!$B$2:$C$9,2,0)</f>
        <v>2</v>
      </c>
      <c r="AS42" s="127">
        <f>VLOOKUP(T42,'Lookup Table'!$B$2:$C$9,2,0)</f>
        <v>2</v>
      </c>
      <c r="AT42" s="136">
        <f t="shared" si="13"/>
        <v>0</v>
      </c>
      <c r="AU42" s="128">
        <f t="shared" si="14"/>
        <v>3.5000000000000003E-2</v>
      </c>
      <c r="AV42" s="136">
        <f t="shared" si="15"/>
        <v>10917047.5112</v>
      </c>
      <c r="AW42" s="37" t="str">
        <f t="shared" si="16"/>
        <v>Ca-C</v>
      </c>
      <c r="AX42" s="128">
        <f>VLOOKUP(E42,'Lookup Table'!$B$12:$C$82,2,0)</f>
        <v>2.9249999999999998E-2</v>
      </c>
      <c r="AY42" s="128">
        <f>'Lookup Table'!$E$3</f>
        <v>0.45</v>
      </c>
      <c r="AZ42" s="129" t="str">
        <f t="shared" si="17"/>
        <v>Sudan</v>
      </c>
      <c r="BA42" s="37">
        <f>VLOOKUP(AA42,'Lookup Table'!$J$3:$K$27,2,0)</f>
        <v>1</v>
      </c>
      <c r="BB42" s="37">
        <f t="shared" si="18"/>
        <v>1</v>
      </c>
      <c r="BC42" s="37">
        <f t="shared" si="19"/>
        <v>1</v>
      </c>
      <c r="BD42" s="37">
        <f>IF(AND(K42&lt;'ECL Calculation'!$B$1,'Input Sheet'!W42="No"),3,IF(X42="Yes",2,1))</f>
        <v>3</v>
      </c>
      <c r="BE42" s="37">
        <f t="shared" si="20"/>
        <v>1</v>
      </c>
      <c r="BF42" s="37" t="str">
        <f t="shared" si="21"/>
        <v>Stage 3</v>
      </c>
      <c r="BG42" s="37" t="str">
        <f t="shared" si="22"/>
        <v>No</v>
      </c>
    </row>
    <row r="43" spans="1:59" x14ac:dyDescent="0.2">
      <c r="A43" s="35">
        <f t="shared" si="23"/>
        <v>41</v>
      </c>
      <c r="B43" s="33">
        <v>1041</v>
      </c>
      <c r="C43" s="33" t="s">
        <v>292</v>
      </c>
      <c r="D43" s="33" t="s">
        <v>806</v>
      </c>
      <c r="E43" s="33" t="s">
        <v>19</v>
      </c>
      <c r="F43" s="33" t="s">
        <v>542</v>
      </c>
      <c r="G43" s="117">
        <v>3</v>
      </c>
      <c r="H43" s="34">
        <v>28483</v>
      </c>
      <c r="I43" s="34">
        <v>28277</v>
      </c>
      <c r="J43" s="34">
        <v>28625</v>
      </c>
      <c r="K43" s="34">
        <v>35703</v>
      </c>
      <c r="L43" s="34">
        <v>30405</v>
      </c>
      <c r="M43" s="34">
        <v>29675</v>
      </c>
      <c r="N43" s="113">
        <v>15</v>
      </c>
      <c r="O43" s="200">
        <v>20000000</v>
      </c>
      <c r="P43" s="200">
        <v>20000000</v>
      </c>
      <c r="Q43" s="200">
        <v>0</v>
      </c>
      <c r="R43" s="201">
        <v>0</v>
      </c>
      <c r="S43" s="33" t="s">
        <v>22</v>
      </c>
      <c r="T43" s="33" t="s">
        <v>22</v>
      </c>
      <c r="U43" s="33" t="s">
        <v>203</v>
      </c>
      <c r="V43" s="33"/>
      <c r="W43" s="33" t="s">
        <v>210</v>
      </c>
      <c r="X43" s="33" t="s">
        <v>210</v>
      </c>
      <c r="Y43" s="33"/>
      <c r="Z43" s="33" t="s">
        <v>209</v>
      </c>
      <c r="AA43" s="35" t="str">
        <f>_xlfn.IFNA(VLOOKUP(E43,'Lookup Table'!$J$33:$K$176,2,0),"B3")</f>
        <v>B2</v>
      </c>
      <c r="AB43" s="35">
        <f>_xlfn.IFNA(VLOOKUP($AA43,'Rating Lookup'!$B$2:$I$27,8,0),15)</f>
        <v>15</v>
      </c>
      <c r="AC43" s="35" t="str">
        <f>_xlfn.IFNA(VLOOKUP(E43,'Lookup Table'!$M$33:$N$173,2,0),"B3")</f>
        <v>Baa1</v>
      </c>
      <c r="AD43" s="35">
        <f>_xlfn.IFNA(VLOOKUP($AC43,'Rating Lookup'!$B$2:$I$27,8,0),15)</f>
        <v>8</v>
      </c>
      <c r="AE43" s="35">
        <f t="shared" si="4"/>
        <v>7</v>
      </c>
      <c r="AG43" s="35" t="str">
        <f t="shared" si="5"/>
        <v>BAHRAIN EL.(RIFFA)</v>
      </c>
      <c r="AH43" s="35" t="str">
        <f t="shared" si="6"/>
        <v>Government Loan</v>
      </c>
      <c r="AI43" s="202">
        <f>'ECL Calculation'!$B$1</f>
        <v>43465</v>
      </c>
      <c r="AJ43" s="202">
        <f t="shared" si="7"/>
        <v>30405</v>
      </c>
      <c r="AK43" s="202">
        <f t="shared" si="8"/>
        <v>29675</v>
      </c>
      <c r="AL43" s="127">
        <f t="shared" si="9"/>
        <v>15</v>
      </c>
      <c r="AM43" s="192">
        <f>IF(AND(IF(ISBLANK(K43),EOMONTH(AJ43,AL43*12),K43)&lt;'ECL Calculation'!$B$1,SUM('Input Sheet'!Q43,'Input Sheet'!R43)&gt;0),EOMONTH('ECL Calculation'!$B$1,12*5),IF(ISBLANK(K43),EOMONTH(AJ43,AL43*12),K43))</f>
        <v>35703</v>
      </c>
      <c r="AN43" s="203">
        <f t="shared" si="10"/>
        <v>20000000</v>
      </c>
      <c r="AO43" s="203">
        <f t="shared" si="11"/>
        <v>20000000</v>
      </c>
      <c r="AP43" s="203">
        <f t="shared" si="12"/>
        <v>0</v>
      </c>
      <c r="AQ43" s="126">
        <f>VLOOKUP(U43,'Lookup Table'!$B$2:$C$10,2,0)</f>
        <v>1</v>
      </c>
      <c r="AR43" s="127">
        <f>VLOOKUP(S43,'Lookup Table'!$B$2:$C$9,2,0)</f>
        <v>2</v>
      </c>
      <c r="AS43" s="127">
        <f>VLOOKUP(T43,'Lookup Table'!$B$2:$C$9,2,0)</f>
        <v>2</v>
      </c>
      <c r="AT43" s="136">
        <f t="shared" si="13"/>
        <v>0</v>
      </c>
      <c r="AU43" s="128">
        <f t="shared" si="14"/>
        <v>0.03</v>
      </c>
      <c r="AV43" s="136">
        <f t="shared" si="15"/>
        <v>0</v>
      </c>
      <c r="AW43" s="37" t="str">
        <f t="shared" si="16"/>
        <v>B2</v>
      </c>
      <c r="AX43" s="128">
        <f>VLOOKUP(E43,'Lookup Table'!$B$12:$C$82,2,0)</f>
        <v>3.6111111111111115E-2</v>
      </c>
      <c r="AY43" s="128">
        <f>'Lookup Table'!$E$3</f>
        <v>0.45</v>
      </c>
      <c r="AZ43" s="129" t="str">
        <f t="shared" si="17"/>
        <v>Bahrain</v>
      </c>
      <c r="BA43" s="37">
        <f>VLOOKUP(AA43,'Lookup Table'!$J$3:$K$27,2,0)</f>
        <v>1</v>
      </c>
      <c r="BB43" s="37">
        <f t="shared" si="18"/>
        <v>2</v>
      </c>
      <c r="BC43" s="37">
        <f t="shared" si="19"/>
        <v>1</v>
      </c>
      <c r="BD43" s="37">
        <f>IF(AND(K43&lt;'ECL Calculation'!$B$1,'Input Sheet'!W43="No"),3,IF(X43="Yes",2,1))</f>
        <v>3</v>
      </c>
      <c r="BE43" s="37">
        <f t="shared" si="20"/>
        <v>1</v>
      </c>
      <c r="BF43" s="37" t="str">
        <f t="shared" si="21"/>
        <v>Stage 3</v>
      </c>
      <c r="BG43" s="37" t="str">
        <f t="shared" si="22"/>
        <v>No</v>
      </c>
    </row>
    <row r="44" spans="1:59" x14ac:dyDescent="0.2">
      <c r="A44" s="35">
        <f t="shared" si="23"/>
        <v>42</v>
      </c>
      <c r="B44" s="33">
        <v>1042</v>
      </c>
      <c r="C44" s="33" t="s">
        <v>293</v>
      </c>
      <c r="D44" s="33" t="s">
        <v>806</v>
      </c>
      <c r="E44" s="33" t="s">
        <v>494</v>
      </c>
      <c r="F44" s="33" t="s">
        <v>542</v>
      </c>
      <c r="G44" s="117">
        <v>5</v>
      </c>
      <c r="H44" s="34">
        <v>28483</v>
      </c>
      <c r="I44" s="34">
        <v>28603</v>
      </c>
      <c r="J44" s="34">
        <v>28603</v>
      </c>
      <c r="K44" s="34">
        <v>33239</v>
      </c>
      <c r="L44" s="34">
        <v>29952</v>
      </c>
      <c r="M44" s="34">
        <v>29618</v>
      </c>
      <c r="N44" s="113">
        <v>9</v>
      </c>
      <c r="O44" s="200">
        <v>15014678.949999999</v>
      </c>
      <c r="P44" s="200">
        <v>15014678.949999999</v>
      </c>
      <c r="Q44" s="200">
        <v>0</v>
      </c>
      <c r="R44" s="201">
        <v>0</v>
      </c>
      <c r="S44" s="33" t="s">
        <v>22</v>
      </c>
      <c r="T44" s="33" t="s">
        <v>22</v>
      </c>
      <c r="U44" s="33" t="s">
        <v>203</v>
      </c>
      <c r="V44" s="33"/>
      <c r="W44" s="33" t="s">
        <v>210</v>
      </c>
      <c r="X44" s="33" t="s">
        <v>210</v>
      </c>
      <c r="Y44" s="33"/>
      <c r="Z44" s="33" t="s">
        <v>209</v>
      </c>
      <c r="AA44" s="35" t="str">
        <f>_xlfn.IFNA(VLOOKUP(E44,'Lookup Table'!$J$33:$K$176,2,0),"B3")</f>
        <v>B3</v>
      </c>
      <c r="AB44" s="35">
        <f>_xlfn.IFNA(VLOOKUP($AA44,'Rating Lookup'!$B$2:$I$27,8,0),15)</f>
        <v>16</v>
      </c>
      <c r="AC44" s="35" t="str">
        <f>_xlfn.IFNA(VLOOKUP(E44,'Lookup Table'!$M$33:$N$173,2,0),"B3")</f>
        <v>B3</v>
      </c>
      <c r="AD44" s="35">
        <f>_xlfn.IFNA(VLOOKUP($AC44,'Rating Lookup'!$B$2:$I$27,8,0),15)</f>
        <v>16</v>
      </c>
      <c r="AE44" s="35">
        <f t="shared" si="4"/>
        <v>0</v>
      </c>
      <c r="AG44" s="35" t="str">
        <f t="shared" si="5"/>
        <v>CEMENT CLINKER PROD</v>
      </c>
      <c r="AH44" s="35" t="str">
        <f t="shared" si="6"/>
        <v>Government Loan</v>
      </c>
      <c r="AI44" s="202">
        <f>'ECL Calculation'!$B$1</f>
        <v>43465</v>
      </c>
      <c r="AJ44" s="202">
        <f t="shared" si="7"/>
        <v>29952</v>
      </c>
      <c r="AK44" s="202">
        <f t="shared" si="8"/>
        <v>29618</v>
      </c>
      <c r="AL44" s="127">
        <f t="shared" si="9"/>
        <v>9</v>
      </c>
      <c r="AM44" s="192">
        <f>IF(AND(IF(ISBLANK(K44),EOMONTH(AJ44,AL44*12),K44)&lt;'ECL Calculation'!$B$1,SUM('Input Sheet'!Q44,'Input Sheet'!R44)&gt;0),EOMONTH('ECL Calculation'!$B$1,12*5),IF(ISBLANK(K44),EOMONTH(AJ44,AL44*12),K44))</f>
        <v>33239</v>
      </c>
      <c r="AN44" s="203">
        <f t="shared" si="10"/>
        <v>15014678.949999999</v>
      </c>
      <c r="AO44" s="203">
        <f t="shared" si="11"/>
        <v>15014678.949999999</v>
      </c>
      <c r="AP44" s="203">
        <f t="shared" si="12"/>
        <v>0</v>
      </c>
      <c r="AQ44" s="126">
        <f>VLOOKUP(U44,'Lookup Table'!$B$2:$C$10,2,0)</f>
        <v>1</v>
      </c>
      <c r="AR44" s="127">
        <f>VLOOKUP(S44,'Lookup Table'!$B$2:$C$9,2,0)</f>
        <v>2</v>
      </c>
      <c r="AS44" s="127">
        <f>VLOOKUP(T44,'Lookup Table'!$B$2:$C$9,2,0)</f>
        <v>2</v>
      </c>
      <c r="AT44" s="136">
        <f t="shared" si="13"/>
        <v>0</v>
      </c>
      <c r="AU44" s="128">
        <f t="shared" si="14"/>
        <v>0.05</v>
      </c>
      <c r="AV44" s="136">
        <f t="shared" si="15"/>
        <v>0</v>
      </c>
      <c r="AW44" s="37" t="str">
        <f t="shared" si="16"/>
        <v>B3</v>
      </c>
      <c r="AX44" s="128">
        <f>VLOOKUP(E44,'Lookup Table'!$B$12:$C$82,2,0)</f>
        <v>3.5000000000000003E-2</v>
      </c>
      <c r="AY44" s="128">
        <f>'Lookup Table'!$E$3</f>
        <v>0.45</v>
      </c>
      <c r="AZ44" s="129" t="str">
        <f t="shared" si="17"/>
        <v>Guinea</v>
      </c>
      <c r="BA44" s="37">
        <f>VLOOKUP(AA44,'Lookup Table'!$J$3:$K$27,2,0)</f>
        <v>1</v>
      </c>
      <c r="BB44" s="37">
        <f t="shared" si="18"/>
        <v>1</v>
      </c>
      <c r="BC44" s="37">
        <f t="shared" si="19"/>
        <v>1</v>
      </c>
      <c r="BD44" s="37">
        <f>IF(AND(K44&lt;'ECL Calculation'!$B$1,'Input Sheet'!W44="No"),3,IF(X44="Yes",2,1))</f>
        <v>3</v>
      </c>
      <c r="BE44" s="37">
        <f t="shared" si="20"/>
        <v>1</v>
      </c>
      <c r="BF44" s="37" t="str">
        <f t="shared" si="21"/>
        <v>Stage 3</v>
      </c>
      <c r="BG44" s="37" t="str">
        <f t="shared" si="22"/>
        <v>No</v>
      </c>
    </row>
    <row r="45" spans="1:59" x14ac:dyDescent="0.2">
      <c r="A45" s="35">
        <f t="shared" si="23"/>
        <v>43</v>
      </c>
      <c r="B45" s="33">
        <v>1043</v>
      </c>
      <c r="C45" s="33" t="s">
        <v>294</v>
      </c>
      <c r="D45" s="33" t="s">
        <v>806</v>
      </c>
      <c r="E45" s="33" t="s">
        <v>495</v>
      </c>
      <c r="F45" s="33" t="s">
        <v>542</v>
      </c>
      <c r="G45" s="117">
        <v>4</v>
      </c>
      <c r="H45" s="34">
        <v>28498</v>
      </c>
      <c r="I45" s="34">
        <v>28609</v>
      </c>
      <c r="J45" s="34">
        <v>28609</v>
      </c>
      <c r="K45" s="34">
        <v>35612</v>
      </c>
      <c r="L45" s="34">
        <v>30317</v>
      </c>
      <c r="M45" s="34">
        <v>29587</v>
      </c>
      <c r="N45" s="113">
        <v>15</v>
      </c>
      <c r="O45" s="200">
        <v>4000000</v>
      </c>
      <c r="P45" s="200">
        <v>4000000</v>
      </c>
      <c r="Q45" s="200">
        <v>0</v>
      </c>
      <c r="R45" s="201">
        <v>0</v>
      </c>
      <c r="S45" s="33" t="s">
        <v>22</v>
      </c>
      <c r="T45" s="33" t="s">
        <v>22</v>
      </c>
      <c r="U45" s="33" t="s">
        <v>203</v>
      </c>
      <c r="V45" s="33"/>
      <c r="W45" s="33" t="s">
        <v>210</v>
      </c>
      <c r="X45" s="33" t="s">
        <v>210</v>
      </c>
      <c r="Y45" s="33"/>
      <c r="Z45" s="33" t="s">
        <v>209</v>
      </c>
      <c r="AA45" s="35" t="str">
        <f>_xlfn.IFNA(VLOOKUP(E45,'Lookup Table'!$J$33:$K$176,2,0),"B3")</f>
        <v>Ba3</v>
      </c>
      <c r="AB45" s="35">
        <f>_xlfn.IFNA(VLOOKUP($AA45,'Rating Lookup'!$B$2:$I$27,8,0),15)</f>
        <v>13</v>
      </c>
      <c r="AC45" s="35" t="str">
        <f>_xlfn.IFNA(VLOOKUP(E45,'Lookup Table'!$M$33:$N$173,2,0),"B3")</f>
        <v>B1</v>
      </c>
      <c r="AD45" s="35">
        <f>_xlfn.IFNA(VLOOKUP($AC45,'Rating Lookup'!$B$2:$I$27,8,0),15)</f>
        <v>14</v>
      </c>
      <c r="AE45" s="35">
        <f t="shared" si="4"/>
        <v>0</v>
      </c>
      <c r="AG45" s="35" t="str">
        <f t="shared" si="5"/>
        <v>KAMOBEUL DAM</v>
      </c>
      <c r="AH45" s="35" t="str">
        <f t="shared" si="6"/>
        <v>Government Loan</v>
      </c>
      <c r="AI45" s="202">
        <f>'ECL Calculation'!$B$1</f>
        <v>43465</v>
      </c>
      <c r="AJ45" s="202">
        <f t="shared" si="7"/>
        <v>30317</v>
      </c>
      <c r="AK45" s="202">
        <f t="shared" si="8"/>
        <v>29587</v>
      </c>
      <c r="AL45" s="127">
        <f t="shared" si="9"/>
        <v>15</v>
      </c>
      <c r="AM45" s="192">
        <f>IF(AND(IF(ISBLANK(K45),EOMONTH(AJ45,AL45*12),K45)&lt;'ECL Calculation'!$B$1,SUM('Input Sheet'!Q45,'Input Sheet'!R45)&gt;0),EOMONTH('ECL Calculation'!$B$1,12*5),IF(ISBLANK(K45),EOMONTH(AJ45,AL45*12),K45))</f>
        <v>35612</v>
      </c>
      <c r="AN45" s="203">
        <f t="shared" si="10"/>
        <v>4000000</v>
      </c>
      <c r="AO45" s="203">
        <f t="shared" si="11"/>
        <v>4000000</v>
      </c>
      <c r="AP45" s="203">
        <f t="shared" si="12"/>
        <v>0</v>
      </c>
      <c r="AQ45" s="126">
        <f>VLOOKUP(U45,'Lookup Table'!$B$2:$C$10,2,0)</f>
        <v>1</v>
      </c>
      <c r="AR45" s="127">
        <f>VLOOKUP(S45,'Lookup Table'!$B$2:$C$9,2,0)</f>
        <v>2</v>
      </c>
      <c r="AS45" s="127">
        <f>VLOOKUP(T45,'Lookup Table'!$B$2:$C$9,2,0)</f>
        <v>2</v>
      </c>
      <c r="AT45" s="136">
        <f t="shared" si="13"/>
        <v>0</v>
      </c>
      <c r="AU45" s="128">
        <f t="shared" si="14"/>
        <v>0.04</v>
      </c>
      <c r="AV45" s="136">
        <f t="shared" si="15"/>
        <v>0</v>
      </c>
      <c r="AW45" s="37" t="str">
        <f t="shared" si="16"/>
        <v>Ba3</v>
      </c>
      <c r="AX45" s="128">
        <f>VLOOKUP(E45,'Lookup Table'!$B$12:$C$82,2,0)</f>
        <v>2.75E-2</v>
      </c>
      <c r="AY45" s="128">
        <f>'Lookup Table'!$E$3</f>
        <v>0.45</v>
      </c>
      <c r="AZ45" s="129" t="str">
        <f t="shared" si="17"/>
        <v>Senegal</v>
      </c>
      <c r="BA45" s="37">
        <f>VLOOKUP(AA45,'Lookup Table'!$J$3:$K$27,2,0)</f>
        <v>1</v>
      </c>
      <c r="BB45" s="37">
        <f t="shared" si="18"/>
        <v>1</v>
      </c>
      <c r="BC45" s="37">
        <f t="shared" si="19"/>
        <v>1</v>
      </c>
      <c r="BD45" s="37">
        <f>IF(AND(K45&lt;'ECL Calculation'!$B$1,'Input Sheet'!W45="No"),3,IF(X45="Yes",2,1))</f>
        <v>3</v>
      </c>
      <c r="BE45" s="37">
        <f t="shared" si="20"/>
        <v>1</v>
      </c>
      <c r="BF45" s="37" t="str">
        <f t="shared" si="21"/>
        <v>Stage 3</v>
      </c>
      <c r="BG45" s="37" t="str">
        <f t="shared" si="22"/>
        <v>No</v>
      </c>
    </row>
    <row r="46" spans="1:59" x14ac:dyDescent="0.2">
      <c r="A46" s="35">
        <f t="shared" si="23"/>
        <v>44</v>
      </c>
      <c r="B46" s="33">
        <v>1044</v>
      </c>
      <c r="C46" s="33" t="s">
        <v>295</v>
      </c>
      <c r="D46" s="33" t="s">
        <v>806</v>
      </c>
      <c r="E46" s="33" t="s">
        <v>496</v>
      </c>
      <c r="F46" s="33" t="s">
        <v>542</v>
      </c>
      <c r="G46" s="117">
        <v>2.5</v>
      </c>
      <c r="H46" s="34">
        <v>28527</v>
      </c>
      <c r="I46" s="34">
        <v>28677</v>
      </c>
      <c r="J46" s="34">
        <v>28677</v>
      </c>
      <c r="K46" s="34">
        <v>33878</v>
      </c>
      <c r="L46" s="34">
        <v>30407</v>
      </c>
      <c r="M46" s="34">
        <v>29677</v>
      </c>
      <c r="N46" s="113">
        <v>10</v>
      </c>
      <c r="O46" s="200">
        <v>3000000</v>
      </c>
      <c r="P46" s="200">
        <v>3000000</v>
      </c>
      <c r="Q46" s="200">
        <v>0</v>
      </c>
      <c r="R46" s="201">
        <v>0</v>
      </c>
      <c r="S46" s="33" t="s">
        <v>22</v>
      </c>
      <c r="T46" s="33" t="s">
        <v>22</v>
      </c>
      <c r="U46" s="33" t="s">
        <v>203</v>
      </c>
      <c r="V46" s="33"/>
      <c r="W46" s="33" t="s">
        <v>210</v>
      </c>
      <c r="X46" s="33" t="s">
        <v>210</v>
      </c>
      <c r="Y46" s="33"/>
      <c r="Z46" s="33" t="s">
        <v>209</v>
      </c>
      <c r="AA46" s="35" t="str">
        <f>_xlfn.IFNA(VLOOKUP(E46,'Lookup Table'!$J$33:$K$176,2,0),"B3")</f>
        <v>B3</v>
      </c>
      <c r="AB46" s="35">
        <f>_xlfn.IFNA(VLOOKUP($AA46,'Rating Lookup'!$B$2:$I$27,8,0),15)</f>
        <v>16</v>
      </c>
      <c r="AC46" s="35" t="str">
        <f>_xlfn.IFNA(VLOOKUP(E46,'Lookup Table'!$M$33:$N$173,2,0),"B3")</f>
        <v>B3</v>
      </c>
      <c r="AD46" s="35">
        <f>_xlfn.IFNA(VLOOKUP($AC46,'Rating Lookup'!$B$2:$I$27,8,0),15)</f>
        <v>16</v>
      </c>
      <c r="AE46" s="35">
        <f t="shared" si="4"/>
        <v>0</v>
      </c>
      <c r="AG46" s="35" t="str">
        <f t="shared" si="5"/>
        <v>INTERNATIONAL AIRPORT</v>
      </c>
      <c r="AH46" s="35" t="str">
        <f t="shared" si="6"/>
        <v>Government Loan</v>
      </c>
      <c r="AI46" s="202">
        <f>'ECL Calculation'!$B$1</f>
        <v>43465</v>
      </c>
      <c r="AJ46" s="202">
        <f t="shared" si="7"/>
        <v>30407</v>
      </c>
      <c r="AK46" s="202">
        <f t="shared" si="8"/>
        <v>29677</v>
      </c>
      <c r="AL46" s="127">
        <f t="shared" si="9"/>
        <v>10</v>
      </c>
      <c r="AM46" s="192">
        <f>IF(AND(IF(ISBLANK(K46),EOMONTH(AJ46,AL46*12),K46)&lt;'ECL Calculation'!$B$1,SUM('Input Sheet'!Q46,'Input Sheet'!R46)&gt;0),EOMONTH('ECL Calculation'!$B$1,12*5),IF(ISBLANK(K46),EOMONTH(AJ46,AL46*12),K46))</f>
        <v>33878</v>
      </c>
      <c r="AN46" s="203">
        <f t="shared" si="10"/>
        <v>3000000</v>
      </c>
      <c r="AO46" s="203">
        <f t="shared" si="11"/>
        <v>3000000</v>
      </c>
      <c r="AP46" s="203">
        <f t="shared" si="12"/>
        <v>0</v>
      </c>
      <c r="AQ46" s="126">
        <f>VLOOKUP(U46,'Lookup Table'!$B$2:$C$10,2,0)</f>
        <v>1</v>
      </c>
      <c r="AR46" s="127">
        <f>VLOOKUP(S46,'Lookup Table'!$B$2:$C$9,2,0)</f>
        <v>2</v>
      </c>
      <c r="AS46" s="127">
        <f>VLOOKUP(T46,'Lookup Table'!$B$2:$C$9,2,0)</f>
        <v>2</v>
      </c>
      <c r="AT46" s="136">
        <f t="shared" si="13"/>
        <v>0</v>
      </c>
      <c r="AU46" s="128">
        <f t="shared" si="14"/>
        <v>2.5000000000000001E-2</v>
      </c>
      <c r="AV46" s="136">
        <f t="shared" si="15"/>
        <v>0</v>
      </c>
      <c r="AW46" s="37" t="str">
        <f t="shared" si="16"/>
        <v>B3</v>
      </c>
      <c r="AX46" s="128">
        <f>VLOOKUP(E46,'Lookup Table'!$B$12:$C$82,2,0)</f>
        <v>3.3333333333333333E-2</v>
      </c>
      <c r="AY46" s="128">
        <f>'Lookup Table'!$E$3</f>
        <v>0.45</v>
      </c>
      <c r="AZ46" s="129" t="str">
        <f t="shared" si="17"/>
        <v>Lesotho</v>
      </c>
      <c r="BA46" s="37">
        <f>VLOOKUP(AA46,'Lookup Table'!$J$3:$K$27,2,0)</f>
        <v>1</v>
      </c>
      <c r="BB46" s="37">
        <f t="shared" si="18"/>
        <v>1</v>
      </c>
      <c r="BC46" s="37">
        <f t="shared" si="19"/>
        <v>1</v>
      </c>
      <c r="BD46" s="37">
        <f>IF(AND(K46&lt;'ECL Calculation'!$B$1,'Input Sheet'!W46="No"),3,IF(X46="Yes",2,1))</f>
        <v>3</v>
      </c>
      <c r="BE46" s="37">
        <f t="shared" si="20"/>
        <v>1</v>
      </c>
      <c r="BF46" s="37" t="str">
        <f t="shared" si="21"/>
        <v>Stage 3</v>
      </c>
      <c r="BG46" s="37" t="str">
        <f t="shared" si="22"/>
        <v>No</v>
      </c>
    </row>
    <row r="47" spans="1:59" x14ac:dyDescent="0.2">
      <c r="A47" s="35">
        <f t="shared" si="23"/>
        <v>45</v>
      </c>
      <c r="B47" s="33">
        <v>1045</v>
      </c>
      <c r="C47" s="33" t="s">
        <v>296</v>
      </c>
      <c r="D47" s="33" t="s">
        <v>806</v>
      </c>
      <c r="E47" s="33" t="s">
        <v>478</v>
      </c>
      <c r="F47" s="33" t="s">
        <v>542</v>
      </c>
      <c r="G47" s="117">
        <v>2</v>
      </c>
      <c r="H47" s="34">
        <v>28536</v>
      </c>
      <c r="I47" s="34">
        <v>28801</v>
      </c>
      <c r="J47" s="34">
        <v>28801</v>
      </c>
      <c r="K47" s="34">
        <v>35612</v>
      </c>
      <c r="L47" s="34">
        <v>30317</v>
      </c>
      <c r="M47" s="34">
        <v>29646</v>
      </c>
      <c r="N47" s="113">
        <v>15</v>
      </c>
      <c r="O47" s="200">
        <v>4987838.25</v>
      </c>
      <c r="P47" s="200">
        <v>4987838.25</v>
      </c>
      <c r="Q47" s="200">
        <v>1821184.25</v>
      </c>
      <c r="R47" s="201">
        <v>996590.84</v>
      </c>
      <c r="S47" s="33" t="s">
        <v>22</v>
      </c>
      <c r="T47" s="33" t="s">
        <v>22</v>
      </c>
      <c r="U47" s="33" t="s">
        <v>203</v>
      </c>
      <c r="V47" s="33"/>
      <c r="W47" s="33" t="s">
        <v>210</v>
      </c>
      <c r="X47" s="33" t="s">
        <v>209</v>
      </c>
      <c r="Y47" s="33" t="s">
        <v>209</v>
      </c>
      <c r="Z47" s="33" t="s">
        <v>209</v>
      </c>
      <c r="AA47" s="35" t="str">
        <f>_xlfn.IFNA(VLOOKUP(E47,'Lookup Table'!$J$33:$K$176,2,0),"B3")</f>
        <v>B3</v>
      </c>
      <c r="AB47" s="35">
        <f>_xlfn.IFNA(VLOOKUP($AA47,'Rating Lookup'!$B$2:$I$27,8,0),15)</f>
        <v>16</v>
      </c>
      <c r="AC47" s="35" t="str">
        <f>_xlfn.IFNA(VLOOKUP(E47,'Lookup Table'!$M$33:$N$173,2,0),"B3")</f>
        <v>B3</v>
      </c>
      <c r="AD47" s="35">
        <f>_xlfn.IFNA(VLOOKUP($AC47,'Rating Lookup'!$B$2:$I$27,8,0),15)</f>
        <v>16</v>
      </c>
      <c r="AE47" s="35">
        <f t="shared" si="4"/>
        <v>0</v>
      </c>
      <c r="AG47" s="35" t="str">
        <f t="shared" si="5"/>
        <v>WADI SIHAM PROJECT</v>
      </c>
      <c r="AH47" s="35" t="str">
        <f t="shared" si="6"/>
        <v>Government Loan</v>
      </c>
      <c r="AI47" s="202">
        <f>'ECL Calculation'!$B$1</f>
        <v>43465</v>
      </c>
      <c r="AJ47" s="202">
        <f t="shared" si="7"/>
        <v>30317</v>
      </c>
      <c r="AK47" s="202">
        <f t="shared" si="8"/>
        <v>29646</v>
      </c>
      <c r="AL47" s="127">
        <f t="shared" si="9"/>
        <v>15</v>
      </c>
      <c r="AM47" s="192">
        <f>IF(AND(IF(ISBLANK(K47),EOMONTH(AJ47,AL47*12),K47)&lt;'ECL Calculation'!$B$1,SUM('Input Sheet'!Q47,'Input Sheet'!R47)&gt;0),EOMONTH('ECL Calculation'!$B$1,12*5),IF(ISBLANK(K47),EOMONTH(AJ47,AL47*12),K47))</f>
        <v>45291</v>
      </c>
      <c r="AN47" s="203">
        <f t="shared" si="10"/>
        <v>4987838.25</v>
      </c>
      <c r="AO47" s="203">
        <f t="shared" si="11"/>
        <v>4987838.25</v>
      </c>
      <c r="AP47" s="203">
        <f t="shared" si="12"/>
        <v>0</v>
      </c>
      <c r="AQ47" s="126">
        <f>VLOOKUP(U47,'Lookup Table'!$B$2:$C$10,2,0)</f>
        <v>1</v>
      </c>
      <c r="AR47" s="127">
        <f>VLOOKUP(S47,'Lookup Table'!$B$2:$C$9,2,0)</f>
        <v>2</v>
      </c>
      <c r="AS47" s="127">
        <f>VLOOKUP(T47,'Lookup Table'!$B$2:$C$9,2,0)</f>
        <v>2</v>
      </c>
      <c r="AT47" s="136">
        <f t="shared" si="13"/>
        <v>1821184.25</v>
      </c>
      <c r="AU47" s="128">
        <f t="shared" si="14"/>
        <v>0.02</v>
      </c>
      <c r="AV47" s="136">
        <f t="shared" si="15"/>
        <v>996590.84</v>
      </c>
      <c r="AW47" s="37" t="str">
        <f t="shared" si="16"/>
        <v>B3</v>
      </c>
      <c r="AX47" s="128">
        <f>VLOOKUP(E47,'Lookup Table'!$B$12:$C$82,2,0)</f>
        <v>3.3636363636363638E-2</v>
      </c>
      <c r="AY47" s="128">
        <f>'Lookup Table'!$E$3</f>
        <v>0.45</v>
      </c>
      <c r="AZ47" s="129" t="str">
        <f t="shared" si="17"/>
        <v>Yemen</v>
      </c>
      <c r="BA47" s="37">
        <f>VLOOKUP(AA47,'Lookup Table'!$J$3:$K$27,2,0)</f>
        <v>1</v>
      </c>
      <c r="BB47" s="37">
        <f t="shared" si="18"/>
        <v>1</v>
      </c>
      <c r="BC47" s="37">
        <f t="shared" si="19"/>
        <v>1</v>
      </c>
      <c r="BD47" s="37">
        <f>IF(AND(K47&lt;'ECL Calculation'!$B$1,'Input Sheet'!W47="No"),3,IF(X47="Yes",2,1))</f>
        <v>3</v>
      </c>
      <c r="BE47" s="37">
        <f t="shared" si="20"/>
        <v>3</v>
      </c>
      <c r="BF47" s="37" t="str">
        <f t="shared" si="21"/>
        <v>Stage 3</v>
      </c>
      <c r="BG47" s="37" t="str">
        <f t="shared" si="22"/>
        <v>Yes</v>
      </c>
    </row>
    <row r="48" spans="1:59" x14ac:dyDescent="0.2">
      <c r="A48" s="35">
        <f t="shared" si="23"/>
        <v>46</v>
      </c>
      <c r="B48" s="33">
        <v>1046</v>
      </c>
      <c r="C48" s="33" t="s">
        <v>297</v>
      </c>
      <c r="D48" s="33" t="s">
        <v>806</v>
      </c>
      <c r="E48" s="33" t="s">
        <v>482</v>
      </c>
      <c r="F48" s="33" t="s">
        <v>542</v>
      </c>
      <c r="G48" s="117">
        <v>4</v>
      </c>
      <c r="H48" s="34">
        <v>28549</v>
      </c>
      <c r="I48" s="34">
        <v>28625</v>
      </c>
      <c r="J48" s="34">
        <v>28625</v>
      </c>
      <c r="K48" s="34">
        <v>35643</v>
      </c>
      <c r="L48" s="34">
        <v>30348</v>
      </c>
      <c r="M48" s="34">
        <v>29618</v>
      </c>
      <c r="N48" s="113">
        <v>15</v>
      </c>
      <c r="O48" s="200">
        <v>60000000</v>
      </c>
      <c r="P48" s="200">
        <v>60000000</v>
      </c>
      <c r="Q48" s="200">
        <v>0</v>
      </c>
      <c r="R48" s="201">
        <v>0</v>
      </c>
      <c r="S48" s="33" t="s">
        <v>22</v>
      </c>
      <c r="T48" s="33" t="s">
        <v>22</v>
      </c>
      <c r="U48" s="33" t="s">
        <v>203</v>
      </c>
      <c r="V48" s="33"/>
      <c r="W48" s="33" t="s">
        <v>210</v>
      </c>
      <c r="X48" s="33" t="s">
        <v>210</v>
      </c>
      <c r="Y48" s="33"/>
      <c r="Z48" s="33" t="s">
        <v>209</v>
      </c>
      <c r="AA48" s="35" t="str">
        <f>_xlfn.IFNA(VLOOKUP(E48,'Lookup Table'!$J$33:$K$176,2,0),"B3")</f>
        <v>Ba3</v>
      </c>
      <c r="AB48" s="35">
        <f>_xlfn.IFNA(VLOOKUP($AA48,'Rating Lookup'!$B$2:$I$27,8,0),15)</f>
        <v>13</v>
      </c>
      <c r="AC48" s="35" t="str">
        <f>_xlfn.IFNA(VLOOKUP(E48,'Lookup Table'!$M$33:$N$173,2,0),"B3")</f>
        <v>Ba3</v>
      </c>
      <c r="AD48" s="35">
        <f>_xlfn.IFNA(VLOOKUP($AC48,'Rating Lookup'!$B$2:$I$27,8,0),15)</f>
        <v>13</v>
      </c>
      <c r="AE48" s="35">
        <f t="shared" si="4"/>
        <v>0</v>
      </c>
      <c r="AG48" s="35" t="str">
        <f t="shared" si="5"/>
        <v>EAST WEST ELECT INTERCO.</v>
      </c>
      <c r="AH48" s="35" t="str">
        <f t="shared" si="6"/>
        <v>Government Loan</v>
      </c>
      <c r="AI48" s="202">
        <f>'ECL Calculation'!$B$1</f>
        <v>43465</v>
      </c>
      <c r="AJ48" s="202">
        <f t="shared" si="7"/>
        <v>30348</v>
      </c>
      <c r="AK48" s="202">
        <f t="shared" si="8"/>
        <v>29618</v>
      </c>
      <c r="AL48" s="127">
        <f t="shared" si="9"/>
        <v>15</v>
      </c>
      <c r="AM48" s="192">
        <f>IF(AND(IF(ISBLANK(K48),EOMONTH(AJ48,AL48*12),K48)&lt;'ECL Calculation'!$B$1,SUM('Input Sheet'!Q48,'Input Sheet'!R48)&gt;0),EOMONTH('ECL Calculation'!$B$1,12*5),IF(ISBLANK(K48),EOMONTH(AJ48,AL48*12),K48))</f>
        <v>35643</v>
      </c>
      <c r="AN48" s="203">
        <f t="shared" si="10"/>
        <v>60000000</v>
      </c>
      <c r="AO48" s="203">
        <f t="shared" si="11"/>
        <v>60000000</v>
      </c>
      <c r="AP48" s="203">
        <f t="shared" si="12"/>
        <v>0</v>
      </c>
      <c r="AQ48" s="126">
        <f>VLOOKUP(U48,'Lookup Table'!$B$2:$C$10,2,0)</f>
        <v>1</v>
      </c>
      <c r="AR48" s="127">
        <f>VLOOKUP(S48,'Lookup Table'!$B$2:$C$9,2,0)</f>
        <v>2</v>
      </c>
      <c r="AS48" s="127">
        <f>VLOOKUP(T48,'Lookup Table'!$B$2:$C$9,2,0)</f>
        <v>2</v>
      </c>
      <c r="AT48" s="136">
        <f t="shared" si="13"/>
        <v>0</v>
      </c>
      <c r="AU48" s="128">
        <f t="shared" si="14"/>
        <v>0.04</v>
      </c>
      <c r="AV48" s="136">
        <f t="shared" si="15"/>
        <v>0</v>
      </c>
      <c r="AW48" s="37" t="str">
        <f t="shared" si="16"/>
        <v>Ba3</v>
      </c>
      <c r="AX48" s="128">
        <f>VLOOKUP(E48,'Lookup Table'!$B$12:$C$82,2,0)</f>
        <v>3.3333333333333333E-2</v>
      </c>
      <c r="AY48" s="128">
        <f>'Lookup Table'!$E$3</f>
        <v>0.45</v>
      </c>
      <c r="AZ48" s="129" t="str">
        <f t="shared" si="17"/>
        <v>Bangladesh</v>
      </c>
      <c r="BA48" s="37">
        <f>VLOOKUP(AA48,'Lookup Table'!$J$3:$K$27,2,0)</f>
        <v>1</v>
      </c>
      <c r="BB48" s="37">
        <f t="shared" si="18"/>
        <v>1</v>
      </c>
      <c r="BC48" s="37">
        <f t="shared" si="19"/>
        <v>1</v>
      </c>
      <c r="BD48" s="37">
        <f>IF(AND(K48&lt;'ECL Calculation'!$B$1,'Input Sheet'!W48="No"),3,IF(X48="Yes",2,1))</f>
        <v>3</v>
      </c>
      <c r="BE48" s="37">
        <f t="shared" si="20"/>
        <v>1</v>
      </c>
      <c r="BF48" s="37" t="str">
        <f t="shared" si="21"/>
        <v>Stage 3</v>
      </c>
      <c r="BG48" s="37" t="str">
        <f t="shared" si="22"/>
        <v>No</v>
      </c>
    </row>
    <row r="49" spans="1:59" x14ac:dyDescent="0.2">
      <c r="A49" s="35">
        <f t="shared" si="23"/>
        <v>47</v>
      </c>
      <c r="B49" s="33">
        <v>1047</v>
      </c>
      <c r="C49" s="33" t="s">
        <v>298</v>
      </c>
      <c r="D49" s="33" t="s">
        <v>806</v>
      </c>
      <c r="E49" s="33" t="s">
        <v>497</v>
      </c>
      <c r="F49" s="33" t="s">
        <v>542</v>
      </c>
      <c r="G49" s="117">
        <v>3</v>
      </c>
      <c r="H49" s="34">
        <v>28577</v>
      </c>
      <c r="I49" s="34">
        <v>28641</v>
      </c>
      <c r="J49" s="34">
        <v>28641</v>
      </c>
      <c r="K49" s="34">
        <v>35247</v>
      </c>
      <c r="L49" s="34">
        <v>30682</v>
      </c>
      <c r="M49" s="34">
        <v>29587</v>
      </c>
      <c r="N49" s="113">
        <v>13</v>
      </c>
      <c r="O49" s="200">
        <v>28000000</v>
      </c>
      <c r="P49" s="200">
        <v>28000000</v>
      </c>
      <c r="Q49" s="200">
        <v>0</v>
      </c>
      <c r="R49" s="201">
        <v>0</v>
      </c>
      <c r="S49" s="33" t="s">
        <v>22</v>
      </c>
      <c r="T49" s="33" t="s">
        <v>22</v>
      </c>
      <c r="U49" s="33" t="s">
        <v>203</v>
      </c>
      <c r="V49" s="33"/>
      <c r="W49" s="33" t="s">
        <v>210</v>
      </c>
      <c r="X49" s="33" t="s">
        <v>210</v>
      </c>
      <c r="Y49" s="33"/>
      <c r="Z49" s="33" t="s">
        <v>209</v>
      </c>
      <c r="AA49" s="35" t="str">
        <f>_xlfn.IFNA(VLOOKUP(E49,'Lookup Table'!$J$33:$K$176,2,0),"B3")</f>
        <v>A3</v>
      </c>
      <c r="AB49" s="35">
        <f>_xlfn.IFNA(VLOOKUP($AA49,'Rating Lookup'!$B$2:$I$27,8,0),15)</f>
        <v>7</v>
      </c>
      <c r="AC49" s="35" t="str">
        <f>_xlfn.IFNA(VLOOKUP(E49,'Lookup Table'!$M$33:$N$173,2,0),"B3")</f>
        <v>A3</v>
      </c>
      <c r="AD49" s="35">
        <f>_xlfn.IFNA(VLOOKUP($AC49,'Rating Lookup'!$B$2:$I$27,8,0),15)</f>
        <v>7</v>
      </c>
      <c r="AE49" s="35">
        <f t="shared" si="4"/>
        <v>0</v>
      </c>
      <c r="AG49" s="35" t="str">
        <f t="shared" si="5"/>
        <v>MARSA SHALOK PORT</v>
      </c>
      <c r="AH49" s="35" t="str">
        <f t="shared" si="6"/>
        <v>Government Loan</v>
      </c>
      <c r="AI49" s="202">
        <f>'ECL Calculation'!$B$1</f>
        <v>43465</v>
      </c>
      <c r="AJ49" s="202">
        <f t="shared" si="7"/>
        <v>30682</v>
      </c>
      <c r="AK49" s="202">
        <f t="shared" si="8"/>
        <v>29587</v>
      </c>
      <c r="AL49" s="127">
        <f t="shared" si="9"/>
        <v>13</v>
      </c>
      <c r="AM49" s="192">
        <f>IF(AND(IF(ISBLANK(K49),EOMONTH(AJ49,AL49*12),K49)&lt;'ECL Calculation'!$B$1,SUM('Input Sheet'!Q49,'Input Sheet'!R49)&gt;0),EOMONTH('ECL Calculation'!$B$1,12*5),IF(ISBLANK(K49),EOMONTH(AJ49,AL49*12),K49))</f>
        <v>35247</v>
      </c>
      <c r="AN49" s="203">
        <f t="shared" si="10"/>
        <v>28000000</v>
      </c>
      <c r="AO49" s="203">
        <f t="shared" si="11"/>
        <v>28000000</v>
      </c>
      <c r="AP49" s="203">
        <f t="shared" si="12"/>
        <v>0</v>
      </c>
      <c r="AQ49" s="126">
        <f>VLOOKUP(U49,'Lookup Table'!$B$2:$C$10,2,0)</f>
        <v>1</v>
      </c>
      <c r="AR49" s="127">
        <f>VLOOKUP(S49,'Lookup Table'!$B$2:$C$9,2,0)</f>
        <v>2</v>
      </c>
      <c r="AS49" s="127">
        <f>VLOOKUP(T49,'Lookup Table'!$B$2:$C$9,2,0)</f>
        <v>2</v>
      </c>
      <c r="AT49" s="136">
        <f t="shared" si="13"/>
        <v>0</v>
      </c>
      <c r="AU49" s="128">
        <f t="shared" si="14"/>
        <v>0.03</v>
      </c>
      <c r="AV49" s="136">
        <f t="shared" si="15"/>
        <v>0</v>
      </c>
      <c r="AW49" s="37" t="str">
        <f t="shared" si="16"/>
        <v>A3</v>
      </c>
      <c r="AX49" s="128">
        <f>VLOOKUP(E49,'Lookup Table'!$B$12:$C$82,2,0)</f>
        <v>0.03</v>
      </c>
      <c r="AY49" s="128">
        <f>'Lookup Table'!$E$3</f>
        <v>0.45</v>
      </c>
      <c r="AZ49" s="129" t="str">
        <f t="shared" si="17"/>
        <v>Malta</v>
      </c>
      <c r="BA49" s="37">
        <f>VLOOKUP(AA49,'Lookup Table'!$J$3:$K$27,2,0)</f>
        <v>1</v>
      </c>
      <c r="BB49" s="37">
        <f t="shared" si="18"/>
        <v>1</v>
      </c>
      <c r="BC49" s="37">
        <f t="shared" si="19"/>
        <v>1</v>
      </c>
      <c r="BD49" s="37">
        <f>IF(AND(K49&lt;'ECL Calculation'!$B$1,'Input Sheet'!W49="No"),3,IF(X49="Yes",2,1))</f>
        <v>3</v>
      </c>
      <c r="BE49" s="37">
        <f t="shared" si="20"/>
        <v>1</v>
      </c>
      <c r="BF49" s="37" t="str">
        <f t="shared" si="21"/>
        <v>Stage 3</v>
      </c>
      <c r="BG49" s="37" t="str">
        <f t="shared" si="22"/>
        <v>No</v>
      </c>
    </row>
    <row r="50" spans="1:59" x14ac:dyDescent="0.2">
      <c r="A50" s="35">
        <f t="shared" si="23"/>
        <v>48</v>
      </c>
      <c r="B50" s="33">
        <v>1048</v>
      </c>
      <c r="C50" s="33" t="s">
        <v>299</v>
      </c>
      <c r="D50" s="33" t="s">
        <v>806</v>
      </c>
      <c r="E50" s="33" t="s">
        <v>478</v>
      </c>
      <c r="F50" s="33" t="s">
        <v>542</v>
      </c>
      <c r="G50" s="117">
        <v>4</v>
      </c>
      <c r="H50" s="34">
        <v>28672</v>
      </c>
      <c r="I50" s="34">
        <v>28957</v>
      </c>
      <c r="J50" s="34">
        <v>28957</v>
      </c>
      <c r="K50" s="34">
        <v>35915</v>
      </c>
      <c r="L50" s="34">
        <v>30619</v>
      </c>
      <c r="M50" s="34">
        <v>28975</v>
      </c>
      <c r="N50" s="113">
        <v>15</v>
      </c>
      <c r="O50" s="200">
        <v>54875258.560000002</v>
      </c>
      <c r="P50" s="200">
        <v>54875258.560000002</v>
      </c>
      <c r="Q50" s="200">
        <v>23709158.559999999</v>
      </c>
      <c r="R50" s="201">
        <v>25768637.690000001</v>
      </c>
      <c r="S50" s="33" t="s">
        <v>22</v>
      </c>
      <c r="T50" s="33" t="s">
        <v>22</v>
      </c>
      <c r="U50" s="33" t="s">
        <v>203</v>
      </c>
      <c r="V50" s="33"/>
      <c r="W50" s="33" t="s">
        <v>210</v>
      </c>
      <c r="X50" s="33" t="s">
        <v>209</v>
      </c>
      <c r="Y50" s="33" t="s">
        <v>209</v>
      </c>
      <c r="Z50" s="33" t="s">
        <v>209</v>
      </c>
      <c r="AA50" s="35" t="str">
        <f>_xlfn.IFNA(VLOOKUP(E50,'Lookup Table'!$J$33:$K$176,2,0),"B3")</f>
        <v>B3</v>
      </c>
      <c r="AB50" s="35">
        <f>_xlfn.IFNA(VLOOKUP($AA50,'Rating Lookup'!$B$2:$I$27,8,0),15)</f>
        <v>16</v>
      </c>
      <c r="AC50" s="35" t="str">
        <f>_xlfn.IFNA(VLOOKUP(E50,'Lookup Table'!$M$33:$N$173,2,0),"B3")</f>
        <v>B3</v>
      </c>
      <c r="AD50" s="35">
        <f>_xlfn.IFNA(VLOOKUP($AC50,'Rating Lookup'!$B$2:$I$27,8,0),15)</f>
        <v>16</v>
      </c>
      <c r="AE50" s="35">
        <f t="shared" si="4"/>
        <v>0</v>
      </c>
      <c r="AG50" s="35" t="str">
        <f t="shared" si="5"/>
        <v>TAIZ WATER &amp; SEWERAGE</v>
      </c>
      <c r="AH50" s="35" t="str">
        <f t="shared" si="6"/>
        <v>Government Loan</v>
      </c>
      <c r="AI50" s="202">
        <f>'ECL Calculation'!$B$1</f>
        <v>43465</v>
      </c>
      <c r="AJ50" s="202">
        <f t="shared" si="7"/>
        <v>30619</v>
      </c>
      <c r="AK50" s="202">
        <f t="shared" si="8"/>
        <v>28975</v>
      </c>
      <c r="AL50" s="127">
        <f t="shared" si="9"/>
        <v>15</v>
      </c>
      <c r="AM50" s="192">
        <f>IF(AND(IF(ISBLANK(K50),EOMONTH(AJ50,AL50*12),K50)&lt;'ECL Calculation'!$B$1,SUM('Input Sheet'!Q50,'Input Sheet'!R50)&gt;0),EOMONTH('ECL Calculation'!$B$1,12*5),IF(ISBLANK(K50),EOMONTH(AJ50,AL50*12),K50))</f>
        <v>45291</v>
      </c>
      <c r="AN50" s="203">
        <f t="shared" si="10"/>
        <v>54875258.560000002</v>
      </c>
      <c r="AO50" s="203">
        <f t="shared" si="11"/>
        <v>54875258.560000002</v>
      </c>
      <c r="AP50" s="203">
        <f t="shared" si="12"/>
        <v>0</v>
      </c>
      <c r="AQ50" s="126">
        <f>VLOOKUP(U50,'Lookup Table'!$B$2:$C$10,2,0)</f>
        <v>1</v>
      </c>
      <c r="AR50" s="127">
        <f>VLOOKUP(S50,'Lookup Table'!$B$2:$C$9,2,0)</f>
        <v>2</v>
      </c>
      <c r="AS50" s="127">
        <f>VLOOKUP(T50,'Lookup Table'!$B$2:$C$9,2,0)</f>
        <v>2</v>
      </c>
      <c r="AT50" s="136">
        <f t="shared" si="13"/>
        <v>23709158.559999999</v>
      </c>
      <c r="AU50" s="128">
        <f t="shared" si="14"/>
        <v>0.04</v>
      </c>
      <c r="AV50" s="136">
        <f t="shared" si="15"/>
        <v>25768637.690000001</v>
      </c>
      <c r="AW50" s="37" t="str">
        <f t="shared" si="16"/>
        <v>B3</v>
      </c>
      <c r="AX50" s="128">
        <f>VLOOKUP(E50,'Lookup Table'!$B$12:$C$82,2,0)</f>
        <v>3.3636363636363638E-2</v>
      </c>
      <c r="AY50" s="128">
        <f>'Lookup Table'!$E$3</f>
        <v>0.45</v>
      </c>
      <c r="AZ50" s="129" t="str">
        <f t="shared" si="17"/>
        <v>Yemen</v>
      </c>
      <c r="BA50" s="37">
        <f>VLOOKUP(AA50,'Lookup Table'!$J$3:$K$27,2,0)</f>
        <v>1</v>
      </c>
      <c r="BB50" s="37">
        <f t="shared" si="18"/>
        <v>1</v>
      </c>
      <c r="BC50" s="37">
        <f t="shared" si="19"/>
        <v>1</v>
      </c>
      <c r="BD50" s="37">
        <f>IF(AND(K50&lt;'ECL Calculation'!$B$1,'Input Sheet'!W50="No"),3,IF(X50="Yes",2,1))</f>
        <v>3</v>
      </c>
      <c r="BE50" s="37">
        <f t="shared" si="20"/>
        <v>3</v>
      </c>
      <c r="BF50" s="37" t="str">
        <f t="shared" si="21"/>
        <v>Stage 3</v>
      </c>
      <c r="BG50" s="37" t="str">
        <f t="shared" si="22"/>
        <v>Yes</v>
      </c>
    </row>
    <row r="51" spans="1:59" x14ac:dyDescent="0.2">
      <c r="A51" s="35">
        <f t="shared" si="23"/>
        <v>49</v>
      </c>
      <c r="B51" s="33">
        <v>1049</v>
      </c>
      <c r="C51" s="33" t="s">
        <v>300</v>
      </c>
      <c r="D51" s="33" t="s">
        <v>806</v>
      </c>
      <c r="E51" s="33" t="s">
        <v>498</v>
      </c>
      <c r="F51" s="33" t="s">
        <v>542</v>
      </c>
      <c r="G51" s="117">
        <v>5</v>
      </c>
      <c r="H51" s="34">
        <v>28696</v>
      </c>
      <c r="I51" s="34">
        <v>28781</v>
      </c>
      <c r="J51" s="34">
        <v>28781</v>
      </c>
      <c r="K51" s="34">
        <v>34881</v>
      </c>
      <c r="L51" s="34">
        <v>31413</v>
      </c>
      <c r="M51" s="34">
        <v>29587</v>
      </c>
      <c r="N51" s="113">
        <v>10</v>
      </c>
      <c r="O51" s="200">
        <v>18953732.18</v>
      </c>
      <c r="P51" s="200">
        <v>18953732.18</v>
      </c>
      <c r="Q51" s="200">
        <v>0</v>
      </c>
      <c r="R51" s="201">
        <v>0</v>
      </c>
      <c r="S51" s="33" t="s">
        <v>22</v>
      </c>
      <c r="T51" s="33" t="s">
        <v>22</v>
      </c>
      <c r="U51" s="33" t="s">
        <v>203</v>
      </c>
      <c r="V51" s="33"/>
      <c r="W51" s="33" t="s">
        <v>210</v>
      </c>
      <c r="X51" s="33" t="s">
        <v>210</v>
      </c>
      <c r="Y51" s="33"/>
      <c r="Z51" s="33" t="s">
        <v>209</v>
      </c>
      <c r="AA51" s="35" t="str">
        <f>_xlfn.IFNA(VLOOKUP(E51,'Lookup Table'!$J$33:$K$176,2,0),"B3")</f>
        <v>B2</v>
      </c>
      <c r="AB51" s="35">
        <f>_xlfn.IFNA(VLOOKUP($AA51,'Rating Lookup'!$B$2:$I$27,8,0),15)</f>
        <v>15</v>
      </c>
      <c r="AC51" s="35">
        <f>_xlfn.IFNA(VLOOKUP(E51,'Lookup Table'!$M$33:$N$173,2,0),"B3")</f>
        <v>0</v>
      </c>
      <c r="AD51" s="35">
        <f>_xlfn.IFNA(VLOOKUP($AC51,'Rating Lookup'!$B$2:$I$27,8,0),15)</f>
        <v>15</v>
      </c>
      <c r="AE51" s="35">
        <f t="shared" si="4"/>
        <v>0</v>
      </c>
      <c r="AG51" s="35" t="str">
        <f t="shared" si="5"/>
        <v>AFRICAN TEX. MILL REHAB</v>
      </c>
      <c r="AH51" s="35" t="str">
        <f t="shared" si="6"/>
        <v>Government Loan</v>
      </c>
      <c r="AI51" s="202">
        <f>'ECL Calculation'!$B$1</f>
        <v>43465</v>
      </c>
      <c r="AJ51" s="202">
        <f t="shared" si="7"/>
        <v>31413</v>
      </c>
      <c r="AK51" s="202">
        <f t="shared" si="8"/>
        <v>29587</v>
      </c>
      <c r="AL51" s="127">
        <f t="shared" si="9"/>
        <v>10</v>
      </c>
      <c r="AM51" s="192">
        <f>IF(AND(IF(ISBLANK(K51),EOMONTH(AJ51,AL51*12),K51)&lt;'ECL Calculation'!$B$1,SUM('Input Sheet'!Q51,'Input Sheet'!R51)&gt;0),EOMONTH('ECL Calculation'!$B$1,12*5),IF(ISBLANK(K51),EOMONTH(AJ51,AL51*12),K51))</f>
        <v>34881</v>
      </c>
      <c r="AN51" s="203">
        <f t="shared" si="10"/>
        <v>18953732.18</v>
      </c>
      <c r="AO51" s="203">
        <f t="shared" si="11"/>
        <v>18953732.18</v>
      </c>
      <c r="AP51" s="203">
        <f t="shared" si="12"/>
        <v>0</v>
      </c>
      <c r="AQ51" s="126">
        <f>VLOOKUP(U51,'Lookup Table'!$B$2:$C$10,2,0)</f>
        <v>1</v>
      </c>
      <c r="AR51" s="127">
        <f>VLOOKUP(S51,'Lookup Table'!$B$2:$C$9,2,0)</f>
        <v>2</v>
      </c>
      <c r="AS51" s="127">
        <f>VLOOKUP(T51,'Lookup Table'!$B$2:$C$9,2,0)</f>
        <v>2</v>
      </c>
      <c r="AT51" s="136">
        <f t="shared" si="13"/>
        <v>0</v>
      </c>
      <c r="AU51" s="128">
        <f t="shared" si="14"/>
        <v>0.05</v>
      </c>
      <c r="AV51" s="136">
        <f t="shared" si="15"/>
        <v>0</v>
      </c>
      <c r="AW51" s="37" t="str">
        <f t="shared" si="16"/>
        <v>B2</v>
      </c>
      <c r="AX51" s="128">
        <f>VLOOKUP(E51,'Lookup Table'!$B$12:$C$82,2,0)</f>
        <v>3.5000000000000003E-2</v>
      </c>
      <c r="AY51" s="128">
        <f>'Lookup Table'!$E$3</f>
        <v>0.45</v>
      </c>
      <c r="AZ51" s="129" t="str">
        <f t="shared" si="17"/>
        <v>Uganda</v>
      </c>
      <c r="BA51" s="37">
        <f>VLOOKUP(AA51,'Lookup Table'!$J$3:$K$27,2,0)</f>
        <v>1</v>
      </c>
      <c r="BB51" s="37">
        <f t="shared" si="18"/>
        <v>1</v>
      </c>
      <c r="BC51" s="37">
        <f t="shared" si="19"/>
        <v>1</v>
      </c>
      <c r="BD51" s="37">
        <f>IF(AND(K51&lt;'ECL Calculation'!$B$1,'Input Sheet'!W51="No"),3,IF(X51="Yes",2,1))</f>
        <v>3</v>
      </c>
      <c r="BE51" s="37">
        <f t="shared" si="20"/>
        <v>1</v>
      </c>
      <c r="BF51" s="37" t="str">
        <f t="shared" si="21"/>
        <v>Stage 3</v>
      </c>
      <c r="BG51" s="37" t="str">
        <f t="shared" si="22"/>
        <v>No</v>
      </c>
    </row>
    <row r="52" spans="1:59" x14ac:dyDescent="0.2">
      <c r="A52" s="35">
        <f t="shared" si="23"/>
        <v>50</v>
      </c>
      <c r="B52" s="33">
        <v>1050</v>
      </c>
      <c r="C52" s="33" t="s">
        <v>301</v>
      </c>
      <c r="D52" s="33" t="s">
        <v>806</v>
      </c>
      <c r="E52" s="33" t="s">
        <v>499</v>
      </c>
      <c r="F52" s="33" t="s">
        <v>542</v>
      </c>
      <c r="G52" s="117">
        <v>3.5</v>
      </c>
      <c r="H52" s="34">
        <v>28750</v>
      </c>
      <c r="I52" s="34">
        <v>28785</v>
      </c>
      <c r="J52" s="34">
        <v>28785</v>
      </c>
      <c r="K52" s="34">
        <v>33420</v>
      </c>
      <c r="L52" s="34">
        <v>29952</v>
      </c>
      <c r="M52" s="34">
        <v>29587</v>
      </c>
      <c r="N52" s="113">
        <v>10</v>
      </c>
      <c r="O52" s="200">
        <v>7718113.3899999997</v>
      </c>
      <c r="P52" s="200">
        <v>7718113.3899999997</v>
      </c>
      <c r="Q52" s="200">
        <v>0</v>
      </c>
      <c r="R52" s="201">
        <v>0</v>
      </c>
      <c r="S52" s="33" t="s">
        <v>22</v>
      </c>
      <c r="T52" s="33" t="s">
        <v>22</v>
      </c>
      <c r="U52" s="33" t="s">
        <v>203</v>
      </c>
      <c r="V52" s="33"/>
      <c r="W52" s="33" t="s">
        <v>210</v>
      </c>
      <c r="X52" s="33" t="s">
        <v>210</v>
      </c>
      <c r="Y52" s="33"/>
      <c r="Z52" s="33" t="s">
        <v>209</v>
      </c>
      <c r="AA52" s="35" t="str">
        <f>_xlfn.IFNA(VLOOKUP(E52,'Lookup Table'!$J$33:$K$176,2,0),"B3")</f>
        <v>B2</v>
      </c>
      <c r="AB52" s="35">
        <f>_xlfn.IFNA(VLOOKUP($AA52,'Rating Lookup'!$B$2:$I$27,8,0),15)</f>
        <v>15</v>
      </c>
      <c r="AC52" s="35" t="str">
        <f>_xlfn.IFNA(VLOOKUP(E52,'Lookup Table'!$M$33:$N$173,2,0),"B3")</f>
        <v>B3</v>
      </c>
      <c r="AD52" s="35">
        <f>_xlfn.IFNA(VLOOKUP($AC52,'Rating Lookup'!$B$2:$I$27,8,0),15)</f>
        <v>16</v>
      </c>
      <c r="AE52" s="35">
        <f t="shared" si="4"/>
        <v>0</v>
      </c>
      <c r="AG52" s="35" t="str">
        <f t="shared" si="5"/>
        <v>HULULE AIRPORT CONSTRUCTION</v>
      </c>
      <c r="AH52" s="35" t="str">
        <f t="shared" si="6"/>
        <v>Government Loan</v>
      </c>
      <c r="AI52" s="202">
        <f>'ECL Calculation'!$B$1</f>
        <v>43465</v>
      </c>
      <c r="AJ52" s="202">
        <f t="shared" si="7"/>
        <v>29952</v>
      </c>
      <c r="AK52" s="202">
        <f t="shared" si="8"/>
        <v>29587</v>
      </c>
      <c r="AL52" s="127">
        <f t="shared" si="9"/>
        <v>10</v>
      </c>
      <c r="AM52" s="192">
        <f>IF(AND(IF(ISBLANK(K52),EOMONTH(AJ52,AL52*12),K52)&lt;'ECL Calculation'!$B$1,SUM('Input Sheet'!Q52,'Input Sheet'!R52)&gt;0),EOMONTH('ECL Calculation'!$B$1,12*5),IF(ISBLANK(K52),EOMONTH(AJ52,AL52*12),K52))</f>
        <v>33420</v>
      </c>
      <c r="AN52" s="203">
        <f t="shared" si="10"/>
        <v>7718113.3899999997</v>
      </c>
      <c r="AO52" s="203">
        <f t="shared" si="11"/>
        <v>7718113.3899999997</v>
      </c>
      <c r="AP52" s="203">
        <f t="shared" si="12"/>
        <v>0</v>
      </c>
      <c r="AQ52" s="126">
        <f>VLOOKUP(U52,'Lookup Table'!$B$2:$C$10,2,0)</f>
        <v>1</v>
      </c>
      <c r="AR52" s="127">
        <f>VLOOKUP(S52,'Lookup Table'!$B$2:$C$9,2,0)</f>
        <v>2</v>
      </c>
      <c r="AS52" s="127">
        <f>VLOOKUP(T52,'Lookup Table'!$B$2:$C$9,2,0)</f>
        <v>2</v>
      </c>
      <c r="AT52" s="136">
        <f t="shared" si="13"/>
        <v>0</v>
      </c>
      <c r="AU52" s="128">
        <f t="shared" si="14"/>
        <v>3.5000000000000003E-2</v>
      </c>
      <c r="AV52" s="136">
        <f t="shared" si="15"/>
        <v>0</v>
      </c>
      <c r="AW52" s="37" t="str">
        <f t="shared" si="16"/>
        <v>B2</v>
      </c>
      <c r="AX52" s="128">
        <f>VLOOKUP(E52,'Lookup Table'!$B$12:$C$82,2,0)</f>
        <v>3.6249999999999998E-2</v>
      </c>
      <c r="AY52" s="128">
        <f>'Lookup Table'!$E$3</f>
        <v>0.45</v>
      </c>
      <c r="AZ52" s="129" t="str">
        <f t="shared" si="17"/>
        <v>Maldives</v>
      </c>
      <c r="BA52" s="37">
        <f>VLOOKUP(AA52,'Lookup Table'!$J$3:$K$27,2,0)</f>
        <v>1</v>
      </c>
      <c r="BB52" s="37">
        <f t="shared" si="18"/>
        <v>1</v>
      </c>
      <c r="BC52" s="37">
        <f t="shared" si="19"/>
        <v>1</v>
      </c>
      <c r="BD52" s="37">
        <f>IF(AND(K52&lt;'ECL Calculation'!$B$1,'Input Sheet'!W52="No"),3,IF(X52="Yes",2,1))</f>
        <v>3</v>
      </c>
      <c r="BE52" s="37">
        <f t="shared" si="20"/>
        <v>1</v>
      </c>
      <c r="BF52" s="37" t="str">
        <f t="shared" si="21"/>
        <v>Stage 3</v>
      </c>
      <c r="BG52" s="37" t="str">
        <f t="shared" si="22"/>
        <v>No</v>
      </c>
    </row>
    <row r="53" spans="1:59" x14ac:dyDescent="0.2">
      <c r="A53" s="35">
        <f t="shared" si="23"/>
        <v>51</v>
      </c>
      <c r="B53" s="33">
        <v>1051</v>
      </c>
      <c r="C53" s="33" t="s">
        <v>302</v>
      </c>
      <c r="D53" s="33" t="s">
        <v>806</v>
      </c>
      <c r="E53" s="33" t="s">
        <v>24</v>
      </c>
      <c r="F53" s="33" t="s">
        <v>542</v>
      </c>
      <c r="G53" s="117">
        <v>4</v>
      </c>
      <c r="H53" s="34">
        <v>28774</v>
      </c>
      <c r="I53" s="34">
        <v>28941</v>
      </c>
      <c r="J53" s="34">
        <v>28941</v>
      </c>
      <c r="K53" s="34">
        <v>32509</v>
      </c>
      <c r="L53" s="34">
        <v>30133</v>
      </c>
      <c r="M53" s="34">
        <v>29587</v>
      </c>
      <c r="N53" s="113">
        <v>7</v>
      </c>
      <c r="O53" s="200">
        <v>663000000</v>
      </c>
      <c r="P53" s="200">
        <v>663000000</v>
      </c>
      <c r="Q53" s="200">
        <v>0</v>
      </c>
      <c r="R53" s="201">
        <v>0</v>
      </c>
      <c r="S53" s="33" t="s">
        <v>22</v>
      </c>
      <c r="T53" s="33" t="s">
        <v>22</v>
      </c>
      <c r="U53" s="33" t="s">
        <v>203</v>
      </c>
      <c r="V53" s="33"/>
      <c r="W53" s="33" t="s">
        <v>210</v>
      </c>
      <c r="X53" s="33" t="s">
        <v>210</v>
      </c>
      <c r="Y53" s="33"/>
      <c r="Z53" s="33" t="s">
        <v>209</v>
      </c>
      <c r="AA53" s="35" t="str">
        <f>_xlfn.IFNA(VLOOKUP(E53,'Lookup Table'!$J$33:$K$176,2,0),"B3")</f>
        <v>Ba1</v>
      </c>
      <c r="AB53" s="35">
        <f>_xlfn.IFNA(VLOOKUP($AA53,'Rating Lookup'!$B$2:$I$27,8,0),15)</f>
        <v>11</v>
      </c>
      <c r="AC53" s="35" t="str">
        <f>_xlfn.IFNA(VLOOKUP(E53,'Lookup Table'!$M$33:$N$173,2,0),"B3")</f>
        <v>A1</v>
      </c>
      <c r="AD53" s="35">
        <f>_xlfn.IFNA(VLOOKUP($AC53,'Rating Lookup'!$B$2:$I$27,8,0),15)</f>
        <v>5</v>
      </c>
      <c r="AE53" s="35">
        <f t="shared" si="4"/>
        <v>6</v>
      </c>
      <c r="AG53" s="35" t="str">
        <f t="shared" si="5"/>
        <v>OIL FIELD DEVELOPMENT</v>
      </c>
      <c r="AH53" s="35" t="str">
        <f t="shared" si="6"/>
        <v>Government Loan</v>
      </c>
      <c r="AI53" s="202">
        <f>'ECL Calculation'!$B$1</f>
        <v>43465</v>
      </c>
      <c r="AJ53" s="202">
        <f t="shared" si="7"/>
        <v>30133</v>
      </c>
      <c r="AK53" s="202">
        <f t="shared" si="8"/>
        <v>29587</v>
      </c>
      <c r="AL53" s="127">
        <f t="shared" si="9"/>
        <v>7</v>
      </c>
      <c r="AM53" s="192">
        <f>IF(AND(IF(ISBLANK(K53),EOMONTH(AJ53,AL53*12),K53)&lt;'ECL Calculation'!$B$1,SUM('Input Sheet'!Q53,'Input Sheet'!R53)&gt;0),EOMONTH('ECL Calculation'!$B$1,12*5),IF(ISBLANK(K53),EOMONTH(AJ53,AL53*12),K53))</f>
        <v>32509</v>
      </c>
      <c r="AN53" s="203">
        <f t="shared" si="10"/>
        <v>663000000</v>
      </c>
      <c r="AO53" s="203">
        <f t="shared" si="11"/>
        <v>663000000</v>
      </c>
      <c r="AP53" s="203">
        <f t="shared" si="12"/>
        <v>0</v>
      </c>
      <c r="AQ53" s="126">
        <f>VLOOKUP(U53,'Lookup Table'!$B$2:$C$10,2,0)</f>
        <v>1</v>
      </c>
      <c r="AR53" s="127">
        <f>VLOOKUP(S53,'Lookup Table'!$B$2:$C$9,2,0)</f>
        <v>2</v>
      </c>
      <c r="AS53" s="127">
        <f>VLOOKUP(T53,'Lookup Table'!$B$2:$C$9,2,0)</f>
        <v>2</v>
      </c>
      <c r="AT53" s="136">
        <f t="shared" si="13"/>
        <v>0</v>
      </c>
      <c r="AU53" s="128">
        <f t="shared" si="14"/>
        <v>0.04</v>
      </c>
      <c r="AV53" s="136">
        <f t="shared" si="15"/>
        <v>0</v>
      </c>
      <c r="AW53" s="37" t="str">
        <f t="shared" si="16"/>
        <v>Ba1</v>
      </c>
      <c r="AX53" s="128">
        <f>VLOOKUP(E53,'Lookup Table'!$B$12:$C$82,2,0)</f>
        <v>3.6818181818181819E-2</v>
      </c>
      <c r="AY53" s="128">
        <f>'Lookup Table'!$E$3</f>
        <v>0.45</v>
      </c>
      <c r="AZ53" s="129" t="str">
        <f t="shared" si="17"/>
        <v>Oman</v>
      </c>
      <c r="BA53" s="37">
        <f>VLOOKUP(AA53,'Lookup Table'!$J$3:$K$27,2,0)</f>
        <v>1</v>
      </c>
      <c r="BB53" s="37">
        <f t="shared" si="18"/>
        <v>2</v>
      </c>
      <c r="BC53" s="37">
        <f t="shared" si="19"/>
        <v>1</v>
      </c>
      <c r="BD53" s="37">
        <f>IF(AND(K53&lt;'ECL Calculation'!$B$1,'Input Sheet'!W53="No"),3,IF(X53="Yes",2,1))</f>
        <v>3</v>
      </c>
      <c r="BE53" s="37">
        <f t="shared" si="20"/>
        <v>1</v>
      </c>
      <c r="BF53" s="37" t="str">
        <f t="shared" si="21"/>
        <v>Stage 3</v>
      </c>
      <c r="BG53" s="37" t="str">
        <f t="shared" si="22"/>
        <v>No</v>
      </c>
    </row>
    <row r="54" spans="1:59" x14ac:dyDescent="0.2">
      <c r="A54" s="35">
        <f t="shared" si="23"/>
        <v>52</v>
      </c>
      <c r="B54" s="33">
        <v>1052</v>
      </c>
      <c r="C54" s="33" t="s">
        <v>303</v>
      </c>
      <c r="D54" s="33" t="s">
        <v>806</v>
      </c>
      <c r="E54" s="33" t="s">
        <v>500</v>
      </c>
      <c r="F54" s="33" t="s">
        <v>542</v>
      </c>
      <c r="G54" s="117">
        <v>2.5</v>
      </c>
      <c r="H54" s="34">
        <v>28945</v>
      </c>
      <c r="I54" s="34">
        <v>29011</v>
      </c>
      <c r="J54" s="34">
        <v>29011</v>
      </c>
      <c r="K54" s="34">
        <v>35612</v>
      </c>
      <c r="L54" s="34">
        <v>30317</v>
      </c>
      <c r="M54" s="34">
        <v>29587</v>
      </c>
      <c r="N54" s="113">
        <v>15</v>
      </c>
      <c r="O54" s="200">
        <v>940711.27</v>
      </c>
      <c r="P54" s="200">
        <v>940711.27</v>
      </c>
      <c r="Q54" s="200">
        <v>0</v>
      </c>
      <c r="R54" s="201">
        <v>0</v>
      </c>
      <c r="S54" s="33" t="s">
        <v>22</v>
      </c>
      <c r="T54" s="33" t="s">
        <v>22</v>
      </c>
      <c r="U54" s="33" t="s">
        <v>203</v>
      </c>
      <c r="V54" s="33"/>
      <c r="W54" s="33" t="s">
        <v>210</v>
      </c>
      <c r="X54" s="33" t="s">
        <v>210</v>
      </c>
      <c r="Y54" s="33"/>
      <c r="Z54" s="33" t="s">
        <v>209</v>
      </c>
      <c r="AA54" s="35" t="str">
        <f>_xlfn.IFNA(VLOOKUP(E54,'Lookup Table'!$J$33:$K$176,2,0),"B3")</f>
        <v>B3</v>
      </c>
      <c r="AB54" s="35">
        <f>_xlfn.IFNA(VLOOKUP($AA54,'Rating Lookup'!$B$2:$I$27,8,0),15)</f>
        <v>16</v>
      </c>
      <c r="AC54" s="35" t="str">
        <f>_xlfn.IFNA(VLOOKUP(E54,'Lookup Table'!$M$33:$N$173,2,0),"B3")</f>
        <v>B3</v>
      </c>
      <c r="AD54" s="35">
        <f>_xlfn.IFNA(VLOOKUP($AC54,'Rating Lookup'!$B$2:$I$27,8,0),15)</f>
        <v>16</v>
      </c>
      <c r="AE54" s="35">
        <f t="shared" si="4"/>
        <v>0</v>
      </c>
      <c r="AG54" s="35" t="str">
        <f t="shared" si="5"/>
        <v>ANJWAN AIRPORT</v>
      </c>
      <c r="AH54" s="35" t="str">
        <f t="shared" si="6"/>
        <v>Government Loan</v>
      </c>
      <c r="AI54" s="202">
        <f>'ECL Calculation'!$B$1</f>
        <v>43465</v>
      </c>
      <c r="AJ54" s="202">
        <f t="shared" si="7"/>
        <v>30317</v>
      </c>
      <c r="AK54" s="202">
        <f t="shared" si="8"/>
        <v>29587</v>
      </c>
      <c r="AL54" s="127">
        <f t="shared" si="9"/>
        <v>15</v>
      </c>
      <c r="AM54" s="192">
        <f>IF(AND(IF(ISBLANK(K54),EOMONTH(AJ54,AL54*12),K54)&lt;'ECL Calculation'!$B$1,SUM('Input Sheet'!Q54,'Input Sheet'!R54)&gt;0),EOMONTH('ECL Calculation'!$B$1,12*5),IF(ISBLANK(K54),EOMONTH(AJ54,AL54*12),K54))</f>
        <v>35612</v>
      </c>
      <c r="AN54" s="203">
        <f t="shared" si="10"/>
        <v>940711.27</v>
      </c>
      <c r="AO54" s="203">
        <f t="shared" si="11"/>
        <v>940711.27</v>
      </c>
      <c r="AP54" s="203">
        <f t="shared" si="12"/>
        <v>0</v>
      </c>
      <c r="AQ54" s="126">
        <f>VLOOKUP(U54,'Lookup Table'!$B$2:$C$10,2,0)</f>
        <v>1</v>
      </c>
      <c r="AR54" s="127">
        <f>VLOOKUP(S54,'Lookup Table'!$B$2:$C$9,2,0)</f>
        <v>2</v>
      </c>
      <c r="AS54" s="127">
        <f>VLOOKUP(T54,'Lookup Table'!$B$2:$C$9,2,0)</f>
        <v>2</v>
      </c>
      <c r="AT54" s="136">
        <f t="shared" si="13"/>
        <v>0</v>
      </c>
      <c r="AU54" s="128">
        <f t="shared" si="14"/>
        <v>2.5000000000000001E-2</v>
      </c>
      <c r="AV54" s="136">
        <f t="shared" si="15"/>
        <v>0</v>
      </c>
      <c r="AW54" s="37" t="str">
        <f t="shared" si="16"/>
        <v>B3</v>
      </c>
      <c r="AX54" s="128">
        <f>VLOOKUP(E54,'Lookup Table'!$B$12:$C$82,2,0)</f>
        <v>2.5000000000000001E-2</v>
      </c>
      <c r="AY54" s="128">
        <f>'Lookup Table'!$E$3</f>
        <v>0.45</v>
      </c>
      <c r="AZ54" s="129" t="str">
        <f t="shared" si="17"/>
        <v>Comoros</v>
      </c>
      <c r="BA54" s="37">
        <f>VLOOKUP(AA54,'Lookup Table'!$J$3:$K$27,2,0)</f>
        <v>1</v>
      </c>
      <c r="BB54" s="37">
        <f t="shared" si="18"/>
        <v>1</v>
      </c>
      <c r="BC54" s="37">
        <f t="shared" si="19"/>
        <v>1</v>
      </c>
      <c r="BD54" s="37">
        <f>IF(AND(K54&lt;'ECL Calculation'!$B$1,'Input Sheet'!W54="No"),3,IF(X54="Yes",2,1))</f>
        <v>3</v>
      </c>
      <c r="BE54" s="37">
        <f t="shared" si="20"/>
        <v>1</v>
      </c>
      <c r="BF54" s="37" t="str">
        <f t="shared" si="21"/>
        <v>Stage 3</v>
      </c>
      <c r="BG54" s="37" t="str">
        <f t="shared" si="22"/>
        <v>No</v>
      </c>
    </row>
    <row r="55" spans="1:59" x14ac:dyDescent="0.2">
      <c r="A55" s="35">
        <f t="shared" si="23"/>
        <v>53</v>
      </c>
      <c r="B55" s="33">
        <v>1053</v>
      </c>
      <c r="C55" s="33" t="s">
        <v>304</v>
      </c>
      <c r="D55" s="33" t="s">
        <v>806</v>
      </c>
      <c r="E55" s="33" t="s">
        <v>480</v>
      </c>
      <c r="F55" s="33" t="s">
        <v>542</v>
      </c>
      <c r="G55" s="117">
        <v>4.5</v>
      </c>
      <c r="H55" s="34">
        <v>28956</v>
      </c>
      <c r="I55" s="34">
        <v>28399</v>
      </c>
      <c r="J55" s="34">
        <v>29229</v>
      </c>
      <c r="K55" s="34">
        <v>35977</v>
      </c>
      <c r="L55" s="34">
        <v>30682</v>
      </c>
      <c r="M55" s="34">
        <v>29646</v>
      </c>
      <c r="N55" s="113">
        <v>15</v>
      </c>
      <c r="O55" s="200">
        <v>39976013.82</v>
      </c>
      <c r="P55" s="200">
        <v>39976013.82</v>
      </c>
      <c r="Q55" s="200">
        <v>0</v>
      </c>
      <c r="R55" s="201">
        <v>0</v>
      </c>
      <c r="S55" s="33" t="s">
        <v>22</v>
      </c>
      <c r="T55" s="33" t="s">
        <v>22</v>
      </c>
      <c r="U55" s="33" t="s">
        <v>203</v>
      </c>
      <c r="V55" s="33"/>
      <c r="W55" s="33" t="s">
        <v>210</v>
      </c>
      <c r="X55" s="33" t="s">
        <v>210</v>
      </c>
      <c r="Y55" s="33"/>
      <c r="Z55" s="33" t="s">
        <v>209</v>
      </c>
      <c r="AA55" s="35" t="str">
        <f>_xlfn.IFNA(VLOOKUP(E55,'Lookup Table'!$J$33:$K$176,2,0),"B3")</f>
        <v>Ba1</v>
      </c>
      <c r="AB55" s="35">
        <f>_xlfn.IFNA(VLOOKUP($AA55,'Rating Lookup'!$B$2:$I$27,8,0),15)</f>
        <v>11</v>
      </c>
      <c r="AC55" s="35" t="str">
        <f>_xlfn.IFNA(VLOOKUP(E55,'Lookup Table'!$M$33:$N$173,2,0),"B3")</f>
        <v>Ba1</v>
      </c>
      <c r="AD55" s="35">
        <f>_xlfn.IFNA(VLOOKUP($AC55,'Rating Lookup'!$B$2:$I$27,8,0),15)</f>
        <v>11</v>
      </c>
      <c r="AE55" s="35">
        <f t="shared" si="4"/>
        <v>0</v>
      </c>
      <c r="AG55" s="35" t="str">
        <f t="shared" si="5"/>
        <v>ALGARB AGRICULTURAL</v>
      </c>
      <c r="AH55" s="35" t="str">
        <f t="shared" si="6"/>
        <v>Government Loan</v>
      </c>
      <c r="AI55" s="202">
        <f>'ECL Calculation'!$B$1</f>
        <v>43465</v>
      </c>
      <c r="AJ55" s="202">
        <f t="shared" si="7"/>
        <v>30682</v>
      </c>
      <c r="AK55" s="202">
        <f t="shared" si="8"/>
        <v>29646</v>
      </c>
      <c r="AL55" s="127">
        <f t="shared" si="9"/>
        <v>15</v>
      </c>
      <c r="AM55" s="192">
        <f>IF(AND(IF(ISBLANK(K55),EOMONTH(AJ55,AL55*12),K55)&lt;'ECL Calculation'!$B$1,SUM('Input Sheet'!Q55,'Input Sheet'!R55)&gt;0),EOMONTH('ECL Calculation'!$B$1,12*5),IF(ISBLANK(K55),EOMONTH(AJ55,AL55*12),K55))</f>
        <v>35977</v>
      </c>
      <c r="AN55" s="203">
        <f t="shared" si="10"/>
        <v>39976013.82</v>
      </c>
      <c r="AO55" s="203">
        <f t="shared" si="11"/>
        <v>39976013.82</v>
      </c>
      <c r="AP55" s="203">
        <f t="shared" si="12"/>
        <v>0</v>
      </c>
      <c r="AQ55" s="126">
        <f>VLOOKUP(U55,'Lookup Table'!$B$2:$C$10,2,0)</f>
        <v>1</v>
      </c>
      <c r="AR55" s="127">
        <f>VLOOKUP(S55,'Lookup Table'!$B$2:$C$9,2,0)</f>
        <v>2</v>
      </c>
      <c r="AS55" s="127">
        <f>VLOOKUP(T55,'Lookup Table'!$B$2:$C$9,2,0)</f>
        <v>2</v>
      </c>
      <c r="AT55" s="136">
        <f t="shared" si="13"/>
        <v>0</v>
      </c>
      <c r="AU55" s="128">
        <f t="shared" si="14"/>
        <v>4.4999999999999998E-2</v>
      </c>
      <c r="AV55" s="136">
        <f t="shared" si="15"/>
        <v>0</v>
      </c>
      <c r="AW55" s="37" t="str">
        <f t="shared" si="16"/>
        <v>Ba1</v>
      </c>
      <c r="AX55" s="128">
        <f>VLOOKUP(E55,'Lookup Table'!$B$12:$C$82,2,0)</f>
        <v>3.1662499999999996E-2</v>
      </c>
      <c r="AY55" s="128">
        <f>'Lookup Table'!$E$3</f>
        <v>0.45</v>
      </c>
      <c r="AZ55" s="129" t="str">
        <f t="shared" si="17"/>
        <v>Morocco</v>
      </c>
      <c r="BA55" s="37">
        <f>VLOOKUP(AA55,'Lookup Table'!$J$3:$K$27,2,0)</f>
        <v>1</v>
      </c>
      <c r="BB55" s="37">
        <f t="shared" si="18"/>
        <v>1</v>
      </c>
      <c r="BC55" s="37">
        <f t="shared" si="19"/>
        <v>1</v>
      </c>
      <c r="BD55" s="37">
        <f>IF(AND(K55&lt;'ECL Calculation'!$B$1,'Input Sheet'!W55="No"),3,IF(X55="Yes",2,1))</f>
        <v>3</v>
      </c>
      <c r="BE55" s="37">
        <f t="shared" si="20"/>
        <v>1</v>
      </c>
      <c r="BF55" s="37" t="str">
        <f t="shared" si="21"/>
        <v>Stage 3</v>
      </c>
      <c r="BG55" s="37" t="str">
        <f t="shared" si="22"/>
        <v>No</v>
      </c>
    </row>
    <row r="56" spans="1:59" x14ac:dyDescent="0.2">
      <c r="A56" s="35">
        <f t="shared" si="23"/>
        <v>54</v>
      </c>
      <c r="B56" s="33">
        <v>1054</v>
      </c>
      <c r="C56" s="33" t="s">
        <v>305</v>
      </c>
      <c r="D56" s="33" t="s">
        <v>806</v>
      </c>
      <c r="E56" s="33" t="s">
        <v>479</v>
      </c>
      <c r="F56" s="33" t="s">
        <v>542</v>
      </c>
      <c r="G56" s="117">
        <v>6</v>
      </c>
      <c r="H56" s="34">
        <v>28994</v>
      </c>
      <c r="I56" s="34">
        <v>27912</v>
      </c>
      <c r="J56" s="34">
        <v>29149</v>
      </c>
      <c r="K56" s="34">
        <v>33237</v>
      </c>
      <c r="L56" s="34">
        <v>30497</v>
      </c>
      <c r="M56" s="34">
        <v>29767</v>
      </c>
      <c r="N56" s="113">
        <v>8</v>
      </c>
      <c r="O56" s="200">
        <v>218592203.86000001</v>
      </c>
      <c r="P56" s="200">
        <v>218592203.86000001</v>
      </c>
      <c r="Q56" s="200">
        <v>0</v>
      </c>
      <c r="R56" s="201">
        <v>0</v>
      </c>
      <c r="S56" s="33" t="s">
        <v>22</v>
      </c>
      <c r="T56" s="33" t="s">
        <v>22</v>
      </c>
      <c r="U56" s="33" t="s">
        <v>203</v>
      </c>
      <c r="V56" s="33"/>
      <c r="W56" s="33" t="s">
        <v>210</v>
      </c>
      <c r="X56" s="33" t="s">
        <v>210</v>
      </c>
      <c r="Y56" s="33"/>
      <c r="Z56" s="33" t="s">
        <v>209</v>
      </c>
      <c r="AA56" s="35" t="str">
        <f>_xlfn.IFNA(VLOOKUP(E56,'Lookup Table'!$J$33:$K$176,2,0),"B3")</f>
        <v>B2</v>
      </c>
      <c r="AB56" s="35">
        <f>_xlfn.IFNA(VLOOKUP($AA56,'Rating Lookup'!$B$2:$I$27,8,0),15)</f>
        <v>15</v>
      </c>
      <c r="AC56" s="35" t="str">
        <f>_xlfn.IFNA(VLOOKUP(E56,'Lookup Table'!$M$33:$N$173,2,0),"B3")</f>
        <v>Baa3</v>
      </c>
      <c r="AD56" s="35">
        <f>_xlfn.IFNA(VLOOKUP($AC56,'Rating Lookup'!$B$2:$I$27,8,0),15)</f>
        <v>10</v>
      </c>
      <c r="AE56" s="35">
        <f t="shared" si="4"/>
        <v>5</v>
      </c>
      <c r="AG56" s="35" t="str">
        <f t="shared" si="5"/>
        <v>PHOSPHAT FRETILIZER</v>
      </c>
      <c r="AH56" s="35" t="str">
        <f t="shared" si="6"/>
        <v>Government Loan</v>
      </c>
      <c r="AI56" s="202">
        <f>'ECL Calculation'!$B$1</f>
        <v>43465</v>
      </c>
      <c r="AJ56" s="202">
        <f t="shared" si="7"/>
        <v>30497</v>
      </c>
      <c r="AK56" s="202">
        <f t="shared" si="8"/>
        <v>29767</v>
      </c>
      <c r="AL56" s="127">
        <f t="shared" si="9"/>
        <v>8</v>
      </c>
      <c r="AM56" s="192">
        <f>IF(AND(IF(ISBLANK(K56),EOMONTH(AJ56,AL56*12),K56)&lt;'ECL Calculation'!$B$1,SUM('Input Sheet'!Q56,'Input Sheet'!R56)&gt;0),EOMONTH('ECL Calculation'!$B$1,12*5),IF(ISBLANK(K56),EOMONTH(AJ56,AL56*12),K56))</f>
        <v>33237</v>
      </c>
      <c r="AN56" s="203">
        <f t="shared" si="10"/>
        <v>218592203.86000001</v>
      </c>
      <c r="AO56" s="203">
        <f t="shared" si="11"/>
        <v>218592203.86000001</v>
      </c>
      <c r="AP56" s="203">
        <f t="shared" si="12"/>
        <v>0</v>
      </c>
      <c r="AQ56" s="126">
        <f>VLOOKUP(U56,'Lookup Table'!$B$2:$C$10,2,0)</f>
        <v>1</v>
      </c>
      <c r="AR56" s="127">
        <f>VLOOKUP(S56,'Lookup Table'!$B$2:$C$9,2,0)</f>
        <v>2</v>
      </c>
      <c r="AS56" s="127">
        <f>VLOOKUP(T56,'Lookup Table'!$B$2:$C$9,2,0)</f>
        <v>2</v>
      </c>
      <c r="AT56" s="136">
        <f t="shared" si="13"/>
        <v>0</v>
      </c>
      <c r="AU56" s="128">
        <f t="shared" si="14"/>
        <v>0.06</v>
      </c>
      <c r="AV56" s="136">
        <f t="shared" si="15"/>
        <v>0</v>
      </c>
      <c r="AW56" s="37" t="str">
        <f t="shared" si="16"/>
        <v>B2</v>
      </c>
      <c r="AX56" s="128">
        <f>VLOOKUP(E56,'Lookup Table'!$B$12:$C$82,2,0)</f>
        <v>4.5999999999999999E-2</v>
      </c>
      <c r="AY56" s="128">
        <f>'Lookup Table'!$E$3</f>
        <v>0.45</v>
      </c>
      <c r="AZ56" s="129" t="str">
        <f t="shared" si="17"/>
        <v>Tunisia</v>
      </c>
      <c r="BA56" s="37">
        <f>VLOOKUP(AA56,'Lookup Table'!$J$3:$K$27,2,0)</f>
        <v>1</v>
      </c>
      <c r="BB56" s="37">
        <f t="shared" si="18"/>
        <v>2</v>
      </c>
      <c r="BC56" s="37">
        <f t="shared" si="19"/>
        <v>1</v>
      </c>
      <c r="BD56" s="37">
        <f>IF(AND(K56&lt;'ECL Calculation'!$B$1,'Input Sheet'!W56="No"),3,IF(X56="Yes",2,1))</f>
        <v>3</v>
      </c>
      <c r="BE56" s="37">
        <f t="shared" si="20"/>
        <v>1</v>
      </c>
      <c r="BF56" s="37" t="str">
        <f t="shared" si="21"/>
        <v>Stage 3</v>
      </c>
      <c r="BG56" s="37" t="str">
        <f t="shared" si="22"/>
        <v>No</v>
      </c>
    </row>
    <row r="57" spans="1:59" x14ac:dyDescent="0.2">
      <c r="A57" s="35">
        <f t="shared" si="23"/>
        <v>55</v>
      </c>
      <c r="B57" s="33">
        <v>1055</v>
      </c>
      <c r="C57" s="33" t="s">
        <v>306</v>
      </c>
      <c r="D57" s="33" t="s">
        <v>806</v>
      </c>
      <c r="E57" s="33" t="s">
        <v>493</v>
      </c>
      <c r="F57" s="33" t="s">
        <v>542</v>
      </c>
      <c r="G57" s="117">
        <v>2</v>
      </c>
      <c r="H57" s="34">
        <v>29044</v>
      </c>
      <c r="I57" s="34">
        <v>29452</v>
      </c>
      <c r="J57" s="34">
        <v>28795</v>
      </c>
      <c r="K57" s="34">
        <v>36161</v>
      </c>
      <c r="L57" s="34">
        <v>30864</v>
      </c>
      <c r="M57" s="34">
        <v>29587</v>
      </c>
      <c r="N57" s="113">
        <v>15</v>
      </c>
      <c r="O57" s="200">
        <v>37856164.390000001</v>
      </c>
      <c r="P57" s="200">
        <v>37856164.390000001</v>
      </c>
      <c r="Q57" s="200">
        <v>20000000</v>
      </c>
      <c r="R57" s="201">
        <v>14946219.880000001</v>
      </c>
      <c r="S57" s="33" t="s">
        <v>22</v>
      </c>
      <c r="T57" s="33" t="s">
        <v>22</v>
      </c>
      <c r="U57" s="33" t="s">
        <v>203</v>
      </c>
      <c r="V57" s="33"/>
      <c r="W57" s="33" t="s">
        <v>209</v>
      </c>
      <c r="X57" s="33" t="s">
        <v>210</v>
      </c>
      <c r="Y57" s="239" t="s">
        <v>209</v>
      </c>
      <c r="Z57" s="33" t="s">
        <v>209</v>
      </c>
      <c r="AA57" s="35" t="str">
        <f>_xlfn.IFNA(VLOOKUP(E57,'Lookup Table'!$J$33:$K$176,2,0),"B3")</f>
        <v>B3</v>
      </c>
      <c r="AB57" s="35">
        <f>_xlfn.IFNA(VLOOKUP($AA57,'Rating Lookup'!$B$2:$I$27,8,0),15)</f>
        <v>16</v>
      </c>
      <c r="AC57" s="35" t="str">
        <f>_xlfn.IFNA(VLOOKUP(E57,'Lookup Table'!$M$33:$N$173,2,0),"B3")</f>
        <v>B3</v>
      </c>
      <c r="AD57" s="35">
        <f>_xlfn.IFNA(VLOOKUP($AC57,'Rating Lookup'!$B$2:$I$27,8,0),15)</f>
        <v>16</v>
      </c>
      <c r="AE57" s="35">
        <f t="shared" si="4"/>
        <v>0</v>
      </c>
      <c r="AG57" s="35" t="str">
        <f t="shared" si="5"/>
        <v>KIFA ALNUMA ROAD</v>
      </c>
      <c r="AH57" s="35" t="str">
        <f t="shared" si="6"/>
        <v>Government Loan</v>
      </c>
      <c r="AI57" s="202">
        <f>'ECL Calculation'!$B$1</f>
        <v>43465</v>
      </c>
      <c r="AJ57" s="202">
        <f t="shared" si="7"/>
        <v>30864</v>
      </c>
      <c r="AK57" s="202">
        <f t="shared" si="8"/>
        <v>29587</v>
      </c>
      <c r="AL57" s="127">
        <f t="shared" si="9"/>
        <v>15</v>
      </c>
      <c r="AM57" s="192">
        <f>IF(AND(IF(ISBLANK(K57),EOMONTH(AJ57,AL57*12),K57)&lt;'ECL Calculation'!$B$1,SUM('Input Sheet'!Q57,'Input Sheet'!R57)&gt;0),EOMONTH('ECL Calculation'!$B$1,12*5),IF(ISBLANK(K57),EOMONTH(AJ57,AL57*12),K57))</f>
        <v>45291</v>
      </c>
      <c r="AN57" s="203">
        <f t="shared" si="10"/>
        <v>37856164.390000001</v>
      </c>
      <c r="AO57" s="203">
        <f t="shared" si="11"/>
        <v>37856164.390000001</v>
      </c>
      <c r="AP57" s="203">
        <f t="shared" si="12"/>
        <v>0</v>
      </c>
      <c r="AQ57" s="126">
        <f>VLOOKUP(U57,'Lookup Table'!$B$2:$C$10,2,0)</f>
        <v>1</v>
      </c>
      <c r="AR57" s="127">
        <f>VLOOKUP(S57,'Lookup Table'!$B$2:$C$9,2,0)</f>
        <v>2</v>
      </c>
      <c r="AS57" s="127">
        <f>VLOOKUP(T57,'Lookup Table'!$B$2:$C$9,2,0)</f>
        <v>2</v>
      </c>
      <c r="AT57" s="136">
        <f t="shared" si="13"/>
        <v>20000000</v>
      </c>
      <c r="AU57" s="128">
        <f t="shared" si="14"/>
        <v>0.02</v>
      </c>
      <c r="AV57" s="136">
        <f t="shared" si="15"/>
        <v>14946219.880000001</v>
      </c>
      <c r="AW57" s="37" t="str">
        <f t="shared" si="16"/>
        <v>B3</v>
      </c>
      <c r="AX57" s="128">
        <f>VLOOKUP(E57,'Lookup Table'!$B$12:$C$82,2,0)</f>
        <v>2.2499999999999999E-2</v>
      </c>
      <c r="AY57" s="128">
        <f>'Lookup Table'!$E$3</f>
        <v>0.45</v>
      </c>
      <c r="AZ57" s="129" t="str">
        <f t="shared" si="17"/>
        <v>Mauritania</v>
      </c>
      <c r="BA57" s="37">
        <f>VLOOKUP(AA57,'Lookup Table'!$J$3:$K$27,2,0)</f>
        <v>1</v>
      </c>
      <c r="BB57" s="37">
        <f t="shared" si="18"/>
        <v>1</v>
      </c>
      <c r="BC57" s="37">
        <f t="shared" si="19"/>
        <v>2</v>
      </c>
      <c r="BD57" s="37">
        <f>IF(AND(K57&lt;'ECL Calculation'!$B$1,'Input Sheet'!W57="No"),3,IF(X57="Yes",2,1))</f>
        <v>1</v>
      </c>
      <c r="BE57" s="37">
        <f t="shared" si="20"/>
        <v>3</v>
      </c>
      <c r="BF57" s="37" t="str">
        <f t="shared" si="21"/>
        <v>Stage 3</v>
      </c>
      <c r="BG57" s="37" t="str">
        <f t="shared" si="22"/>
        <v>Yes</v>
      </c>
    </row>
    <row r="58" spans="1:59" x14ac:dyDescent="0.2">
      <c r="A58" s="35">
        <f t="shared" si="23"/>
        <v>56</v>
      </c>
      <c r="B58" s="33">
        <v>1056</v>
      </c>
      <c r="C58" s="33" t="s">
        <v>307</v>
      </c>
      <c r="D58" s="33" t="s">
        <v>806</v>
      </c>
      <c r="E58" s="33" t="s">
        <v>501</v>
      </c>
      <c r="F58" s="33" t="s">
        <v>542</v>
      </c>
      <c r="G58" s="117">
        <v>4</v>
      </c>
      <c r="H58" s="34">
        <v>29149</v>
      </c>
      <c r="I58" s="34">
        <v>29292</v>
      </c>
      <c r="J58" s="34">
        <v>29292</v>
      </c>
      <c r="K58" s="34">
        <v>34227</v>
      </c>
      <c r="L58" s="34">
        <v>30940</v>
      </c>
      <c r="M58" s="34">
        <v>29660</v>
      </c>
      <c r="N58" s="113">
        <v>9</v>
      </c>
      <c r="O58" s="200">
        <v>14904613.779999999</v>
      </c>
      <c r="P58" s="200">
        <v>14904613.779999999</v>
      </c>
      <c r="Q58" s="200">
        <v>0</v>
      </c>
      <c r="R58" s="201">
        <v>240.55</v>
      </c>
      <c r="S58" s="33" t="s">
        <v>22</v>
      </c>
      <c r="T58" s="33" t="s">
        <v>22</v>
      </c>
      <c r="U58" s="33" t="s">
        <v>203</v>
      </c>
      <c r="V58" s="33"/>
      <c r="W58" s="33" t="s">
        <v>210</v>
      </c>
      <c r="X58" s="33" t="s">
        <v>210</v>
      </c>
      <c r="Y58" s="33"/>
      <c r="Z58" s="33" t="s">
        <v>209</v>
      </c>
      <c r="AA58" s="35" t="str">
        <f>_xlfn.IFNA(VLOOKUP(E58,'Lookup Table'!$J$33:$K$176,2,0),"B3")</f>
        <v>B3</v>
      </c>
      <c r="AB58" s="35">
        <f>_xlfn.IFNA(VLOOKUP($AA58,'Rating Lookup'!$B$2:$I$27,8,0),15)</f>
        <v>16</v>
      </c>
      <c r="AC58" s="35" t="str">
        <f>_xlfn.IFNA(VLOOKUP(E58,'Lookup Table'!$M$33:$N$173,2,0),"B3")</f>
        <v>B3</v>
      </c>
      <c r="AD58" s="35">
        <f>_xlfn.IFNA(VLOOKUP($AC58,'Rating Lookup'!$B$2:$I$27,8,0),15)</f>
        <v>16</v>
      </c>
      <c r="AE58" s="35">
        <f t="shared" si="4"/>
        <v>0</v>
      </c>
      <c r="AG58" s="35" t="str">
        <f t="shared" si="5"/>
        <v>ANDEKALEKA ELEC. POWER</v>
      </c>
      <c r="AH58" s="35" t="str">
        <f t="shared" si="6"/>
        <v>Government Loan</v>
      </c>
      <c r="AI58" s="202">
        <f>'ECL Calculation'!$B$1</f>
        <v>43465</v>
      </c>
      <c r="AJ58" s="202">
        <f t="shared" si="7"/>
        <v>30940</v>
      </c>
      <c r="AK58" s="202">
        <f t="shared" si="8"/>
        <v>29660</v>
      </c>
      <c r="AL58" s="127">
        <f t="shared" si="9"/>
        <v>9</v>
      </c>
      <c r="AM58" s="192">
        <f>IF(AND(IF(ISBLANK(K58),EOMONTH(AJ58,AL58*12),K58)&lt;'ECL Calculation'!$B$1,SUM('Input Sheet'!Q58,'Input Sheet'!R58)&gt;0),EOMONTH('ECL Calculation'!$B$1,12*5),IF(ISBLANK(K58),EOMONTH(AJ58,AL58*12),K58))</f>
        <v>45291</v>
      </c>
      <c r="AN58" s="203">
        <f t="shared" si="10"/>
        <v>14904613.779999999</v>
      </c>
      <c r="AO58" s="203">
        <f t="shared" si="11"/>
        <v>14904613.779999999</v>
      </c>
      <c r="AP58" s="203">
        <f t="shared" si="12"/>
        <v>0</v>
      </c>
      <c r="AQ58" s="126">
        <f>VLOOKUP(U58,'Lookup Table'!$B$2:$C$10,2,0)</f>
        <v>1</v>
      </c>
      <c r="AR58" s="127">
        <f>VLOOKUP(S58,'Lookup Table'!$B$2:$C$9,2,0)</f>
        <v>2</v>
      </c>
      <c r="AS58" s="127">
        <f>VLOOKUP(T58,'Lookup Table'!$B$2:$C$9,2,0)</f>
        <v>2</v>
      </c>
      <c r="AT58" s="136">
        <f t="shared" si="13"/>
        <v>0</v>
      </c>
      <c r="AU58" s="128">
        <f t="shared" si="14"/>
        <v>0.04</v>
      </c>
      <c r="AV58" s="136">
        <f t="shared" si="15"/>
        <v>240.55</v>
      </c>
      <c r="AW58" s="37" t="str">
        <f t="shared" si="16"/>
        <v>B3</v>
      </c>
      <c r="AX58" s="128">
        <f>VLOOKUP(E58,'Lookup Table'!$B$12:$C$82,2,0)</f>
        <v>0.03</v>
      </c>
      <c r="AY58" s="128">
        <f>'Lookup Table'!$E$3</f>
        <v>0.45</v>
      </c>
      <c r="AZ58" s="129" t="str">
        <f t="shared" si="17"/>
        <v>Madagascar</v>
      </c>
      <c r="BA58" s="37">
        <f>VLOOKUP(AA58,'Lookup Table'!$J$3:$K$27,2,0)</f>
        <v>1</v>
      </c>
      <c r="BB58" s="37">
        <f t="shared" si="18"/>
        <v>1</v>
      </c>
      <c r="BC58" s="37">
        <f t="shared" si="19"/>
        <v>1</v>
      </c>
      <c r="BD58" s="37">
        <f>IF(AND(K58&lt;'ECL Calculation'!$B$1,'Input Sheet'!W58="No"),3,IF(X58="Yes",2,1))</f>
        <v>3</v>
      </c>
      <c r="BE58" s="37">
        <f t="shared" si="20"/>
        <v>1</v>
      </c>
      <c r="BF58" s="37" t="str">
        <f t="shared" si="21"/>
        <v>Stage 3</v>
      </c>
      <c r="BG58" s="37" t="str">
        <f t="shared" si="22"/>
        <v>No</v>
      </c>
    </row>
    <row r="59" spans="1:59" x14ac:dyDescent="0.2">
      <c r="A59" s="35">
        <f t="shared" si="23"/>
        <v>57</v>
      </c>
      <c r="B59" s="33">
        <v>1057</v>
      </c>
      <c r="C59" s="33" t="s">
        <v>308</v>
      </c>
      <c r="D59" s="33" t="s">
        <v>806</v>
      </c>
      <c r="E59" s="33" t="s">
        <v>502</v>
      </c>
      <c r="F59" s="33" t="s">
        <v>542</v>
      </c>
      <c r="G59" s="117">
        <v>5</v>
      </c>
      <c r="H59" s="34">
        <v>29190</v>
      </c>
      <c r="I59" s="34">
        <v>29305</v>
      </c>
      <c r="J59" s="34">
        <v>29305</v>
      </c>
      <c r="K59" s="34">
        <v>33420</v>
      </c>
      <c r="L59" s="34">
        <v>29952</v>
      </c>
      <c r="M59" s="34">
        <v>29587</v>
      </c>
      <c r="N59" s="113">
        <v>10</v>
      </c>
      <c r="O59" s="200">
        <v>3200000</v>
      </c>
      <c r="P59" s="200">
        <v>3200000</v>
      </c>
      <c r="Q59" s="200">
        <v>0</v>
      </c>
      <c r="R59" s="201">
        <v>0</v>
      </c>
      <c r="S59" s="33" t="s">
        <v>22</v>
      </c>
      <c r="T59" s="33" t="s">
        <v>22</v>
      </c>
      <c r="U59" s="33" t="s">
        <v>203</v>
      </c>
      <c r="V59" s="33"/>
      <c r="W59" s="33" t="s">
        <v>210</v>
      </c>
      <c r="X59" s="33" t="s">
        <v>210</v>
      </c>
      <c r="Y59" s="33" t="s">
        <v>209</v>
      </c>
      <c r="Z59" s="33" t="s">
        <v>209</v>
      </c>
      <c r="AA59" s="35" t="str">
        <f>_xlfn.IFNA(VLOOKUP(E59,'Lookup Table'!$J$33:$K$176,2,0),"B3")</f>
        <v>B3</v>
      </c>
      <c r="AB59" s="35">
        <f>_xlfn.IFNA(VLOOKUP($AA59,'Rating Lookup'!$B$2:$I$27,8,0),15)</f>
        <v>16</v>
      </c>
      <c r="AC59" s="35">
        <f>_xlfn.IFNA(VLOOKUP(E59,'Lookup Table'!$M$33:$N$173,2,0),"B3")</f>
        <v>0</v>
      </c>
      <c r="AD59" s="35">
        <f>_xlfn.IFNA(VLOOKUP($AC59,'Rating Lookup'!$B$2:$I$27,8,0),15)</f>
        <v>15</v>
      </c>
      <c r="AE59" s="35">
        <f t="shared" si="4"/>
        <v>1</v>
      </c>
      <c r="AG59" s="35" t="str">
        <f t="shared" si="5"/>
        <v>PRASLIN ELECTRICAL PROJECT</v>
      </c>
      <c r="AH59" s="35" t="str">
        <f t="shared" si="6"/>
        <v>Government Loan</v>
      </c>
      <c r="AI59" s="202">
        <f>'ECL Calculation'!$B$1</f>
        <v>43465</v>
      </c>
      <c r="AJ59" s="202">
        <f t="shared" si="7"/>
        <v>29952</v>
      </c>
      <c r="AK59" s="202">
        <f t="shared" si="8"/>
        <v>29587</v>
      </c>
      <c r="AL59" s="127">
        <f t="shared" si="9"/>
        <v>10</v>
      </c>
      <c r="AM59" s="192">
        <f>IF(AND(IF(ISBLANK(K59),EOMONTH(AJ59,AL59*12),K59)&lt;'ECL Calculation'!$B$1,SUM('Input Sheet'!Q59,'Input Sheet'!R59)&gt;0),EOMONTH('ECL Calculation'!$B$1,12*5),IF(ISBLANK(K59),EOMONTH(AJ59,AL59*12),K59))</f>
        <v>33420</v>
      </c>
      <c r="AN59" s="203">
        <f t="shared" si="10"/>
        <v>3200000</v>
      </c>
      <c r="AO59" s="203">
        <f t="shared" si="11"/>
        <v>3200000</v>
      </c>
      <c r="AP59" s="203">
        <f t="shared" si="12"/>
        <v>0</v>
      </c>
      <c r="AQ59" s="126">
        <f>VLOOKUP(U59,'Lookup Table'!$B$2:$C$10,2,0)</f>
        <v>1</v>
      </c>
      <c r="AR59" s="127">
        <f>VLOOKUP(S59,'Lookup Table'!$B$2:$C$9,2,0)</f>
        <v>2</v>
      </c>
      <c r="AS59" s="127">
        <f>VLOOKUP(T59,'Lookup Table'!$B$2:$C$9,2,0)</f>
        <v>2</v>
      </c>
      <c r="AT59" s="136">
        <f t="shared" si="13"/>
        <v>0</v>
      </c>
      <c r="AU59" s="128">
        <f t="shared" si="14"/>
        <v>0.05</v>
      </c>
      <c r="AV59" s="136">
        <f t="shared" si="15"/>
        <v>0</v>
      </c>
      <c r="AW59" s="37" t="str">
        <f t="shared" si="16"/>
        <v>B3</v>
      </c>
      <c r="AX59" s="128">
        <f>VLOOKUP(E59,'Lookup Table'!$B$12:$C$82,2,0)</f>
        <v>3.7499999999999999E-2</v>
      </c>
      <c r="AY59" s="128">
        <f>'Lookup Table'!$E$3</f>
        <v>0.45</v>
      </c>
      <c r="AZ59" s="129" t="str">
        <f t="shared" si="17"/>
        <v>Seychelles</v>
      </c>
      <c r="BA59" s="37">
        <f>VLOOKUP(AA59,'Lookup Table'!$J$3:$K$27,2,0)</f>
        <v>1</v>
      </c>
      <c r="BB59" s="37">
        <f t="shared" si="18"/>
        <v>2</v>
      </c>
      <c r="BC59" s="37">
        <f t="shared" si="19"/>
        <v>1</v>
      </c>
      <c r="BD59" s="37">
        <f>IF(AND(K59&lt;'ECL Calculation'!$B$1,'Input Sheet'!W59="No"),3,IF(X59="Yes",2,1))</f>
        <v>3</v>
      </c>
      <c r="BE59" s="37">
        <f t="shared" si="20"/>
        <v>3</v>
      </c>
      <c r="BF59" s="37" t="str">
        <f t="shared" si="21"/>
        <v>Stage 3</v>
      </c>
      <c r="BG59" s="37" t="str">
        <f t="shared" si="22"/>
        <v>No</v>
      </c>
    </row>
    <row r="60" spans="1:59" x14ac:dyDescent="0.2">
      <c r="A60" s="35">
        <f t="shared" si="23"/>
        <v>58</v>
      </c>
      <c r="B60" s="33">
        <v>1058</v>
      </c>
      <c r="C60" s="33" t="s">
        <v>309</v>
      </c>
      <c r="D60" s="33" t="s">
        <v>806</v>
      </c>
      <c r="E60" s="33" t="s">
        <v>502</v>
      </c>
      <c r="F60" s="33" t="s">
        <v>542</v>
      </c>
      <c r="G60" s="117">
        <v>5</v>
      </c>
      <c r="H60" s="34">
        <v>29190</v>
      </c>
      <c r="I60" s="34">
        <v>29305</v>
      </c>
      <c r="J60" s="34">
        <v>29305</v>
      </c>
      <c r="K60" s="34">
        <v>33420</v>
      </c>
      <c r="L60" s="34">
        <v>29952</v>
      </c>
      <c r="M60" s="34">
        <v>29587</v>
      </c>
      <c r="N60" s="113">
        <v>10</v>
      </c>
      <c r="O60" s="200">
        <v>786345.75</v>
      </c>
      <c r="P60" s="200">
        <v>786345.75</v>
      </c>
      <c r="Q60" s="200">
        <v>0</v>
      </c>
      <c r="R60" s="201">
        <v>0</v>
      </c>
      <c r="S60" s="33" t="s">
        <v>22</v>
      </c>
      <c r="T60" s="33" t="s">
        <v>22</v>
      </c>
      <c r="U60" s="33" t="s">
        <v>203</v>
      </c>
      <c r="V60" s="33"/>
      <c r="W60" s="33" t="s">
        <v>210</v>
      </c>
      <c r="X60" s="33" t="s">
        <v>210</v>
      </c>
      <c r="Y60" s="33" t="s">
        <v>209</v>
      </c>
      <c r="Z60" s="33" t="s">
        <v>209</v>
      </c>
      <c r="AA60" s="35" t="str">
        <f>_xlfn.IFNA(VLOOKUP(E60,'Lookup Table'!$J$33:$K$176,2,0),"B3")</f>
        <v>B3</v>
      </c>
      <c r="AB60" s="35">
        <f>_xlfn.IFNA(VLOOKUP($AA60,'Rating Lookup'!$B$2:$I$27,8,0),15)</f>
        <v>16</v>
      </c>
      <c r="AC60" s="35">
        <f>_xlfn.IFNA(VLOOKUP(E60,'Lookup Table'!$M$33:$N$173,2,0),"B3")</f>
        <v>0</v>
      </c>
      <c r="AD60" s="35">
        <f>_xlfn.IFNA(VLOOKUP($AC60,'Rating Lookup'!$B$2:$I$27,8,0),15)</f>
        <v>15</v>
      </c>
      <c r="AE60" s="35">
        <f t="shared" si="4"/>
        <v>1</v>
      </c>
      <c r="AG60" s="35" t="str">
        <f t="shared" si="5"/>
        <v>ICE PLANT</v>
      </c>
      <c r="AH60" s="35" t="str">
        <f t="shared" si="6"/>
        <v>Government Loan</v>
      </c>
      <c r="AI60" s="202">
        <f>'ECL Calculation'!$B$1</f>
        <v>43465</v>
      </c>
      <c r="AJ60" s="202">
        <f t="shared" si="7"/>
        <v>29952</v>
      </c>
      <c r="AK60" s="202">
        <f t="shared" si="8"/>
        <v>29587</v>
      </c>
      <c r="AL60" s="127">
        <f t="shared" si="9"/>
        <v>10</v>
      </c>
      <c r="AM60" s="192">
        <f>IF(AND(IF(ISBLANK(K60),EOMONTH(AJ60,AL60*12),K60)&lt;'ECL Calculation'!$B$1,SUM('Input Sheet'!Q60,'Input Sheet'!R60)&gt;0),EOMONTH('ECL Calculation'!$B$1,12*5),IF(ISBLANK(K60),EOMONTH(AJ60,AL60*12),K60))</f>
        <v>33420</v>
      </c>
      <c r="AN60" s="203">
        <f t="shared" si="10"/>
        <v>786345.75</v>
      </c>
      <c r="AO60" s="203">
        <f t="shared" si="11"/>
        <v>786345.75</v>
      </c>
      <c r="AP60" s="203">
        <f t="shared" si="12"/>
        <v>0</v>
      </c>
      <c r="AQ60" s="126">
        <f>VLOOKUP(U60,'Lookup Table'!$B$2:$C$10,2,0)</f>
        <v>1</v>
      </c>
      <c r="AR60" s="127">
        <f>VLOOKUP(S60,'Lookup Table'!$B$2:$C$9,2,0)</f>
        <v>2</v>
      </c>
      <c r="AS60" s="127">
        <f>VLOOKUP(T60,'Lookup Table'!$B$2:$C$9,2,0)</f>
        <v>2</v>
      </c>
      <c r="AT60" s="136">
        <f t="shared" si="13"/>
        <v>0</v>
      </c>
      <c r="AU60" s="128">
        <f t="shared" si="14"/>
        <v>0.05</v>
      </c>
      <c r="AV60" s="136">
        <f t="shared" si="15"/>
        <v>0</v>
      </c>
      <c r="AW60" s="37" t="str">
        <f t="shared" si="16"/>
        <v>B3</v>
      </c>
      <c r="AX60" s="128">
        <f>VLOOKUP(E60,'Lookup Table'!$B$12:$C$82,2,0)</f>
        <v>3.7499999999999999E-2</v>
      </c>
      <c r="AY60" s="128">
        <f>'Lookup Table'!$E$3</f>
        <v>0.45</v>
      </c>
      <c r="AZ60" s="129" t="str">
        <f t="shared" si="17"/>
        <v>Seychelles</v>
      </c>
      <c r="BA60" s="37">
        <f>VLOOKUP(AA60,'Lookup Table'!$J$3:$K$27,2,0)</f>
        <v>1</v>
      </c>
      <c r="BB60" s="37">
        <f t="shared" si="18"/>
        <v>2</v>
      </c>
      <c r="BC60" s="37">
        <f t="shared" si="19"/>
        <v>1</v>
      </c>
      <c r="BD60" s="37">
        <f>IF(AND(K60&lt;'ECL Calculation'!$B$1,'Input Sheet'!W60="No"),3,IF(X60="Yes",2,1))</f>
        <v>3</v>
      </c>
      <c r="BE60" s="37">
        <f t="shared" si="20"/>
        <v>3</v>
      </c>
      <c r="BF60" s="37" t="str">
        <f t="shared" si="21"/>
        <v>Stage 3</v>
      </c>
      <c r="BG60" s="37" t="str">
        <f t="shared" si="22"/>
        <v>No</v>
      </c>
    </row>
    <row r="61" spans="1:59" x14ac:dyDescent="0.2">
      <c r="A61" s="35">
        <f t="shared" si="23"/>
        <v>59</v>
      </c>
      <c r="B61" s="33">
        <v>1059</v>
      </c>
      <c r="C61" s="33" t="s">
        <v>310</v>
      </c>
      <c r="D61" s="33" t="s">
        <v>806</v>
      </c>
      <c r="E61" s="33" t="s">
        <v>493</v>
      </c>
      <c r="F61" s="33" t="s">
        <v>542</v>
      </c>
      <c r="G61" s="117">
        <v>4.5</v>
      </c>
      <c r="H61" s="34">
        <v>29193</v>
      </c>
      <c r="I61" s="34">
        <v>29007</v>
      </c>
      <c r="J61" s="34">
        <v>29556</v>
      </c>
      <c r="K61" s="34">
        <v>35900</v>
      </c>
      <c r="L61" s="34">
        <v>31335</v>
      </c>
      <c r="M61" s="34">
        <v>29691</v>
      </c>
      <c r="N61" s="113">
        <v>13</v>
      </c>
      <c r="O61" s="200">
        <v>80000000</v>
      </c>
      <c r="P61" s="200">
        <v>80000000</v>
      </c>
      <c r="Q61" s="200">
        <v>0</v>
      </c>
      <c r="R61" s="201">
        <v>0</v>
      </c>
      <c r="S61" s="33" t="s">
        <v>22</v>
      </c>
      <c r="T61" s="33" t="s">
        <v>22</v>
      </c>
      <c r="U61" s="33" t="s">
        <v>203</v>
      </c>
      <c r="V61" s="33"/>
      <c r="W61" s="33" t="s">
        <v>210</v>
      </c>
      <c r="X61" s="33" t="s">
        <v>210</v>
      </c>
      <c r="Y61" s="33"/>
      <c r="Z61" s="33" t="s">
        <v>209</v>
      </c>
      <c r="AA61" s="35" t="str">
        <f>_xlfn.IFNA(VLOOKUP(E61,'Lookup Table'!$J$33:$K$176,2,0),"B3")</f>
        <v>B3</v>
      </c>
      <c r="AB61" s="35">
        <f>_xlfn.IFNA(VLOOKUP($AA61,'Rating Lookup'!$B$2:$I$27,8,0),15)</f>
        <v>16</v>
      </c>
      <c r="AC61" s="35" t="str">
        <f>_xlfn.IFNA(VLOOKUP(E61,'Lookup Table'!$M$33:$N$173,2,0),"B3")</f>
        <v>B3</v>
      </c>
      <c r="AD61" s="35">
        <f>_xlfn.IFNA(VLOOKUP($AC61,'Rating Lookup'!$B$2:$I$27,8,0),15)</f>
        <v>16</v>
      </c>
      <c r="AE61" s="35">
        <f t="shared" si="4"/>
        <v>0</v>
      </c>
      <c r="AG61" s="35" t="str">
        <f t="shared" si="5"/>
        <v>GUELB IRON ORE MINING</v>
      </c>
      <c r="AH61" s="35" t="str">
        <f t="shared" si="6"/>
        <v>Government Loan</v>
      </c>
      <c r="AI61" s="202">
        <f>'ECL Calculation'!$B$1</f>
        <v>43465</v>
      </c>
      <c r="AJ61" s="202">
        <f t="shared" si="7"/>
        <v>31335</v>
      </c>
      <c r="AK61" s="202">
        <f t="shared" si="8"/>
        <v>29691</v>
      </c>
      <c r="AL61" s="127">
        <f t="shared" si="9"/>
        <v>13</v>
      </c>
      <c r="AM61" s="192">
        <f>IF(AND(IF(ISBLANK(K61),EOMONTH(AJ61,AL61*12),K61)&lt;'ECL Calculation'!$B$1,SUM('Input Sheet'!Q61,'Input Sheet'!R61)&gt;0),EOMONTH('ECL Calculation'!$B$1,12*5),IF(ISBLANK(K61),EOMONTH(AJ61,AL61*12),K61))</f>
        <v>35900</v>
      </c>
      <c r="AN61" s="203">
        <f t="shared" si="10"/>
        <v>80000000</v>
      </c>
      <c r="AO61" s="203">
        <f t="shared" si="11"/>
        <v>80000000</v>
      </c>
      <c r="AP61" s="203">
        <f t="shared" si="12"/>
        <v>0</v>
      </c>
      <c r="AQ61" s="126">
        <f>VLOOKUP(U61,'Lookup Table'!$B$2:$C$10,2,0)</f>
        <v>1</v>
      </c>
      <c r="AR61" s="127">
        <f>VLOOKUP(S61,'Lookup Table'!$B$2:$C$9,2,0)</f>
        <v>2</v>
      </c>
      <c r="AS61" s="127">
        <f>VLOOKUP(T61,'Lookup Table'!$B$2:$C$9,2,0)</f>
        <v>2</v>
      </c>
      <c r="AT61" s="136">
        <f t="shared" si="13"/>
        <v>0</v>
      </c>
      <c r="AU61" s="128">
        <f t="shared" si="14"/>
        <v>4.4999999999999998E-2</v>
      </c>
      <c r="AV61" s="136">
        <f t="shared" si="15"/>
        <v>0</v>
      </c>
      <c r="AW61" s="37" t="str">
        <f t="shared" si="16"/>
        <v>B3</v>
      </c>
      <c r="AX61" s="128">
        <f>VLOOKUP(E61,'Lookup Table'!$B$12:$C$82,2,0)</f>
        <v>2.2499999999999999E-2</v>
      </c>
      <c r="AY61" s="128">
        <f>'Lookup Table'!$E$3</f>
        <v>0.45</v>
      </c>
      <c r="AZ61" s="129" t="str">
        <f t="shared" si="17"/>
        <v>Mauritania</v>
      </c>
      <c r="BA61" s="37">
        <f>VLOOKUP(AA61,'Lookup Table'!$J$3:$K$27,2,0)</f>
        <v>1</v>
      </c>
      <c r="BB61" s="37">
        <f t="shared" si="18"/>
        <v>1</v>
      </c>
      <c r="BC61" s="37">
        <f t="shared" si="19"/>
        <v>1</v>
      </c>
      <c r="BD61" s="37">
        <f>IF(AND(K61&lt;'ECL Calculation'!$B$1,'Input Sheet'!W61="No"),3,IF(X61="Yes",2,1))</f>
        <v>3</v>
      </c>
      <c r="BE61" s="37">
        <f t="shared" si="20"/>
        <v>1</v>
      </c>
      <c r="BF61" s="37" t="str">
        <f t="shared" si="21"/>
        <v>Stage 3</v>
      </c>
      <c r="BG61" s="37" t="str">
        <f t="shared" si="22"/>
        <v>No</v>
      </c>
    </row>
    <row r="62" spans="1:59" x14ac:dyDescent="0.2">
      <c r="A62" s="35">
        <f t="shared" si="23"/>
        <v>60</v>
      </c>
      <c r="B62" s="33">
        <v>1060</v>
      </c>
      <c r="C62" s="33" t="s">
        <v>311</v>
      </c>
      <c r="D62" s="33" t="s">
        <v>806</v>
      </c>
      <c r="E62" s="33" t="s">
        <v>503</v>
      </c>
      <c r="F62" s="33" t="s">
        <v>542</v>
      </c>
      <c r="G62" s="117">
        <v>3.5</v>
      </c>
      <c r="H62" s="34">
        <v>29320</v>
      </c>
      <c r="I62" s="34">
        <v>29408</v>
      </c>
      <c r="J62" s="34">
        <v>29408</v>
      </c>
      <c r="K62" s="34">
        <v>35733</v>
      </c>
      <c r="L62" s="34">
        <v>31532</v>
      </c>
      <c r="M62" s="34">
        <v>29706</v>
      </c>
      <c r="N62" s="113">
        <v>12</v>
      </c>
      <c r="O62" s="200">
        <v>526982.43999999994</v>
      </c>
      <c r="P62" s="200">
        <v>526982.43999999994</v>
      </c>
      <c r="Q62" s="200">
        <v>0</v>
      </c>
      <c r="R62" s="201">
        <v>222982.49</v>
      </c>
      <c r="S62" s="33" t="s">
        <v>22</v>
      </c>
      <c r="T62" s="33" t="s">
        <v>22</v>
      </c>
      <c r="U62" s="33" t="s">
        <v>203</v>
      </c>
      <c r="V62" s="33"/>
      <c r="W62" s="33" t="s">
        <v>210</v>
      </c>
      <c r="X62" s="33" t="s">
        <v>209</v>
      </c>
      <c r="Y62" s="33"/>
      <c r="Z62" s="33" t="s">
        <v>209</v>
      </c>
      <c r="AA62" s="35" t="str">
        <f>_xlfn.IFNA(VLOOKUP(E62,'Lookup Table'!$J$33:$K$176,2,0),"B3")</f>
        <v>B3</v>
      </c>
      <c r="AB62" s="35">
        <f>_xlfn.IFNA(VLOOKUP($AA62,'Rating Lookup'!$B$2:$I$27,8,0),15)</f>
        <v>16</v>
      </c>
      <c r="AC62" s="35" t="str">
        <f>_xlfn.IFNA(VLOOKUP(E62,'Lookup Table'!$M$33:$N$173,2,0),"B3")</f>
        <v>B3</v>
      </c>
      <c r="AD62" s="35">
        <f>_xlfn.IFNA(VLOOKUP($AC62,'Rating Lookup'!$B$2:$I$27,8,0),15)</f>
        <v>16</v>
      </c>
      <c r="AE62" s="35">
        <f t="shared" si="4"/>
        <v>0</v>
      </c>
      <c r="AG62" s="35" t="str">
        <f t="shared" si="5"/>
        <v>CUMURE-BISSAU ROAD</v>
      </c>
      <c r="AH62" s="35" t="str">
        <f t="shared" si="6"/>
        <v>Government Loan</v>
      </c>
      <c r="AI62" s="202">
        <f>'ECL Calculation'!$B$1</f>
        <v>43465</v>
      </c>
      <c r="AJ62" s="202">
        <f t="shared" si="7"/>
        <v>31532</v>
      </c>
      <c r="AK62" s="202">
        <f t="shared" si="8"/>
        <v>29706</v>
      </c>
      <c r="AL62" s="127">
        <f t="shared" si="9"/>
        <v>12</v>
      </c>
      <c r="AM62" s="192">
        <f>IF(AND(IF(ISBLANK(K62),EOMONTH(AJ62,AL62*12),K62)&lt;'ECL Calculation'!$B$1,SUM('Input Sheet'!Q62,'Input Sheet'!R62)&gt;0),EOMONTH('ECL Calculation'!$B$1,12*5),IF(ISBLANK(K62),EOMONTH(AJ62,AL62*12),K62))</f>
        <v>45291</v>
      </c>
      <c r="AN62" s="203">
        <f t="shared" si="10"/>
        <v>526982.43999999994</v>
      </c>
      <c r="AO62" s="203">
        <f t="shared" si="11"/>
        <v>526982.43999999994</v>
      </c>
      <c r="AP62" s="203">
        <f t="shared" si="12"/>
        <v>0</v>
      </c>
      <c r="AQ62" s="126">
        <f>VLOOKUP(U62,'Lookup Table'!$B$2:$C$10,2,0)</f>
        <v>1</v>
      </c>
      <c r="AR62" s="127">
        <f>VLOOKUP(S62,'Lookup Table'!$B$2:$C$9,2,0)</f>
        <v>2</v>
      </c>
      <c r="AS62" s="127">
        <f>VLOOKUP(T62,'Lookup Table'!$B$2:$C$9,2,0)</f>
        <v>2</v>
      </c>
      <c r="AT62" s="136">
        <f t="shared" si="13"/>
        <v>0</v>
      </c>
      <c r="AU62" s="128">
        <f t="shared" si="14"/>
        <v>3.5000000000000003E-2</v>
      </c>
      <c r="AV62" s="136">
        <f t="shared" si="15"/>
        <v>222982.49</v>
      </c>
      <c r="AW62" s="37" t="str">
        <f t="shared" si="16"/>
        <v>B3</v>
      </c>
      <c r="AX62" s="128">
        <f>VLOOKUP(E62,'Lookup Table'!$B$12:$C$82,2,0)</f>
        <v>3.5000000000000003E-2</v>
      </c>
      <c r="AY62" s="128">
        <f>'Lookup Table'!$E$3</f>
        <v>0.45</v>
      </c>
      <c r="AZ62" s="129" t="str">
        <f t="shared" si="17"/>
        <v>Guinea-Bissau</v>
      </c>
      <c r="BA62" s="37">
        <f>VLOOKUP(AA62,'Lookup Table'!$J$3:$K$27,2,0)</f>
        <v>1</v>
      </c>
      <c r="BB62" s="37">
        <f t="shared" si="18"/>
        <v>1</v>
      </c>
      <c r="BC62" s="37">
        <f t="shared" si="19"/>
        <v>1</v>
      </c>
      <c r="BD62" s="37">
        <f>IF(AND(K62&lt;'ECL Calculation'!$B$1,'Input Sheet'!W62="No"),3,IF(X62="Yes",2,1))</f>
        <v>3</v>
      </c>
      <c r="BE62" s="37">
        <f t="shared" si="20"/>
        <v>1</v>
      </c>
      <c r="BF62" s="37" t="str">
        <f t="shared" si="21"/>
        <v>Stage 3</v>
      </c>
      <c r="BG62" s="37" t="str">
        <f t="shared" si="22"/>
        <v>No</v>
      </c>
    </row>
    <row r="63" spans="1:59" x14ac:dyDescent="0.2">
      <c r="A63" s="35">
        <f t="shared" si="23"/>
        <v>61</v>
      </c>
      <c r="B63" s="33">
        <v>1061</v>
      </c>
      <c r="C63" s="33" t="s">
        <v>312</v>
      </c>
      <c r="D63" s="33" t="s">
        <v>806</v>
      </c>
      <c r="E63" s="33" t="s">
        <v>477</v>
      </c>
      <c r="F63" s="33" t="s">
        <v>542</v>
      </c>
      <c r="G63" s="117">
        <v>6</v>
      </c>
      <c r="H63" s="34">
        <v>29353</v>
      </c>
      <c r="I63" s="34">
        <v>29221</v>
      </c>
      <c r="J63" s="34">
        <v>29502</v>
      </c>
      <c r="K63" s="34">
        <v>34943</v>
      </c>
      <c r="L63" s="34">
        <v>30742</v>
      </c>
      <c r="M63" s="34">
        <v>29675</v>
      </c>
      <c r="N63" s="113">
        <v>12</v>
      </c>
      <c r="O63" s="200">
        <v>19000000</v>
      </c>
      <c r="P63" s="200">
        <v>19000000</v>
      </c>
      <c r="Q63" s="200">
        <v>0</v>
      </c>
      <c r="R63" s="201">
        <v>0</v>
      </c>
      <c r="S63" s="33" t="s">
        <v>22</v>
      </c>
      <c r="T63" s="33" t="s">
        <v>22</v>
      </c>
      <c r="U63" s="33" t="s">
        <v>203</v>
      </c>
      <c r="V63" s="33"/>
      <c r="W63" s="33" t="s">
        <v>210</v>
      </c>
      <c r="X63" s="33" t="s">
        <v>210</v>
      </c>
      <c r="Y63" s="33"/>
      <c r="Z63" s="33" t="s">
        <v>209</v>
      </c>
      <c r="AA63" s="35" t="str">
        <f>_xlfn.IFNA(VLOOKUP(E63,'Lookup Table'!$J$33:$K$176,2,0),"B3")</f>
        <v>B1</v>
      </c>
      <c r="AB63" s="35">
        <f>_xlfn.IFNA(VLOOKUP($AA63,'Rating Lookup'!$B$2:$I$27,8,0),15)</f>
        <v>14</v>
      </c>
      <c r="AC63" s="35" t="str">
        <f>_xlfn.IFNA(VLOOKUP(E63,'Lookup Table'!$M$33:$N$173,2,0),"B3")</f>
        <v>Ba2</v>
      </c>
      <c r="AD63" s="35">
        <f>_xlfn.IFNA(VLOOKUP($AC63,'Rating Lookup'!$B$2:$I$27,8,0),15)</f>
        <v>12</v>
      </c>
      <c r="AE63" s="35">
        <f t="shared" si="4"/>
        <v>2</v>
      </c>
      <c r="AG63" s="35" t="str">
        <f t="shared" si="5"/>
        <v>PHOSPHAT FACTORY IN AL-AQABA</v>
      </c>
      <c r="AH63" s="35" t="str">
        <f t="shared" si="6"/>
        <v>Government Loan</v>
      </c>
      <c r="AI63" s="202">
        <f>'ECL Calculation'!$B$1</f>
        <v>43465</v>
      </c>
      <c r="AJ63" s="202">
        <f t="shared" si="7"/>
        <v>30742</v>
      </c>
      <c r="AK63" s="202">
        <f t="shared" si="8"/>
        <v>29675</v>
      </c>
      <c r="AL63" s="127">
        <f t="shared" si="9"/>
        <v>12</v>
      </c>
      <c r="AM63" s="192">
        <f>IF(AND(IF(ISBLANK(K63),EOMONTH(AJ63,AL63*12),K63)&lt;'ECL Calculation'!$B$1,SUM('Input Sheet'!Q63,'Input Sheet'!R63)&gt;0),EOMONTH('ECL Calculation'!$B$1,12*5),IF(ISBLANK(K63),EOMONTH(AJ63,AL63*12),K63))</f>
        <v>34943</v>
      </c>
      <c r="AN63" s="203">
        <f t="shared" si="10"/>
        <v>19000000</v>
      </c>
      <c r="AO63" s="203">
        <f t="shared" si="11"/>
        <v>19000000</v>
      </c>
      <c r="AP63" s="203">
        <f t="shared" si="12"/>
        <v>0</v>
      </c>
      <c r="AQ63" s="126">
        <f>VLOOKUP(U63,'Lookup Table'!$B$2:$C$10,2,0)</f>
        <v>1</v>
      </c>
      <c r="AR63" s="127">
        <f>VLOOKUP(S63,'Lookup Table'!$B$2:$C$9,2,0)</f>
        <v>2</v>
      </c>
      <c r="AS63" s="127">
        <f>VLOOKUP(T63,'Lookup Table'!$B$2:$C$9,2,0)</f>
        <v>2</v>
      </c>
      <c r="AT63" s="136">
        <f t="shared" si="13"/>
        <v>0</v>
      </c>
      <c r="AU63" s="128">
        <f t="shared" si="14"/>
        <v>0.06</v>
      </c>
      <c r="AV63" s="136">
        <f t="shared" si="15"/>
        <v>0</v>
      </c>
      <c r="AW63" s="37" t="str">
        <f t="shared" si="16"/>
        <v>B1</v>
      </c>
      <c r="AX63" s="128">
        <f>VLOOKUP(E63,'Lookup Table'!$B$12:$C$82,2,0)</f>
        <v>3.5909090909090911E-2</v>
      </c>
      <c r="AY63" s="128">
        <f>'Lookup Table'!$E$3</f>
        <v>0.45</v>
      </c>
      <c r="AZ63" s="129" t="str">
        <f t="shared" si="17"/>
        <v>Jordan</v>
      </c>
      <c r="BA63" s="37">
        <f>VLOOKUP(AA63,'Lookup Table'!$J$3:$K$27,2,0)</f>
        <v>1</v>
      </c>
      <c r="BB63" s="37">
        <f t="shared" si="18"/>
        <v>2</v>
      </c>
      <c r="BC63" s="37">
        <f t="shared" si="19"/>
        <v>1</v>
      </c>
      <c r="BD63" s="37">
        <f>IF(AND(K63&lt;'ECL Calculation'!$B$1,'Input Sheet'!W63="No"),3,IF(X63="Yes",2,1))</f>
        <v>3</v>
      </c>
      <c r="BE63" s="37">
        <f t="shared" si="20"/>
        <v>1</v>
      </c>
      <c r="BF63" s="37" t="str">
        <f t="shared" si="21"/>
        <v>Stage 3</v>
      </c>
      <c r="BG63" s="37" t="str">
        <f t="shared" si="22"/>
        <v>No</v>
      </c>
    </row>
    <row r="64" spans="1:59" x14ac:dyDescent="0.2">
      <c r="A64" s="35">
        <f t="shared" si="23"/>
        <v>62</v>
      </c>
      <c r="B64" s="33">
        <v>1062</v>
      </c>
      <c r="C64" s="33" t="s">
        <v>313</v>
      </c>
      <c r="D64" s="33" t="s">
        <v>806</v>
      </c>
      <c r="E64" s="33" t="s">
        <v>478</v>
      </c>
      <c r="F64" s="33" t="s">
        <v>542</v>
      </c>
      <c r="G64" s="117">
        <v>3.5</v>
      </c>
      <c r="H64" s="34">
        <v>29474</v>
      </c>
      <c r="I64" s="34">
        <v>29536</v>
      </c>
      <c r="J64" s="34">
        <v>29536</v>
      </c>
      <c r="K64" s="34">
        <v>36463</v>
      </c>
      <c r="L64" s="34">
        <v>31167</v>
      </c>
      <c r="M64" s="34">
        <v>29706</v>
      </c>
      <c r="N64" s="113">
        <v>15</v>
      </c>
      <c r="O64" s="200">
        <v>60000000</v>
      </c>
      <c r="P64" s="200">
        <v>60000000</v>
      </c>
      <c r="Q64" s="200">
        <v>30000000</v>
      </c>
      <c r="R64" s="201">
        <v>28002138.890000001</v>
      </c>
      <c r="S64" s="33" t="s">
        <v>22</v>
      </c>
      <c r="T64" s="33" t="s">
        <v>22</v>
      </c>
      <c r="U64" s="33" t="s">
        <v>203</v>
      </c>
      <c r="V64" s="33"/>
      <c r="W64" s="33" t="s">
        <v>210</v>
      </c>
      <c r="X64" s="33" t="s">
        <v>209</v>
      </c>
      <c r="Y64" s="33" t="s">
        <v>209</v>
      </c>
      <c r="Z64" s="33" t="s">
        <v>209</v>
      </c>
      <c r="AA64" s="35" t="str">
        <f>_xlfn.IFNA(VLOOKUP(E64,'Lookup Table'!$J$33:$K$176,2,0),"B3")</f>
        <v>B3</v>
      </c>
      <c r="AB64" s="35">
        <f>_xlfn.IFNA(VLOOKUP($AA64,'Rating Lookup'!$B$2:$I$27,8,0),15)</f>
        <v>16</v>
      </c>
      <c r="AC64" s="35" t="str">
        <f>_xlfn.IFNA(VLOOKUP(E64,'Lookup Table'!$M$33:$N$173,2,0),"B3")</f>
        <v>B3</v>
      </c>
      <c r="AD64" s="35">
        <f>_xlfn.IFNA(VLOOKUP($AC64,'Rating Lookup'!$B$2:$I$27,8,0),15)</f>
        <v>16</v>
      </c>
      <c r="AE64" s="35">
        <f t="shared" si="4"/>
        <v>0</v>
      </c>
      <c r="AG64" s="35" t="str">
        <f t="shared" si="5"/>
        <v>NASHTUN PORT</v>
      </c>
      <c r="AH64" s="35" t="str">
        <f t="shared" si="6"/>
        <v>Government Loan</v>
      </c>
      <c r="AI64" s="202">
        <f>'ECL Calculation'!$B$1</f>
        <v>43465</v>
      </c>
      <c r="AJ64" s="202">
        <f t="shared" si="7"/>
        <v>31167</v>
      </c>
      <c r="AK64" s="202">
        <f t="shared" si="8"/>
        <v>29706</v>
      </c>
      <c r="AL64" s="127">
        <f t="shared" si="9"/>
        <v>15</v>
      </c>
      <c r="AM64" s="192">
        <f>IF(AND(IF(ISBLANK(K64),EOMONTH(AJ64,AL64*12),K64)&lt;'ECL Calculation'!$B$1,SUM('Input Sheet'!Q64,'Input Sheet'!R64)&gt;0),EOMONTH('ECL Calculation'!$B$1,12*5),IF(ISBLANK(K64),EOMONTH(AJ64,AL64*12),K64))</f>
        <v>45291</v>
      </c>
      <c r="AN64" s="203">
        <f t="shared" si="10"/>
        <v>60000000</v>
      </c>
      <c r="AO64" s="203">
        <f t="shared" si="11"/>
        <v>60000000</v>
      </c>
      <c r="AP64" s="203">
        <f t="shared" si="12"/>
        <v>0</v>
      </c>
      <c r="AQ64" s="126">
        <f>VLOOKUP(U64,'Lookup Table'!$B$2:$C$10,2,0)</f>
        <v>1</v>
      </c>
      <c r="AR64" s="127">
        <f>VLOOKUP(S64,'Lookup Table'!$B$2:$C$9,2,0)</f>
        <v>2</v>
      </c>
      <c r="AS64" s="127">
        <f>VLOOKUP(T64,'Lookup Table'!$B$2:$C$9,2,0)</f>
        <v>2</v>
      </c>
      <c r="AT64" s="136">
        <f t="shared" si="13"/>
        <v>30000000</v>
      </c>
      <c r="AU64" s="128">
        <f t="shared" si="14"/>
        <v>3.5000000000000003E-2</v>
      </c>
      <c r="AV64" s="136">
        <f t="shared" si="15"/>
        <v>28002138.890000001</v>
      </c>
      <c r="AW64" s="37" t="str">
        <f t="shared" si="16"/>
        <v>B3</v>
      </c>
      <c r="AX64" s="128">
        <f>VLOOKUP(E64,'Lookup Table'!$B$12:$C$82,2,0)</f>
        <v>3.3636363636363638E-2</v>
      </c>
      <c r="AY64" s="128">
        <f>'Lookup Table'!$E$3</f>
        <v>0.45</v>
      </c>
      <c r="AZ64" s="129" t="str">
        <f t="shared" si="17"/>
        <v>Yemen</v>
      </c>
      <c r="BA64" s="37">
        <f>VLOOKUP(AA64,'Lookup Table'!$J$3:$K$27,2,0)</f>
        <v>1</v>
      </c>
      <c r="BB64" s="37">
        <f t="shared" si="18"/>
        <v>1</v>
      </c>
      <c r="BC64" s="37">
        <f t="shared" si="19"/>
        <v>1</v>
      </c>
      <c r="BD64" s="37">
        <f>IF(AND(K64&lt;'ECL Calculation'!$B$1,'Input Sheet'!W64="No"),3,IF(X64="Yes",2,1))</f>
        <v>3</v>
      </c>
      <c r="BE64" s="37">
        <f t="shared" si="20"/>
        <v>3</v>
      </c>
      <c r="BF64" s="37" t="str">
        <f t="shared" si="21"/>
        <v>Stage 3</v>
      </c>
      <c r="BG64" s="37" t="str">
        <f t="shared" si="22"/>
        <v>Yes</v>
      </c>
    </row>
    <row r="65" spans="1:59" x14ac:dyDescent="0.2">
      <c r="A65" s="35">
        <f t="shared" si="23"/>
        <v>63</v>
      </c>
      <c r="B65" s="33">
        <v>1063</v>
      </c>
      <c r="C65" s="33" t="s">
        <v>314</v>
      </c>
      <c r="D65" s="33" t="s">
        <v>806</v>
      </c>
      <c r="E65" s="33" t="s">
        <v>478</v>
      </c>
      <c r="F65" s="33" t="s">
        <v>542</v>
      </c>
      <c r="G65" s="117">
        <v>3.5</v>
      </c>
      <c r="H65" s="34">
        <v>29474</v>
      </c>
      <c r="I65" s="34">
        <v>29535</v>
      </c>
      <c r="J65" s="34">
        <v>29535</v>
      </c>
      <c r="K65" s="34">
        <v>36463</v>
      </c>
      <c r="L65" s="34">
        <v>31167</v>
      </c>
      <c r="M65" s="34">
        <v>29706</v>
      </c>
      <c r="N65" s="113">
        <v>15</v>
      </c>
      <c r="O65" s="200">
        <v>109301465.81</v>
      </c>
      <c r="P65" s="200">
        <v>109301465.81</v>
      </c>
      <c r="Q65" s="200">
        <v>53051465.810000002</v>
      </c>
      <c r="R65" s="201">
        <v>49518711.409999996</v>
      </c>
      <c r="S65" s="33" t="s">
        <v>22</v>
      </c>
      <c r="T65" s="33" t="s">
        <v>22</v>
      </c>
      <c r="U65" s="33" t="s">
        <v>203</v>
      </c>
      <c r="V65" s="33"/>
      <c r="W65" s="33" t="s">
        <v>210</v>
      </c>
      <c r="X65" s="33" t="s">
        <v>209</v>
      </c>
      <c r="Y65" s="33" t="s">
        <v>209</v>
      </c>
      <c r="Z65" s="33" t="s">
        <v>209</v>
      </c>
      <c r="AA65" s="35" t="str">
        <f>_xlfn.IFNA(VLOOKUP(E65,'Lookup Table'!$J$33:$K$176,2,0),"B3")</f>
        <v>B3</v>
      </c>
      <c r="AB65" s="35">
        <f>_xlfn.IFNA(VLOOKUP($AA65,'Rating Lookup'!$B$2:$I$27,8,0),15)</f>
        <v>16</v>
      </c>
      <c r="AC65" s="35" t="str">
        <f>_xlfn.IFNA(VLOOKUP(E65,'Lookup Table'!$M$33:$N$173,2,0),"B3")</f>
        <v>B3</v>
      </c>
      <c r="AD65" s="35">
        <f>_xlfn.IFNA(VLOOKUP($AC65,'Rating Lookup'!$B$2:$I$27,8,0),15)</f>
        <v>16</v>
      </c>
      <c r="AE65" s="35">
        <f t="shared" si="4"/>
        <v>0</v>
      </c>
      <c r="AG65" s="35" t="str">
        <f t="shared" si="5"/>
        <v>ADEN ELECTRICITY</v>
      </c>
      <c r="AH65" s="35" t="str">
        <f t="shared" si="6"/>
        <v>Government Loan</v>
      </c>
      <c r="AI65" s="202">
        <f>'ECL Calculation'!$B$1</f>
        <v>43465</v>
      </c>
      <c r="AJ65" s="202">
        <f t="shared" si="7"/>
        <v>31167</v>
      </c>
      <c r="AK65" s="202">
        <f t="shared" si="8"/>
        <v>29706</v>
      </c>
      <c r="AL65" s="127">
        <f t="shared" si="9"/>
        <v>15</v>
      </c>
      <c r="AM65" s="192">
        <f>IF(AND(IF(ISBLANK(K65),EOMONTH(AJ65,AL65*12),K65)&lt;'ECL Calculation'!$B$1,SUM('Input Sheet'!Q65,'Input Sheet'!R65)&gt;0),EOMONTH('ECL Calculation'!$B$1,12*5),IF(ISBLANK(K65),EOMONTH(AJ65,AL65*12),K65))</f>
        <v>45291</v>
      </c>
      <c r="AN65" s="203">
        <f t="shared" si="10"/>
        <v>109301465.81</v>
      </c>
      <c r="AO65" s="203">
        <f t="shared" si="11"/>
        <v>109301465.81</v>
      </c>
      <c r="AP65" s="203">
        <f t="shared" si="12"/>
        <v>0</v>
      </c>
      <c r="AQ65" s="126">
        <f>VLOOKUP(U65,'Lookup Table'!$B$2:$C$10,2,0)</f>
        <v>1</v>
      </c>
      <c r="AR65" s="127">
        <f>VLOOKUP(S65,'Lookup Table'!$B$2:$C$9,2,0)</f>
        <v>2</v>
      </c>
      <c r="AS65" s="127">
        <f>VLOOKUP(T65,'Lookup Table'!$B$2:$C$9,2,0)</f>
        <v>2</v>
      </c>
      <c r="AT65" s="136">
        <f t="shared" si="13"/>
        <v>53051465.810000002</v>
      </c>
      <c r="AU65" s="128">
        <f t="shared" si="14"/>
        <v>3.5000000000000003E-2</v>
      </c>
      <c r="AV65" s="136">
        <f t="shared" si="15"/>
        <v>49518711.409999996</v>
      </c>
      <c r="AW65" s="37" t="str">
        <f t="shared" si="16"/>
        <v>B3</v>
      </c>
      <c r="AX65" s="128">
        <f>VLOOKUP(E65,'Lookup Table'!$B$12:$C$82,2,0)</f>
        <v>3.3636363636363638E-2</v>
      </c>
      <c r="AY65" s="128">
        <f>'Lookup Table'!$E$3</f>
        <v>0.45</v>
      </c>
      <c r="AZ65" s="129" t="str">
        <f t="shared" si="17"/>
        <v>Yemen</v>
      </c>
      <c r="BA65" s="37">
        <f>VLOOKUP(AA65,'Lookup Table'!$J$3:$K$27,2,0)</f>
        <v>1</v>
      </c>
      <c r="BB65" s="37">
        <f t="shared" si="18"/>
        <v>1</v>
      </c>
      <c r="BC65" s="37">
        <f t="shared" si="19"/>
        <v>1</v>
      </c>
      <c r="BD65" s="37">
        <f>IF(AND(K65&lt;'ECL Calculation'!$B$1,'Input Sheet'!W65="No"),3,IF(X65="Yes",2,1))</f>
        <v>3</v>
      </c>
      <c r="BE65" s="37">
        <f t="shared" si="20"/>
        <v>3</v>
      </c>
      <c r="BF65" s="37" t="str">
        <f t="shared" si="21"/>
        <v>Stage 3</v>
      </c>
      <c r="BG65" s="37" t="str">
        <f t="shared" si="22"/>
        <v>Yes</v>
      </c>
    </row>
    <row r="66" spans="1:59" x14ac:dyDescent="0.2">
      <c r="A66" s="35">
        <f t="shared" si="23"/>
        <v>64</v>
      </c>
      <c r="B66" s="33">
        <v>1064</v>
      </c>
      <c r="C66" s="33" t="s">
        <v>315</v>
      </c>
      <c r="D66" s="33" t="s">
        <v>806</v>
      </c>
      <c r="E66" s="33" t="s">
        <v>478</v>
      </c>
      <c r="F66" s="33" t="s">
        <v>542</v>
      </c>
      <c r="G66" s="117">
        <v>3.5</v>
      </c>
      <c r="H66" s="34">
        <v>29478</v>
      </c>
      <c r="I66" s="34">
        <v>29724</v>
      </c>
      <c r="J66" s="34">
        <v>29724</v>
      </c>
      <c r="K66" s="34">
        <v>37710</v>
      </c>
      <c r="L66" s="34">
        <v>32416</v>
      </c>
      <c r="M66" s="34">
        <v>29675</v>
      </c>
      <c r="N66" s="113">
        <v>15</v>
      </c>
      <c r="O66" s="200">
        <v>37500000</v>
      </c>
      <c r="P66" s="200">
        <v>37500000</v>
      </c>
      <c r="Q66" s="200">
        <v>27500000</v>
      </c>
      <c r="R66" s="201">
        <v>25747603.48</v>
      </c>
      <c r="S66" s="33" t="s">
        <v>22</v>
      </c>
      <c r="T66" s="33" t="s">
        <v>22</v>
      </c>
      <c r="U66" s="33" t="s">
        <v>203</v>
      </c>
      <c r="V66" s="33"/>
      <c r="W66" s="33" t="s">
        <v>210</v>
      </c>
      <c r="X66" s="33" t="s">
        <v>209</v>
      </c>
      <c r="Y66" s="33" t="s">
        <v>209</v>
      </c>
      <c r="Z66" s="33" t="s">
        <v>209</v>
      </c>
      <c r="AA66" s="35" t="str">
        <f>_xlfn.IFNA(VLOOKUP(E66,'Lookup Table'!$J$33:$K$176,2,0),"B3")</f>
        <v>B3</v>
      </c>
      <c r="AB66" s="35">
        <f>_xlfn.IFNA(VLOOKUP($AA66,'Rating Lookup'!$B$2:$I$27,8,0),15)</f>
        <v>16</v>
      </c>
      <c r="AC66" s="35" t="str">
        <f>_xlfn.IFNA(VLOOKUP(E66,'Lookup Table'!$M$33:$N$173,2,0),"B3")</f>
        <v>B3</v>
      </c>
      <c r="AD66" s="35">
        <f>_xlfn.IFNA(VLOOKUP($AC66,'Rating Lookup'!$B$2:$I$27,8,0),15)</f>
        <v>16</v>
      </c>
      <c r="AE66" s="35">
        <f t="shared" si="4"/>
        <v>0</v>
      </c>
      <c r="AG66" s="35" t="str">
        <f t="shared" si="5"/>
        <v>SOUTH. UPLANDS R. DEVELOPMENT (2)</v>
      </c>
      <c r="AH66" s="35" t="str">
        <f t="shared" si="6"/>
        <v>Government Loan</v>
      </c>
      <c r="AI66" s="202">
        <f>'ECL Calculation'!$B$1</f>
        <v>43465</v>
      </c>
      <c r="AJ66" s="202">
        <f t="shared" si="7"/>
        <v>32416</v>
      </c>
      <c r="AK66" s="202">
        <f t="shared" si="8"/>
        <v>29675</v>
      </c>
      <c r="AL66" s="127">
        <f t="shared" si="9"/>
        <v>15</v>
      </c>
      <c r="AM66" s="192">
        <f>IF(AND(IF(ISBLANK(K66),EOMONTH(AJ66,AL66*12),K66)&lt;'ECL Calculation'!$B$1,SUM('Input Sheet'!Q66,'Input Sheet'!R66)&gt;0),EOMONTH('ECL Calculation'!$B$1,12*5),IF(ISBLANK(K66),EOMONTH(AJ66,AL66*12),K66))</f>
        <v>45291</v>
      </c>
      <c r="AN66" s="203">
        <f t="shared" si="10"/>
        <v>37500000</v>
      </c>
      <c r="AO66" s="203">
        <f t="shared" si="11"/>
        <v>37500000</v>
      </c>
      <c r="AP66" s="203">
        <f t="shared" si="12"/>
        <v>0</v>
      </c>
      <c r="AQ66" s="126">
        <f>VLOOKUP(U66,'Lookup Table'!$B$2:$C$10,2,0)</f>
        <v>1</v>
      </c>
      <c r="AR66" s="127">
        <f>VLOOKUP(S66,'Lookup Table'!$B$2:$C$9,2,0)</f>
        <v>2</v>
      </c>
      <c r="AS66" s="127">
        <f>VLOOKUP(T66,'Lookup Table'!$B$2:$C$9,2,0)</f>
        <v>2</v>
      </c>
      <c r="AT66" s="136">
        <f t="shared" si="13"/>
        <v>27500000</v>
      </c>
      <c r="AU66" s="128">
        <f t="shared" si="14"/>
        <v>3.5000000000000003E-2</v>
      </c>
      <c r="AV66" s="136">
        <f t="shared" si="15"/>
        <v>25747603.48</v>
      </c>
      <c r="AW66" s="37" t="str">
        <f t="shared" si="16"/>
        <v>B3</v>
      </c>
      <c r="AX66" s="128">
        <f>VLOOKUP(E66,'Lookup Table'!$B$12:$C$82,2,0)</f>
        <v>3.3636363636363638E-2</v>
      </c>
      <c r="AY66" s="128">
        <f>'Lookup Table'!$E$3</f>
        <v>0.45</v>
      </c>
      <c r="AZ66" s="129" t="str">
        <f t="shared" si="17"/>
        <v>Yemen</v>
      </c>
      <c r="BA66" s="37">
        <f>VLOOKUP(AA66,'Lookup Table'!$J$3:$K$27,2,0)</f>
        <v>1</v>
      </c>
      <c r="BB66" s="37">
        <f t="shared" si="18"/>
        <v>1</v>
      </c>
      <c r="BC66" s="37">
        <f t="shared" si="19"/>
        <v>1</v>
      </c>
      <c r="BD66" s="37">
        <f>IF(AND(K66&lt;'ECL Calculation'!$B$1,'Input Sheet'!W66="No"),3,IF(X66="Yes",2,1))</f>
        <v>3</v>
      </c>
      <c r="BE66" s="37">
        <f t="shared" si="20"/>
        <v>3</v>
      </c>
      <c r="BF66" s="37" t="str">
        <f t="shared" si="21"/>
        <v>Stage 3</v>
      </c>
      <c r="BG66" s="37" t="str">
        <f t="shared" si="22"/>
        <v>Yes</v>
      </c>
    </row>
    <row r="67" spans="1:59" x14ac:dyDescent="0.2">
      <c r="A67" s="35">
        <f t="shared" si="23"/>
        <v>65</v>
      </c>
      <c r="B67" s="33">
        <v>1065</v>
      </c>
      <c r="C67" s="33" t="s">
        <v>316</v>
      </c>
      <c r="D67" s="33" t="s">
        <v>806</v>
      </c>
      <c r="E67" s="33" t="s">
        <v>504</v>
      </c>
      <c r="F67" s="33" t="s">
        <v>542</v>
      </c>
      <c r="G67" s="117">
        <v>5.5</v>
      </c>
      <c r="H67" s="34">
        <v>29496</v>
      </c>
      <c r="I67" s="34">
        <v>29548</v>
      </c>
      <c r="J67" s="34">
        <v>29548</v>
      </c>
      <c r="K67" s="34">
        <v>36646</v>
      </c>
      <c r="L67" s="34">
        <v>31350</v>
      </c>
      <c r="M67" s="34">
        <v>29706</v>
      </c>
      <c r="N67" s="113">
        <v>15</v>
      </c>
      <c r="O67" s="200">
        <v>98232494.730000004</v>
      </c>
      <c r="P67" s="200">
        <v>98232494.730000004</v>
      </c>
      <c r="Q67" s="200">
        <v>0</v>
      </c>
      <c r="R67" s="201">
        <v>0</v>
      </c>
      <c r="S67" s="33" t="s">
        <v>22</v>
      </c>
      <c r="T67" s="33" t="s">
        <v>22</v>
      </c>
      <c r="U67" s="33" t="s">
        <v>203</v>
      </c>
      <c r="V67" s="33"/>
      <c r="W67" s="33" t="s">
        <v>210</v>
      </c>
      <c r="X67" s="33" t="s">
        <v>210</v>
      </c>
      <c r="Y67" s="33"/>
      <c r="Z67" s="33" t="s">
        <v>209</v>
      </c>
      <c r="AA67" s="35" t="str">
        <f>_xlfn.IFNA(VLOOKUP(E67,'Lookup Table'!$J$33:$K$176,2,0),"B3")</f>
        <v>Ba3</v>
      </c>
      <c r="AB67" s="35">
        <f>_xlfn.IFNA(VLOOKUP($AA67,'Rating Lookup'!$B$2:$I$27,8,0),15)</f>
        <v>13</v>
      </c>
      <c r="AC67" s="35" t="str">
        <f>_xlfn.IFNA(VLOOKUP(E67,'Lookup Table'!$M$33:$N$173,2,0),"B3")</f>
        <v>Ba1</v>
      </c>
      <c r="AD67" s="35">
        <f>_xlfn.IFNA(VLOOKUP($AC67,'Rating Lookup'!$B$2:$I$27,8,0),15)</f>
        <v>11</v>
      </c>
      <c r="AE67" s="35">
        <f t="shared" si="4"/>
        <v>2</v>
      </c>
      <c r="AG67" s="35" t="str">
        <f t="shared" si="5"/>
        <v>PETRO CHEMICAL FACTORY</v>
      </c>
      <c r="AH67" s="35" t="str">
        <f t="shared" si="6"/>
        <v>Government Loan</v>
      </c>
      <c r="AI67" s="202">
        <f>'ECL Calculation'!$B$1</f>
        <v>43465</v>
      </c>
      <c r="AJ67" s="202">
        <f t="shared" si="7"/>
        <v>31350</v>
      </c>
      <c r="AK67" s="202">
        <f t="shared" si="8"/>
        <v>29706</v>
      </c>
      <c r="AL67" s="127">
        <f t="shared" si="9"/>
        <v>15</v>
      </c>
      <c r="AM67" s="192">
        <f>IF(AND(IF(ISBLANK(K67),EOMONTH(AJ67,AL67*12),K67)&lt;'ECL Calculation'!$B$1,SUM('Input Sheet'!Q67,'Input Sheet'!R67)&gt;0),EOMONTH('ECL Calculation'!$B$1,12*5),IF(ISBLANK(K67),EOMONTH(AJ67,AL67*12),K67))</f>
        <v>36646</v>
      </c>
      <c r="AN67" s="203">
        <f t="shared" si="10"/>
        <v>98232494.730000004</v>
      </c>
      <c r="AO67" s="203">
        <f t="shared" si="11"/>
        <v>98232494.730000004</v>
      </c>
      <c r="AP67" s="203">
        <f t="shared" si="12"/>
        <v>0</v>
      </c>
      <c r="AQ67" s="126">
        <f>VLOOKUP(U67,'Lookup Table'!$B$2:$C$10,2,0)</f>
        <v>1</v>
      </c>
      <c r="AR67" s="127">
        <f>VLOOKUP(S67,'Lookup Table'!$B$2:$C$9,2,0)</f>
        <v>2</v>
      </c>
      <c r="AS67" s="127">
        <f>VLOOKUP(T67,'Lookup Table'!$B$2:$C$9,2,0)</f>
        <v>2</v>
      </c>
      <c r="AT67" s="136">
        <f t="shared" si="13"/>
        <v>0</v>
      </c>
      <c r="AU67" s="128">
        <f t="shared" si="14"/>
        <v>5.5E-2</v>
      </c>
      <c r="AV67" s="136">
        <f t="shared" si="15"/>
        <v>0</v>
      </c>
      <c r="AW67" s="37" t="str">
        <f t="shared" si="16"/>
        <v>Ba3</v>
      </c>
      <c r="AX67" s="128">
        <f>VLOOKUP(E67,'Lookup Table'!$B$12:$C$82,2,0)</f>
        <v>3.1666666666666662E-2</v>
      </c>
      <c r="AY67" s="128">
        <f>'Lookup Table'!$E$3</f>
        <v>0.45</v>
      </c>
      <c r="AZ67" s="129" t="str">
        <f t="shared" si="17"/>
        <v>Turkey</v>
      </c>
      <c r="BA67" s="37">
        <f>VLOOKUP(AA67,'Lookup Table'!$J$3:$K$27,2,0)</f>
        <v>1</v>
      </c>
      <c r="BB67" s="37">
        <f t="shared" si="18"/>
        <v>2</v>
      </c>
      <c r="BC67" s="37">
        <f t="shared" si="19"/>
        <v>1</v>
      </c>
      <c r="BD67" s="37">
        <f>IF(AND(K67&lt;'ECL Calculation'!$B$1,'Input Sheet'!W67="No"),3,IF(X67="Yes",2,1))</f>
        <v>3</v>
      </c>
      <c r="BE67" s="37">
        <f t="shared" si="20"/>
        <v>1</v>
      </c>
      <c r="BF67" s="37" t="str">
        <f t="shared" si="21"/>
        <v>Stage 3</v>
      </c>
      <c r="BG67" s="37" t="str">
        <f t="shared" si="22"/>
        <v>No</v>
      </c>
    </row>
    <row r="68" spans="1:59" x14ac:dyDescent="0.2">
      <c r="A68" s="35">
        <f t="shared" si="23"/>
        <v>66</v>
      </c>
      <c r="B68" s="33">
        <v>1066</v>
      </c>
      <c r="C68" s="33" t="s">
        <v>317</v>
      </c>
      <c r="D68" s="33" t="s">
        <v>806</v>
      </c>
      <c r="E68" s="33" t="s">
        <v>493</v>
      </c>
      <c r="F68" s="33" t="s">
        <v>542</v>
      </c>
      <c r="G68" s="117">
        <v>2</v>
      </c>
      <c r="H68" s="34">
        <v>29531</v>
      </c>
      <c r="I68" s="34">
        <v>29828</v>
      </c>
      <c r="J68" s="34">
        <v>29828</v>
      </c>
      <c r="K68" s="34">
        <v>39020</v>
      </c>
      <c r="L68" s="34">
        <v>31897</v>
      </c>
      <c r="M68" s="34">
        <v>29706</v>
      </c>
      <c r="N68" s="113">
        <v>20</v>
      </c>
      <c r="O68" s="200">
        <v>14610982.800000001</v>
      </c>
      <c r="P68" s="200">
        <v>14610982.800000001</v>
      </c>
      <c r="Q68" s="200">
        <v>9800000</v>
      </c>
      <c r="R68" s="201">
        <v>4708362.45</v>
      </c>
      <c r="S68" s="33" t="s">
        <v>22</v>
      </c>
      <c r="T68" s="33" t="s">
        <v>22</v>
      </c>
      <c r="U68" s="33" t="s">
        <v>203</v>
      </c>
      <c r="V68" s="33"/>
      <c r="W68" s="33" t="s">
        <v>209</v>
      </c>
      <c r="X68" s="33" t="s">
        <v>210</v>
      </c>
      <c r="Y68" s="239" t="s">
        <v>209</v>
      </c>
      <c r="Z68" s="33" t="s">
        <v>209</v>
      </c>
      <c r="AA68" s="35" t="str">
        <f>_xlfn.IFNA(VLOOKUP(E68,'Lookup Table'!$J$33:$K$176,2,0),"B3")</f>
        <v>B3</v>
      </c>
      <c r="AB68" s="35">
        <f>_xlfn.IFNA(VLOOKUP($AA68,'Rating Lookup'!$B$2:$I$27,8,0),15)</f>
        <v>16</v>
      </c>
      <c r="AC68" s="35" t="str">
        <f>_xlfn.IFNA(VLOOKUP(E68,'Lookup Table'!$M$33:$N$173,2,0),"B3")</f>
        <v>B3</v>
      </c>
      <c r="AD68" s="35">
        <f>_xlfn.IFNA(VLOOKUP($AC68,'Rating Lookup'!$B$2:$I$27,8,0),15)</f>
        <v>16</v>
      </c>
      <c r="AE68" s="35">
        <f t="shared" ref="AE68:AE131" si="24">IF(AB68-AD68&lt;0,0,AB68-AD68)</f>
        <v>0</v>
      </c>
      <c r="AG68" s="35" t="str">
        <f t="shared" ref="AG68:AG131" si="25">C68</f>
        <v>AGRICULTURAL GARJOL PROJECT</v>
      </c>
      <c r="AH68" s="35" t="str">
        <f t="shared" ref="AH68:AH131" si="26">D68</f>
        <v>Government Loan</v>
      </c>
      <c r="AI68" s="202">
        <f>'ECL Calculation'!$B$1</f>
        <v>43465</v>
      </c>
      <c r="AJ68" s="202">
        <f t="shared" ref="AJ68:AJ131" si="27">L68</f>
        <v>31897</v>
      </c>
      <c r="AK68" s="202">
        <f t="shared" ref="AK68:AK131" si="28">M68</f>
        <v>29706</v>
      </c>
      <c r="AL68" s="127">
        <f t="shared" ref="AL68:AL131" si="29">N68</f>
        <v>20</v>
      </c>
      <c r="AM68" s="192">
        <f>IF(AND(IF(ISBLANK(K68),EOMONTH(AJ68,AL68*12),K68)&lt;'ECL Calculation'!$B$1,SUM('Input Sheet'!Q68,'Input Sheet'!R68)&gt;0),EOMONTH('ECL Calculation'!$B$1,12*5),IF(ISBLANK(K68),EOMONTH(AJ68,AL68*12),K68))</f>
        <v>45291</v>
      </c>
      <c r="AN68" s="203">
        <f t="shared" ref="AN68:AN131" si="30">O68</f>
        <v>14610982.800000001</v>
      </c>
      <c r="AO68" s="203">
        <f t="shared" ref="AO68:AO131" si="31">P68</f>
        <v>14610982.800000001</v>
      </c>
      <c r="AP68" s="203">
        <f t="shared" ref="AP68:AP131" si="32">IF(Z68="No",0,AN68-AO68)</f>
        <v>0</v>
      </c>
      <c r="AQ68" s="126">
        <f>VLOOKUP(U68,'Lookup Table'!$B$2:$C$10,2,0)</f>
        <v>1</v>
      </c>
      <c r="AR68" s="127">
        <f>VLOOKUP(S68,'Lookup Table'!$B$2:$C$9,2,0)</f>
        <v>2</v>
      </c>
      <c r="AS68" s="127">
        <f>VLOOKUP(T68,'Lookup Table'!$B$2:$C$9,2,0)</f>
        <v>2</v>
      </c>
      <c r="AT68" s="136">
        <f t="shared" ref="AT68:AT131" si="33">Q68</f>
        <v>9800000</v>
      </c>
      <c r="AU68" s="128">
        <f t="shared" ref="AU68:AU131" si="34">G68/100</f>
        <v>0.02</v>
      </c>
      <c r="AV68" s="136">
        <f t="shared" ref="AV68:AV131" si="35">R68</f>
        <v>4708362.45</v>
      </c>
      <c r="AW68" s="37" t="str">
        <f t="shared" ref="AW68:AW131" si="36">AA68</f>
        <v>B3</v>
      </c>
      <c r="AX68" s="128">
        <f>VLOOKUP(E68,'Lookup Table'!$B$12:$C$82,2,0)</f>
        <v>2.2499999999999999E-2</v>
      </c>
      <c r="AY68" s="128">
        <f>'Lookup Table'!$E$3</f>
        <v>0.45</v>
      </c>
      <c r="AZ68" s="129" t="str">
        <f t="shared" ref="AZ68:AZ131" si="37">E68</f>
        <v>Mauritania</v>
      </c>
      <c r="BA68" s="37">
        <f>VLOOKUP(AA68,'Lookup Table'!$J$3:$K$27,2,0)</f>
        <v>1</v>
      </c>
      <c r="BB68" s="37">
        <f t="shared" ref="BB68:BB131" si="38">IF(AND(AD68&lt;=10,AE68&gt;=2,AB68&gt;10), 2,IF(AND(AD68&gt;10,AE68&gt;=1),2,1))</f>
        <v>1</v>
      </c>
      <c r="BC68" s="37">
        <f t="shared" ref="BC68:BC131" si="39">IF(W68="Yes",2,1)</f>
        <v>2</v>
      </c>
      <c r="BD68" s="37">
        <f>IF(AND(K68&lt;'ECL Calculation'!$B$1,'Input Sheet'!W68="No"),3,IF(X68="Yes",2,1))</f>
        <v>1</v>
      </c>
      <c r="BE68" s="37">
        <f t="shared" ref="BE68:BE131" si="40">IF(Y68="Yes",3,1)</f>
        <v>3</v>
      </c>
      <c r="BF68" s="37" t="str">
        <f t="shared" ref="BF68:BF131" si="41">IF(MAX(BA68:BE68)=2,"Stage 2",IF(MAX(BA68:BE68)=3,"Stage 3","Stage 1"))</f>
        <v>Stage 3</v>
      </c>
      <c r="BG68" s="37" t="str">
        <f t="shared" ref="BG68:BG131" si="42">IF(OR(AND(AK68&lt;AI68,AT68&lt;=0),V68="Grant"),"No","Yes")</f>
        <v>Yes</v>
      </c>
    </row>
    <row r="69" spans="1:59" x14ac:dyDescent="0.2">
      <c r="A69" s="35">
        <f t="shared" ref="A69:A132" si="43">A68+1</f>
        <v>67</v>
      </c>
      <c r="B69" s="33">
        <v>1067</v>
      </c>
      <c r="C69" s="33" t="s">
        <v>318</v>
      </c>
      <c r="D69" s="33" t="s">
        <v>806</v>
      </c>
      <c r="E69" s="33" t="s">
        <v>505</v>
      </c>
      <c r="F69" s="33" t="s">
        <v>542</v>
      </c>
      <c r="G69" s="117">
        <v>4</v>
      </c>
      <c r="H69" s="34">
        <v>29543</v>
      </c>
      <c r="I69" s="34">
        <v>30077</v>
      </c>
      <c r="J69" s="34">
        <v>30077</v>
      </c>
      <c r="K69" s="34">
        <v>36251</v>
      </c>
      <c r="L69" s="34">
        <v>32051</v>
      </c>
      <c r="M69" s="34">
        <v>29706</v>
      </c>
      <c r="N69" s="113">
        <v>12</v>
      </c>
      <c r="O69" s="200">
        <v>509763.37</v>
      </c>
      <c r="P69" s="200">
        <v>509763.37</v>
      </c>
      <c r="Q69" s="200">
        <v>0</v>
      </c>
      <c r="R69" s="201">
        <v>0</v>
      </c>
      <c r="S69" s="33" t="s">
        <v>22</v>
      </c>
      <c r="T69" s="33" t="s">
        <v>22</v>
      </c>
      <c r="U69" s="33" t="s">
        <v>203</v>
      </c>
      <c r="V69" s="33"/>
      <c r="W69" s="33" t="s">
        <v>210</v>
      </c>
      <c r="X69" s="33" t="s">
        <v>210</v>
      </c>
      <c r="Y69" s="33"/>
      <c r="Z69" s="33" t="s">
        <v>209</v>
      </c>
      <c r="AA69" s="35" t="str">
        <f>_xlfn.IFNA(VLOOKUP(E69,'Lookup Table'!$J$33:$K$176,2,0),"B3")</f>
        <v>B3</v>
      </c>
      <c r="AB69" s="35">
        <f>_xlfn.IFNA(VLOOKUP($AA69,'Rating Lookup'!$B$2:$I$27,8,0),15)</f>
        <v>16</v>
      </c>
      <c r="AC69" s="35" t="str">
        <f>_xlfn.IFNA(VLOOKUP(E69,'Lookup Table'!$M$33:$N$173,2,0),"B3")</f>
        <v>B3</v>
      </c>
      <c r="AD69" s="35">
        <f>_xlfn.IFNA(VLOOKUP($AC69,'Rating Lookup'!$B$2:$I$27,8,0),15)</f>
        <v>16</v>
      </c>
      <c r="AE69" s="35">
        <f t="shared" si="24"/>
        <v>0</v>
      </c>
      <c r="AG69" s="35" t="str">
        <f t="shared" si="25"/>
        <v>FISHING PROJECT</v>
      </c>
      <c r="AH69" s="35" t="str">
        <f t="shared" si="26"/>
        <v>Government Loan</v>
      </c>
      <c r="AI69" s="202">
        <f>'ECL Calculation'!$B$1</f>
        <v>43465</v>
      </c>
      <c r="AJ69" s="202">
        <f t="shared" si="27"/>
        <v>32051</v>
      </c>
      <c r="AK69" s="202">
        <f t="shared" si="28"/>
        <v>29706</v>
      </c>
      <c r="AL69" s="127">
        <f t="shared" si="29"/>
        <v>12</v>
      </c>
      <c r="AM69" s="192">
        <f>IF(AND(IF(ISBLANK(K69),EOMONTH(AJ69,AL69*12),K69)&lt;'ECL Calculation'!$B$1,SUM('Input Sheet'!Q69,'Input Sheet'!R69)&gt;0),EOMONTH('ECL Calculation'!$B$1,12*5),IF(ISBLANK(K69),EOMONTH(AJ69,AL69*12),K69))</f>
        <v>36251</v>
      </c>
      <c r="AN69" s="203">
        <f t="shared" si="30"/>
        <v>509763.37</v>
      </c>
      <c r="AO69" s="203">
        <f t="shared" si="31"/>
        <v>509763.37</v>
      </c>
      <c r="AP69" s="203">
        <f t="shared" si="32"/>
        <v>0</v>
      </c>
      <c r="AQ69" s="126">
        <f>VLOOKUP(U69,'Lookup Table'!$B$2:$C$10,2,0)</f>
        <v>1</v>
      </c>
      <c r="AR69" s="127">
        <f>VLOOKUP(S69,'Lookup Table'!$B$2:$C$9,2,0)</f>
        <v>2</v>
      </c>
      <c r="AS69" s="127">
        <f>VLOOKUP(T69,'Lookup Table'!$B$2:$C$9,2,0)</f>
        <v>2</v>
      </c>
      <c r="AT69" s="136">
        <f t="shared" si="33"/>
        <v>0</v>
      </c>
      <c r="AU69" s="128">
        <f t="shared" si="34"/>
        <v>0.04</v>
      </c>
      <c r="AV69" s="136">
        <f t="shared" si="35"/>
        <v>0</v>
      </c>
      <c r="AW69" s="37" t="str">
        <f t="shared" si="36"/>
        <v>B3</v>
      </c>
      <c r="AX69" s="128">
        <f>VLOOKUP(E69,'Lookup Table'!$B$12:$C$82,2,0)</f>
        <v>0.04</v>
      </c>
      <c r="AY69" s="128">
        <f>'Lookup Table'!$E$3</f>
        <v>0.45</v>
      </c>
      <c r="AZ69" s="129" t="str">
        <f t="shared" si="37"/>
        <v>Cabo Verde</v>
      </c>
      <c r="BA69" s="37">
        <f>VLOOKUP(AA69,'Lookup Table'!$J$3:$K$27,2,0)</f>
        <v>1</v>
      </c>
      <c r="BB69" s="37">
        <f t="shared" si="38"/>
        <v>1</v>
      </c>
      <c r="BC69" s="37">
        <f t="shared" si="39"/>
        <v>1</v>
      </c>
      <c r="BD69" s="37">
        <f>IF(AND(K69&lt;'ECL Calculation'!$B$1,'Input Sheet'!W69="No"),3,IF(X69="Yes",2,1))</f>
        <v>3</v>
      </c>
      <c r="BE69" s="37">
        <f t="shared" si="40"/>
        <v>1</v>
      </c>
      <c r="BF69" s="37" t="str">
        <f t="shared" si="41"/>
        <v>Stage 3</v>
      </c>
      <c r="BG69" s="37" t="str">
        <f t="shared" si="42"/>
        <v>No</v>
      </c>
    </row>
    <row r="70" spans="1:59" x14ac:dyDescent="0.2">
      <c r="A70" s="35">
        <f t="shared" si="43"/>
        <v>68</v>
      </c>
      <c r="B70" s="33">
        <v>1068</v>
      </c>
      <c r="C70" s="33" t="s">
        <v>319</v>
      </c>
      <c r="D70" s="33" t="s">
        <v>806</v>
      </c>
      <c r="E70" s="33" t="s">
        <v>496</v>
      </c>
      <c r="F70" s="33" t="s">
        <v>542</v>
      </c>
      <c r="G70" s="117">
        <v>3.5</v>
      </c>
      <c r="H70" s="34">
        <v>29575</v>
      </c>
      <c r="I70" s="34">
        <v>40203</v>
      </c>
      <c r="J70" s="34">
        <v>29743</v>
      </c>
      <c r="K70" s="34">
        <v>34608</v>
      </c>
      <c r="L70" s="34">
        <v>31321</v>
      </c>
      <c r="M70" s="34">
        <v>29706</v>
      </c>
      <c r="N70" s="113">
        <v>9</v>
      </c>
      <c r="O70" s="200">
        <v>3662481.3</v>
      </c>
      <c r="P70" s="200">
        <v>3662481.3</v>
      </c>
      <c r="Q70" s="200">
        <v>0</v>
      </c>
      <c r="R70" s="201">
        <v>0</v>
      </c>
      <c r="S70" s="33" t="s">
        <v>22</v>
      </c>
      <c r="T70" s="33" t="s">
        <v>22</v>
      </c>
      <c r="U70" s="33" t="s">
        <v>203</v>
      </c>
      <c r="V70" s="33"/>
      <c r="W70" s="33" t="s">
        <v>210</v>
      </c>
      <c r="X70" s="33" t="s">
        <v>210</v>
      </c>
      <c r="Y70" s="33"/>
      <c r="Z70" s="33" t="s">
        <v>209</v>
      </c>
      <c r="AA70" s="35" t="str">
        <f>_xlfn.IFNA(VLOOKUP(E70,'Lookup Table'!$J$33:$K$176,2,0),"B3")</f>
        <v>B3</v>
      </c>
      <c r="AB70" s="35">
        <f>_xlfn.IFNA(VLOOKUP($AA70,'Rating Lookup'!$B$2:$I$27,8,0),15)</f>
        <v>16</v>
      </c>
      <c r="AC70" s="35" t="str">
        <f>_xlfn.IFNA(VLOOKUP(E70,'Lookup Table'!$M$33:$N$173,2,0),"B3")</f>
        <v>B3</v>
      </c>
      <c r="AD70" s="35">
        <f>_xlfn.IFNA(VLOOKUP($AC70,'Rating Lookup'!$B$2:$I$27,8,0),15)</f>
        <v>16</v>
      </c>
      <c r="AE70" s="35">
        <f t="shared" si="24"/>
        <v>0</v>
      </c>
      <c r="AG70" s="35" t="str">
        <f t="shared" si="25"/>
        <v>MASERU INTERNATIONAL AIRPORT</v>
      </c>
      <c r="AH70" s="35" t="str">
        <f t="shared" si="26"/>
        <v>Government Loan</v>
      </c>
      <c r="AI70" s="202">
        <f>'ECL Calculation'!$B$1</f>
        <v>43465</v>
      </c>
      <c r="AJ70" s="202">
        <f t="shared" si="27"/>
        <v>31321</v>
      </c>
      <c r="AK70" s="202">
        <f t="shared" si="28"/>
        <v>29706</v>
      </c>
      <c r="AL70" s="127">
        <f t="shared" si="29"/>
        <v>9</v>
      </c>
      <c r="AM70" s="192">
        <f>IF(AND(IF(ISBLANK(K70),EOMONTH(AJ70,AL70*12),K70)&lt;'ECL Calculation'!$B$1,SUM('Input Sheet'!Q70,'Input Sheet'!R70)&gt;0),EOMONTH('ECL Calculation'!$B$1,12*5),IF(ISBLANK(K70),EOMONTH(AJ70,AL70*12),K70))</f>
        <v>34608</v>
      </c>
      <c r="AN70" s="203">
        <f t="shared" si="30"/>
        <v>3662481.3</v>
      </c>
      <c r="AO70" s="203">
        <f t="shared" si="31"/>
        <v>3662481.3</v>
      </c>
      <c r="AP70" s="203">
        <f t="shared" si="32"/>
        <v>0</v>
      </c>
      <c r="AQ70" s="126">
        <f>VLOOKUP(U70,'Lookup Table'!$B$2:$C$10,2,0)</f>
        <v>1</v>
      </c>
      <c r="AR70" s="127">
        <f>VLOOKUP(S70,'Lookup Table'!$B$2:$C$9,2,0)</f>
        <v>2</v>
      </c>
      <c r="AS70" s="127">
        <f>VLOOKUP(T70,'Lookup Table'!$B$2:$C$9,2,0)</f>
        <v>2</v>
      </c>
      <c r="AT70" s="136">
        <f t="shared" si="33"/>
        <v>0</v>
      </c>
      <c r="AU70" s="128">
        <f t="shared" si="34"/>
        <v>3.5000000000000003E-2</v>
      </c>
      <c r="AV70" s="136">
        <f t="shared" si="35"/>
        <v>0</v>
      </c>
      <c r="AW70" s="37" t="str">
        <f t="shared" si="36"/>
        <v>B3</v>
      </c>
      <c r="AX70" s="128">
        <f>VLOOKUP(E70,'Lookup Table'!$B$12:$C$82,2,0)</f>
        <v>3.3333333333333333E-2</v>
      </c>
      <c r="AY70" s="128">
        <f>'Lookup Table'!$E$3</f>
        <v>0.45</v>
      </c>
      <c r="AZ70" s="129" t="str">
        <f t="shared" si="37"/>
        <v>Lesotho</v>
      </c>
      <c r="BA70" s="37">
        <f>VLOOKUP(AA70,'Lookup Table'!$J$3:$K$27,2,0)</f>
        <v>1</v>
      </c>
      <c r="BB70" s="37">
        <f t="shared" si="38"/>
        <v>1</v>
      </c>
      <c r="BC70" s="37">
        <f t="shared" si="39"/>
        <v>1</v>
      </c>
      <c r="BD70" s="37">
        <f>IF(AND(K70&lt;'ECL Calculation'!$B$1,'Input Sheet'!W70="No"),3,IF(X70="Yes",2,1))</f>
        <v>3</v>
      </c>
      <c r="BE70" s="37">
        <f t="shared" si="40"/>
        <v>1</v>
      </c>
      <c r="BF70" s="37" t="str">
        <f t="shared" si="41"/>
        <v>Stage 3</v>
      </c>
      <c r="BG70" s="37" t="str">
        <f t="shared" si="42"/>
        <v>No</v>
      </c>
    </row>
    <row r="71" spans="1:59" x14ac:dyDescent="0.2">
      <c r="A71" s="35">
        <f t="shared" si="43"/>
        <v>69</v>
      </c>
      <c r="B71" s="33">
        <v>1069</v>
      </c>
      <c r="C71" s="33" t="s">
        <v>320</v>
      </c>
      <c r="D71" s="33" t="s">
        <v>806</v>
      </c>
      <c r="E71" s="33" t="s">
        <v>478</v>
      </c>
      <c r="F71" s="33" t="s">
        <v>542</v>
      </c>
      <c r="G71" s="117">
        <v>3.5</v>
      </c>
      <c r="H71" s="34">
        <v>29601</v>
      </c>
      <c r="I71" s="34">
        <v>40203</v>
      </c>
      <c r="J71" s="34">
        <v>29725</v>
      </c>
      <c r="K71" s="34">
        <v>35002</v>
      </c>
      <c r="L71" s="34">
        <v>31532</v>
      </c>
      <c r="M71" s="34">
        <v>29706</v>
      </c>
      <c r="N71" s="113">
        <v>10</v>
      </c>
      <c r="O71" s="200">
        <v>23985981.620000001</v>
      </c>
      <c r="P71" s="200">
        <v>23985981.620000001</v>
      </c>
      <c r="Q71" s="200">
        <v>7736153.6200000001</v>
      </c>
      <c r="R71" s="201">
        <v>7221746.5899999999</v>
      </c>
      <c r="S71" s="33" t="s">
        <v>22</v>
      </c>
      <c r="T71" s="33" t="s">
        <v>22</v>
      </c>
      <c r="U71" s="33" t="s">
        <v>203</v>
      </c>
      <c r="V71" s="33"/>
      <c r="W71" s="33" t="s">
        <v>210</v>
      </c>
      <c r="X71" s="33" t="s">
        <v>209</v>
      </c>
      <c r="Y71" s="33" t="s">
        <v>209</v>
      </c>
      <c r="Z71" s="33" t="s">
        <v>209</v>
      </c>
      <c r="AA71" s="35" t="str">
        <f>_xlfn.IFNA(VLOOKUP(E71,'Lookup Table'!$J$33:$K$176,2,0),"B3")</f>
        <v>B3</v>
      </c>
      <c r="AB71" s="35">
        <f>_xlfn.IFNA(VLOOKUP($AA71,'Rating Lookup'!$B$2:$I$27,8,0),15)</f>
        <v>16</v>
      </c>
      <c r="AC71" s="35" t="str">
        <f>_xlfn.IFNA(VLOOKUP(E71,'Lookup Table'!$M$33:$N$173,2,0),"B3")</f>
        <v>B3</v>
      </c>
      <c r="AD71" s="35">
        <f>_xlfn.IFNA(VLOOKUP($AC71,'Rating Lookup'!$B$2:$I$27,8,0),15)</f>
        <v>16</v>
      </c>
      <c r="AE71" s="35">
        <f t="shared" si="24"/>
        <v>0</v>
      </c>
      <c r="AG71" s="35" t="str">
        <f t="shared" si="25"/>
        <v>DHAMAR TAIZ TRANSMISSION</v>
      </c>
      <c r="AH71" s="35" t="str">
        <f t="shared" si="26"/>
        <v>Government Loan</v>
      </c>
      <c r="AI71" s="202">
        <f>'ECL Calculation'!$B$1</f>
        <v>43465</v>
      </c>
      <c r="AJ71" s="202">
        <f t="shared" si="27"/>
        <v>31532</v>
      </c>
      <c r="AK71" s="202">
        <f t="shared" si="28"/>
        <v>29706</v>
      </c>
      <c r="AL71" s="127">
        <f t="shared" si="29"/>
        <v>10</v>
      </c>
      <c r="AM71" s="192">
        <f>IF(AND(IF(ISBLANK(K71),EOMONTH(AJ71,AL71*12),K71)&lt;'ECL Calculation'!$B$1,SUM('Input Sheet'!Q71,'Input Sheet'!R71)&gt;0),EOMONTH('ECL Calculation'!$B$1,12*5),IF(ISBLANK(K71),EOMONTH(AJ71,AL71*12),K71))</f>
        <v>45291</v>
      </c>
      <c r="AN71" s="203">
        <f t="shared" si="30"/>
        <v>23985981.620000001</v>
      </c>
      <c r="AO71" s="203">
        <f t="shared" si="31"/>
        <v>23985981.620000001</v>
      </c>
      <c r="AP71" s="203">
        <f t="shared" si="32"/>
        <v>0</v>
      </c>
      <c r="AQ71" s="126">
        <f>VLOOKUP(U71,'Lookup Table'!$B$2:$C$10,2,0)</f>
        <v>1</v>
      </c>
      <c r="AR71" s="127">
        <f>VLOOKUP(S71,'Lookup Table'!$B$2:$C$9,2,0)</f>
        <v>2</v>
      </c>
      <c r="AS71" s="127">
        <f>VLOOKUP(T71,'Lookup Table'!$B$2:$C$9,2,0)</f>
        <v>2</v>
      </c>
      <c r="AT71" s="136">
        <f t="shared" si="33"/>
        <v>7736153.6200000001</v>
      </c>
      <c r="AU71" s="128">
        <f t="shared" si="34"/>
        <v>3.5000000000000003E-2</v>
      </c>
      <c r="AV71" s="136">
        <f t="shared" si="35"/>
        <v>7221746.5899999999</v>
      </c>
      <c r="AW71" s="37" t="str">
        <f t="shared" si="36"/>
        <v>B3</v>
      </c>
      <c r="AX71" s="128">
        <f>VLOOKUP(E71,'Lookup Table'!$B$12:$C$82,2,0)</f>
        <v>3.3636363636363638E-2</v>
      </c>
      <c r="AY71" s="128">
        <f>'Lookup Table'!$E$3</f>
        <v>0.45</v>
      </c>
      <c r="AZ71" s="129" t="str">
        <f t="shared" si="37"/>
        <v>Yemen</v>
      </c>
      <c r="BA71" s="37">
        <f>VLOOKUP(AA71,'Lookup Table'!$J$3:$K$27,2,0)</f>
        <v>1</v>
      </c>
      <c r="BB71" s="37">
        <f t="shared" si="38"/>
        <v>1</v>
      </c>
      <c r="BC71" s="37">
        <f t="shared" si="39"/>
        <v>1</v>
      </c>
      <c r="BD71" s="37">
        <f>IF(AND(K71&lt;'ECL Calculation'!$B$1,'Input Sheet'!W71="No"),3,IF(X71="Yes",2,1))</f>
        <v>3</v>
      </c>
      <c r="BE71" s="37">
        <f t="shared" si="40"/>
        <v>3</v>
      </c>
      <c r="BF71" s="37" t="str">
        <f t="shared" si="41"/>
        <v>Stage 3</v>
      </c>
      <c r="BG71" s="37" t="str">
        <f t="shared" si="42"/>
        <v>Yes</v>
      </c>
    </row>
    <row r="72" spans="1:59" x14ac:dyDescent="0.2">
      <c r="A72" s="35">
        <f t="shared" si="43"/>
        <v>70</v>
      </c>
      <c r="B72" s="33">
        <v>1070</v>
      </c>
      <c r="C72" s="33" t="s">
        <v>321</v>
      </c>
      <c r="D72" s="33" t="s">
        <v>806</v>
      </c>
      <c r="E72" s="33" t="s">
        <v>506</v>
      </c>
      <c r="F72" s="33" t="s">
        <v>542</v>
      </c>
      <c r="G72" s="117">
        <v>2.5</v>
      </c>
      <c r="H72" s="34">
        <v>29625</v>
      </c>
      <c r="I72" s="34">
        <v>29727</v>
      </c>
      <c r="J72" s="34">
        <v>29727</v>
      </c>
      <c r="K72" s="34">
        <v>34516</v>
      </c>
      <c r="L72" s="34">
        <v>31048</v>
      </c>
      <c r="M72" s="34">
        <v>29706</v>
      </c>
      <c r="N72" s="113">
        <v>10</v>
      </c>
      <c r="O72" s="200">
        <v>23162380.27</v>
      </c>
      <c r="P72" s="200">
        <v>23162380.27</v>
      </c>
      <c r="Q72" s="200">
        <v>8932380.2699999996</v>
      </c>
      <c r="R72" s="201">
        <v>9668060.4499999993</v>
      </c>
      <c r="S72" s="33" t="s">
        <v>22</v>
      </c>
      <c r="T72" s="33" t="s">
        <v>22</v>
      </c>
      <c r="U72" s="33" t="s">
        <v>203</v>
      </c>
      <c r="V72" s="33"/>
      <c r="W72" s="33" t="s">
        <v>209</v>
      </c>
      <c r="X72" s="33" t="s">
        <v>210</v>
      </c>
      <c r="Y72" s="33" t="s">
        <v>209</v>
      </c>
      <c r="Z72" s="33" t="s">
        <v>209</v>
      </c>
      <c r="AA72" s="35" t="str">
        <f>_xlfn.IFNA(VLOOKUP(E72,'Lookup Table'!$J$33:$K$176,2,0),"B3")</f>
        <v>B3</v>
      </c>
      <c r="AB72" s="35">
        <f>_xlfn.IFNA(VLOOKUP($AA72,'Rating Lookup'!$B$2:$I$27,8,0),15)</f>
        <v>16</v>
      </c>
      <c r="AC72" s="35" t="str">
        <f>_xlfn.IFNA(VLOOKUP(E72,'Lookup Table'!$M$33:$N$173,2,0),"B3")</f>
        <v>B3</v>
      </c>
      <c r="AD72" s="35">
        <f>_xlfn.IFNA(VLOOKUP($AC72,'Rating Lookup'!$B$2:$I$27,8,0),15)</f>
        <v>16</v>
      </c>
      <c r="AE72" s="35">
        <f t="shared" si="24"/>
        <v>0</v>
      </c>
      <c r="AG72" s="35" t="str">
        <f t="shared" si="25"/>
        <v>ELECTRICAL POWER IN ANOUARIN</v>
      </c>
      <c r="AH72" s="35" t="str">
        <f t="shared" si="26"/>
        <v>Government Loan</v>
      </c>
      <c r="AI72" s="202">
        <f>'ECL Calculation'!$B$1</f>
        <v>43465</v>
      </c>
      <c r="AJ72" s="202">
        <f t="shared" si="27"/>
        <v>31048</v>
      </c>
      <c r="AK72" s="202">
        <f t="shared" si="28"/>
        <v>29706</v>
      </c>
      <c r="AL72" s="127">
        <f t="shared" si="29"/>
        <v>10</v>
      </c>
      <c r="AM72" s="192">
        <f>IF(AND(IF(ISBLANK(K72),EOMONTH(AJ72,AL72*12),K72)&lt;'ECL Calculation'!$B$1,SUM('Input Sheet'!Q72,'Input Sheet'!R72)&gt;0),EOMONTH('ECL Calculation'!$B$1,12*5),IF(ISBLANK(K72),EOMONTH(AJ72,AL72*12),K72))</f>
        <v>45291</v>
      </c>
      <c r="AN72" s="203">
        <f t="shared" si="30"/>
        <v>23162380.27</v>
      </c>
      <c r="AO72" s="203">
        <f t="shared" si="31"/>
        <v>23162380.27</v>
      </c>
      <c r="AP72" s="203">
        <f t="shared" si="32"/>
        <v>0</v>
      </c>
      <c r="AQ72" s="126">
        <f>VLOOKUP(U72,'Lookup Table'!$B$2:$C$10,2,0)</f>
        <v>1</v>
      </c>
      <c r="AR72" s="127">
        <f>VLOOKUP(S72,'Lookup Table'!$B$2:$C$9,2,0)</f>
        <v>2</v>
      </c>
      <c r="AS72" s="127">
        <f>VLOOKUP(T72,'Lookup Table'!$B$2:$C$9,2,0)</f>
        <v>2</v>
      </c>
      <c r="AT72" s="136">
        <f t="shared" si="33"/>
        <v>8932380.2699999996</v>
      </c>
      <c r="AU72" s="128">
        <f t="shared" si="34"/>
        <v>2.5000000000000001E-2</v>
      </c>
      <c r="AV72" s="136">
        <f t="shared" si="35"/>
        <v>9668060.4499999993</v>
      </c>
      <c r="AW72" s="37" t="str">
        <f t="shared" si="36"/>
        <v>B3</v>
      </c>
      <c r="AX72" s="128">
        <f>VLOOKUP(E72,'Lookup Table'!$B$12:$C$82,2,0)</f>
        <v>2.2499999999999999E-2</v>
      </c>
      <c r="AY72" s="128">
        <f>'Lookup Table'!$E$3</f>
        <v>0.45</v>
      </c>
      <c r="AZ72" s="129" t="str">
        <f t="shared" si="37"/>
        <v>Niger</v>
      </c>
      <c r="BA72" s="37">
        <f>VLOOKUP(AA72,'Lookup Table'!$J$3:$K$27,2,0)</f>
        <v>1</v>
      </c>
      <c r="BB72" s="37">
        <f t="shared" si="38"/>
        <v>1</v>
      </c>
      <c r="BC72" s="37">
        <f t="shared" si="39"/>
        <v>2</v>
      </c>
      <c r="BD72" s="37">
        <f>IF(AND(K72&lt;'ECL Calculation'!$B$1,'Input Sheet'!W72="No"),3,IF(X72="Yes",2,1))</f>
        <v>1</v>
      </c>
      <c r="BE72" s="37">
        <f t="shared" si="40"/>
        <v>3</v>
      </c>
      <c r="BF72" s="37" t="str">
        <f t="shared" si="41"/>
        <v>Stage 3</v>
      </c>
      <c r="BG72" s="37" t="str">
        <f t="shared" si="42"/>
        <v>Yes</v>
      </c>
    </row>
    <row r="73" spans="1:59" x14ac:dyDescent="0.2">
      <c r="A73" s="35">
        <f t="shared" si="43"/>
        <v>71</v>
      </c>
      <c r="B73" s="33">
        <v>1071</v>
      </c>
      <c r="C73" s="33" t="s">
        <v>322</v>
      </c>
      <c r="D73" s="33" t="s">
        <v>806</v>
      </c>
      <c r="E73" s="33" t="s">
        <v>507</v>
      </c>
      <c r="F73" s="33" t="s">
        <v>542</v>
      </c>
      <c r="G73" s="117">
        <v>1.5</v>
      </c>
      <c r="H73" s="34">
        <v>29662</v>
      </c>
      <c r="I73" s="34">
        <v>29876</v>
      </c>
      <c r="J73" s="34">
        <v>29876</v>
      </c>
      <c r="K73" s="34">
        <v>36069</v>
      </c>
      <c r="L73" s="34">
        <v>30956</v>
      </c>
      <c r="M73" s="34">
        <v>29706</v>
      </c>
      <c r="N73" s="113">
        <v>14</v>
      </c>
      <c r="O73" s="200">
        <v>14005217.189999999</v>
      </c>
      <c r="P73" s="200">
        <v>14005217.189999999</v>
      </c>
      <c r="Q73" s="200">
        <v>5855217.1900000004</v>
      </c>
      <c r="R73" s="201">
        <v>4047200.31</v>
      </c>
      <c r="S73" s="33" t="s">
        <v>22</v>
      </c>
      <c r="T73" s="33" t="s">
        <v>22</v>
      </c>
      <c r="U73" s="33" t="s">
        <v>203</v>
      </c>
      <c r="V73" s="33"/>
      <c r="W73" s="33" t="s">
        <v>209</v>
      </c>
      <c r="X73" s="33" t="s">
        <v>210</v>
      </c>
      <c r="Y73" s="33" t="s">
        <v>209</v>
      </c>
      <c r="Z73" s="33" t="s">
        <v>209</v>
      </c>
      <c r="AA73" s="35" t="str">
        <f>_xlfn.IFNA(VLOOKUP(E73,'Lookup Table'!$J$33:$K$176,2,0),"B3")</f>
        <v>B2</v>
      </c>
      <c r="AB73" s="35">
        <f>_xlfn.IFNA(VLOOKUP($AA73,'Rating Lookup'!$B$2:$I$27,8,0),15)</f>
        <v>15</v>
      </c>
      <c r="AC73" s="35">
        <f>_xlfn.IFNA(VLOOKUP(E73,'Lookup Table'!$M$33:$N$173,2,0),"B3")</f>
        <v>0</v>
      </c>
      <c r="AD73" s="35">
        <f>_xlfn.IFNA(VLOOKUP($AC73,'Rating Lookup'!$B$2:$I$27,8,0),15)</f>
        <v>15</v>
      </c>
      <c r="AE73" s="35">
        <f t="shared" si="24"/>
        <v>0</v>
      </c>
      <c r="AG73" s="35" t="str">
        <f t="shared" si="25"/>
        <v>KIGALI INTERNATIONAL AIRPORT</v>
      </c>
      <c r="AH73" s="35" t="str">
        <f t="shared" si="26"/>
        <v>Government Loan</v>
      </c>
      <c r="AI73" s="202">
        <f>'ECL Calculation'!$B$1</f>
        <v>43465</v>
      </c>
      <c r="AJ73" s="202">
        <f t="shared" si="27"/>
        <v>30956</v>
      </c>
      <c r="AK73" s="202">
        <f t="shared" si="28"/>
        <v>29706</v>
      </c>
      <c r="AL73" s="127">
        <f t="shared" si="29"/>
        <v>14</v>
      </c>
      <c r="AM73" s="192">
        <f>IF(AND(IF(ISBLANK(K73),EOMONTH(AJ73,AL73*12),K73)&lt;'ECL Calculation'!$B$1,SUM('Input Sheet'!Q73,'Input Sheet'!R73)&gt;0),EOMONTH('ECL Calculation'!$B$1,12*5),IF(ISBLANK(K73),EOMONTH(AJ73,AL73*12),K73))</f>
        <v>45291</v>
      </c>
      <c r="AN73" s="203">
        <f t="shared" si="30"/>
        <v>14005217.189999999</v>
      </c>
      <c r="AO73" s="203">
        <f t="shared" si="31"/>
        <v>14005217.189999999</v>
      </c>
      <c r="AP73" s="203">
        <f t="shared" si="32"/>
        <v>0</v>
      </c>
      <c r="AQ73" s="126">
        <f>VLOOKUP(U73,'Lookup Table'!$B$2:$C$10,2,0)</f>
        <v>1</v>
      </c>
      <c r="AR73" s="127">
        <f>VLOOKUP(S73,'Lookup Table'!$B$2:$C$9,2,0)</f>
        <v>2</v>
      </c>
      <c r="AS73" s="127">
        <f>VLOOKUP(T73,'Lookup Table'!$B$2:$C$9,2,0)</f>
        <v>2</v>
      </c>
      <c r="AT73" s="136">
        <f t="shared" si="33"/>
        <v>5855217.1900000004</v>
      </c>
      <c r="AU73" s="128">
        <f t="shared" si="34"/>
        <v>1.4999999999999999E-2</v>
      </c>
      <c r="AV73" s="136">
        <f t="shared" si="35"/>
        <v>4047200.31</v>
      </c>
      <c r="AW73" s="37" t="str">
        <f t="shared" si="36"/>
        <v>B2</v>
      </c>
      <c r="AX73" s="128">
        <f>VLOOKUP(E73,'Lookup Table'!$B$12:$C$82,2,0)</f>
        <v>1.4999999999999999E-2</v>
      </c>
      <c r="AY73" s="128">
        <f>'Lookup Table'!$E$3</f>
        <v>0.45</v>
      </c>
      <c r="AZ73" s="129" t="str">
        <f t="shared" si="37"/>
        <v>Rwanda</v>
      </c>
      <c r="BA73" s="37">
        <f>VLOOKUP(AA73,'Lookup Table'!$J$3:$K$27,2,0)</f>
        <v>1</v>
      </c>
      <c r="BB73" s="37">
        <f t="shared" si="38"/>
        <v>1</v>
      </c>
      <c r="BC73" s="37">
        <f t="shared" si="39"/>
        <v>2</v>
      </c>
      <c r="BD73" s="37">
        <f>IF(AND(K73&lt;'ECL Calculation'!$B$1,'Input Sheet'!W73="No"),3,IF(X73="Yes",2,1))</f>
        <v>1</v>
      </c>
      <c r="BE73" s="37">
        <f t="shared" si="40"/>
        <v>3</v>
      </c>
      <c r="BF73" s="37" t="str">
        <f t="shared" si="41"/>
        <v>Stage 3</v>
      </c>
      <c r="BG73" s="37" t="str">
        <f t="shared" si="42"/>
        <v>Yes</v>
      </c>
    </row>
    <row r="74" spans="1:59" x14ac:dyDescent="0.2">
      <c r="A74" s="35">
        <f t="shared" si="43"/>
        <v>72</v>
      </c>
      <c r="B74" s="33">
        <v>1072</v>
      </c>
      <c r="C74" s="33" t="s">
        <v>323</v>
      </c>
      <c r="D74" s="33" t="s">
        <v>806</v>
      </c>
      <c r="E74" s="33" t="s">
        <v>485</v>
      </c>
      <c r="F74" s="33" t="s">
        <v>542</v>
      </c>
      <c r="G74" s="117">
        <v>2.5</v>
      </c>
      <c r="H74" s="34">
        <v>29933</v>
      </c>
      <c r="I74" s="34">
        <v>29752</v>
      </c>
      <c r="J74" s="34">
        <v>30077</v>
      </c>
      <c r="K74" s="34">
        <v>37165</v>
      </c>
      <c r="L74" s="34">
        <v>31868</v>
      </c>
      <c r="M74" s="34">
        <v>29706</v>
      </c>
      <c r="N74" s="113">
        <v>15</v>
      </c>
      <c r="O74" s="200">
        <v>30000000</v>
      </c>
      <c r="P74" s="200">
        <v>30000000</v>
      </c>
      <c r="Q74" s="200">
        <v>0</v>
      </c>
      <c r="R74" s="201">
        <v>0</v>
      </c>
      <c r="S74" s="33" t="s">
        <v>22</v>
      </c>
      <c r="T74" s="33" t="s">
        <v>22</v>
      </c>
      <c r="U74" s="33" t="s">
        <v>203</v>
      </c>
      <c r="V74" s="33"/>
      <c r="W74" s="33" t="s">
        <v>210</v>
      </c>
      <c r="X74" s="33" t="s">
        <v>210</v>
      </c>
      <c r="Y74" s="33"/>
      <c r="Z74" s="33" t="s">
        <v>209</v>
      </c>
      <c r="AA74" s="35" t="str">
        <f>_xlfn.IFNA(VLOOKUP(E74,'Lookup Table'!$J$33:$K$176,2,0),"B3")</f>
        <v>B3</v>
      </c>
      <c r="AB74" s="35">
        <f>_xlfn.IFNA(VLOOKUP($AA74,'Rating Lookup'!$B$2:$I$27,8,0),15)</f>
        <v>16</v>
      </c>
      <c r="AC74" s="35">
        <f>_xlfn.IFNA(VLOOKUP(E74,'Lookup Table'!$M$33:$N$173,2,0),"B3")</f>
        <v>0</v>
      </c>
      <c r="AD74" s="35">
        <f>_xlfn.IFNA(VLOOKUP($AC74,'Rating Lookup'!$B$2:$I$27,8,0),15)</f>
        <v>15</v>
      </c>
      <c r="AE74" s="35">
        <f t="shared" si="24"/>
        <v>1</v>
      </c>
      <c r="AG74" s="35" t="str">
        <f t="shared" si="25"/>
        <v>SEVARE-GAO ROAD</v>
      </c>
      <c r="AH74" s="35" t="str">
        <f t="shared" si="26"/>
        <v>Government Loan</v>
      </c>
      <c r="AI74" s="202">
        <f>'ECL Calculation'!$B$1</f>
        <v>43465</v>
      </c>
      <c r="AJ74" s="202">
        <f t="shared" si="27"/>
        <v>31868</v>
      </c>
      <c r="AK74" s="202">
        <f t="shared" si="28"/>
        <v>29706</v>
      </c>
      <c r="AL74" s="127">
        <f t="shared" si="29"/>
        <v>15</v>
      </c>
      <c r="AM74" s="192">
        <f>IF(AND(IF(ISBLANK(K74),EOMONTH(AJ74,AL74*12),K74)&lt;'ECL Calculation'!$B$1,SUM('Input Sheet'!Q74,'Input Sheet'!R74)&gt;0),EOMONTH('ECL Calculation'!$B$1,12*5),IF(ISBLANK(K74),EOMONTH(AJ74,AL74*12),K74))</f>
        <v>37165</v>
      </c>
      <c r="AN74" s="203">
        <f t="shared" si="30"/>
        <v>30000000</v>
      </c>
      <c r="AO74" s="203">
        <f t="shared" si="31"/>
        <v>30000000</v>
      </c>
      <c r="AP74" s="203">
        <f t="shared" si="32"/>
        <v>0</v>
      </c>
      <c r="AQ74" s="126">
        <f>VLOOKUP(U74,'Lookup Table'!$B$2:$C$10,2,0)</f>
        <v>1</v>
      </c>
      <c r="AR74" s="127">
        <f>VLOOKUP(S74,'Lookup Table'!$B$2:$C$9,2,0)</f>
        <v>2</v>
      </c>
      <c r="AS74" s="127">
        <f>VLOOKUP(T74,'Lookup Table'!$B$2:$C$9,2,0)</f>
        <v>2</v>
      </c>
      <c r="AT74" s="136">
        <f t="shared" si="33"/>
        <v>0</v>
      </c>
      <c r="AU74" s="128">
        <f t="shared" si="34"/>
        <v>2.5000000000000001E-2</v>
      </c>
      <c r="AV74" s="136">
        <f t="shared" si="35"/>
        <v>0</v>
      </c>
      <c r="AW74" s="37" t="str">
        <f t="shared" si="36"/>
        <v>B3</v>
      </c>
      <c r="AX74" s="128">
        <f>VLOOKUP(E74,'Lookup Table'!$B$12:$C$82,2,0)</f>
        <v>2.2000000000000002E-2</v>
      </c>
      <c r="AY74" s="128">
        <f>'Lookup Table'!$E$3</f>
        <v>0.45</v>
      </c>
      <c r="AZ74" s="129" t="str">
        <f t="shared" si="37"/>
        <v>Mali</v>
      </c>
      <c r="BA74" s="37">
        <f>VLOOKUP(AA74,'Lookup Table'!$J$3:$K$27,2,0)</f>
        <v>1</v>
      </c>
      <c r="BB74" s="37">
        <f t="shared" si="38"/>
        <v>2</v>
      </c>
      <c r="BC74" s="37">
        <f t="shared" si="39"/>
        <v>1</v>
      </c>
      <c r="BD74" s="37">
        <f>IF(AND(K74&lt;'ECL Calculation'!$B$1,'Input Sheet'!W74="No"),3,IF(X74="Yes",2,1))</f>
        <v>3</v>
      </c>
      <c r="BE74" s="37">
        <f t="shared" si="40"/>
        <v>1</v>
      </c>
      <c r="BF74" s="37" t="str">
        <f t="shared" si="41"/>
        <v>Stage 3</v>
      </c>
      <c r="BG74" s="37" t="str">
        <f t="shared" si="42"/>
        <v>No</v>
      </c>
    </row>
    <row r="75" spans="1:59" x14ac:dyDescent="0.2">
      <c r="A75" s="35">
        <f t="shared" si="43"/>
        <v>73</v>
      </c>
      <c r="B75" s="33">
        <v>1073</v>
      </c>
      <c r="C75" s="33" t="s">
        <v>324</v>
      </c>
      <c r="D75" s="33" t="s">
        <v>806</v>
      </c>
      <c r="E75" s="33" t="s">
        <v>508</v>
      </c>
      <c r="F75" s="33" t="s">
        <v>542</v>
      </c>
      <c r="G75" s="117">
        <v>4</v>
      </c>
      <c r="H75" s="34">
        <v>29934</v>
      </c>
      <c r="I75" s="34">
        <v>30073</v>
      </c>
      <c r="J75" s="34">
        <v>30073</v>
      </c>
      <c r="K75" s="34">
        <v>36220</v>
      </c>
      <c r="L75" s="34">
        <v>31472</v>
      </c>
      <c r="M75" s="34">
        <v>29706</v>
      </c>
      <c r="N75" s="113">
        <v>13</v>
      </c>
      <c r="O75" s="200">
        <v>35014316.229999997</v>
      </c>
      <c r="P75" s="200">
        <v>35014316.229999997</v>
      </c>
      <c r="Q75" s="200">
        <v>35014316.229999997</v>
      </c>
      <c r="R75" s="201">
        <v>46564214.939999998</v>
      </c>
      <c r="S75" s="33" t="s">
        <v>22</v>
      </c>
      <c r="T75" s="33" t="s">
        <v>22</v>
      </c>
      <c r="U75" s="33" t="s">
        <v>203</v>
      </c>
      <c r="V75" s="33"/>
      <c r="W75" s="33" t="s">
        <v>210</v>
      </c>
      <c r="X75" s="33" t="s">
        <v>209</v>
      </c>
      <c r="Y75" s="33" t="s">
        <v>209</v>
      </c>
      <c r="Z75" s="33" t="s">
        <v>209</v>
      </c>
      <c r="AA75" s="35" t="str">
        <f>_xlfn.IFNA(VLOOKUP(E75,'Lookup Table'!$J$33:$K$176,2,0),"B3")</f>
        <v>B3</v>
      </c>
      <c r="AB75" s="35">
        <f>_xlfn.IFNA(VLOOKUP($AA75,'Rating Lookup'!$B$2:$I$27,8,0),15)</f>
        <v>16</v>
      </c>
      <c r="AC75" s="35" t="str">
        <f>_xlfn.IFNA(VLOOKUP(E75,'Lookup Table'!$M$33:$N$173,2,0),"B3")</f>
        <v>B3</v>
      </c>
      <c r="AD75" s="35">
        <f>_xlfn.IFNA(VLOOKUP($AC75,'Rating Lookup'!$B$2:$I$27,8,0),15)</f>
        <v>16</v>
      </c>
      <c r="AE75" s="35">
        <f t="shared" si="24"/>
        <v>0</v>
      </c>
      <c r="AG75" s="35" t="str">
        <f t="shared" si="25"/>
        <v>CONGO RAILWAY RE-ALI.</v>
      </c>
      <c r="AH75" s="35" t="str">
        <f t="shared" si="26"/>
        <v>Government Loan</v>
      </c>
      <c r="AI75" s="202">
        <f>'ECL Calculation'!$B$1</f>
        <v>43465</v>
      </c>
      <c r="AJ75" s="202">
        <f t="shared" si="27"/>
        <v>31472</v>
      </c>
      <c r="AK75" s="202">
        <f t="shared" si="28"/>
        <v>29706</v>
      </c>
      <c r="AL75" s="127">
        <f t="shared" si="29"/>
        <v>13</v>
      </c>
      <c r="AM75" s="192">
        <f>IF(AND(IF(ISBLANK(K75),EOMONTH(AJ75,AL75*12),K75)&lt;'ECL Calculation'!$B$1,SUM('Input Sheet'!Q75,'Input Sheet'!R75)&gt;0),EOMONTH('ECL Calculation'!$B$1,12*5),IF(ISBLANK(K75),EOMONTH(AJ75,AL75*12),K75))</f>
        <v>45291</v>
      </c>
      <c r="AN75" s="203">
        <f t="shared" si="30"/>
        <v>35014316.229999997</v>
      </c>
      <c r="AO75" s="203">
        <f t="shared" si="31"/>
        <v>35014316.229999997</v>
      </c>
      <c r="AP75" s="203">
        <f t="shared" si="32"/>
        <v>0</v>
      </c>
      <c r="AQ75" s="126">
        <f>VLOOKUP(U75,'Lookup Table'!$B$2:$C$10,2,0)</f>
        <v>1</v>
      </c>
      <c r="AR75" s="127">
        <f>VLOOKUP(S75,'Lookup Table'!$B$2:$C$9,2,0)</f>
        <v>2</v>
      </c>
      <c r="AS75" s="127">
        <f>VLOOKUP(T75,'Lookup Table'!$B$2:$C$9,2,0)</f>
        <v>2</v>
      </c>
      <c r="AT75" s="136">
        <f t="shared" si="33"/>
        <v>35014316.229999997</v>
      </c>
      <c r="AU75" s="128">
        <f t="shared" si="34"/>
        <v>0.04</v>
      </c>
      <c r="AV75" s="136">
        <f t="shared" si="35"/>
        <v>46564214.939999998</v>
      </c>
      <c r="AW75" s="37" t="str">
        <f t="shared" si="36"/>
        <v>B3</v>
      </c>
      <c r="AX75" s="128">
        <f>VLOOKUP(E75,'Lookup Table'!$B$12:$C$82,2,0)</f>
        <v>0.04</v>
      </c>
      <c r="AY75" s="128">
        <f>'Lookup Table'!$E$3</f>
        <v>0.45</v>
      </c>
      <c r="AZ75" s="129" t="str">
        <f t="shared" si="37"/>
        <v>Congo</v>
      </c>
      <c r="BA75" s="37">
        <f>VLOOKUP(AA75,'Lookup Table'!$J$3:$K$27,2,0)</f>
        <v>1</v>
      </c>
      <c r="BB75" s="37">
        <f t="shared" si="38"/>
        <v>1</v>
      </c>
      <c r="BC75" s="37">
        <f t="shared" si="39"/>
        <v>1</v>
      </c>
      <c r="BD75" s="37">
        <f>IF(AND(K75&lt;'ECL Calculation'!$B$1,'Input Sheet'!W75="No"),3,IF(X75="Yes",2,1))</f>
        <v>3</v>
      </c>
      <c r="BE75" s="37">
        <f t="shared" si="40"/>
        <v>3</v>
      </c>
      <c r="BF75" s="37" t="str">
        <f t="shared" si="41"/>
        <v>Stage 3</v>
      </c>
      <c r="BG75" s="37" t="str">
        <f t="shared" si="42"/>
        <v>Yes</v>
      </c>
    </row>
    <row r="76" spans="1:59" x14ac:dyDescent="0.2">
      <c r="A76" s="35">
        <f t="shared" si="43"/>
        <v>74</v>
      </c>
      <c r="B76" s="33">
        <v>1074</v>
      </c>
      <c r="C76" s="33" t="s">
        <v>325</v>
      </c>
      <c r="D76" s="33" t="s">
        <v>806</v>
      </c>
      <c r="E76" s="33" t="s">
        <v>509</v>
      </c>
      <c r="F76" s="33" t="s">
        <v>542</v>
      </c>
      <c r="G76" s="117">
        <v>3.5</v>
      </c>
      <c r="H76" s="34">
        <v>29936</v>
      </c>
      <c r="I76" s="34">
        <v>29830</v>
      </c>
      <c r="J76" s="34">
        <v>30018</v>
      </c>
      <c r="K76" s="34">
        <v>35065</v>
      </c>
      <c r="L76" s="34">
        <v>31413</v>
      </c>
      <c r="M76" s="34">
        <v>30071</v>
      </c>
      <c r="N76" s="113">
        <v>10</v>
      </c>
      <c r="O76" s="200">
        <v>66475666.399999999</v>
      </c>
      <c r="P76" s="200">
        <v>66475666.399999999</v>
      </c>
      <c r="Q76" s="200">
        <v>0</v>
      </c>
      <c r="R76" s="201">
        <v>0</v>
      </c>
      <c r="S76" s="33" t="s">
        <v>22</v>
      </c>
      <c r="T76" s="33" t="s">
        <v>22</v>
      </c>
      <c r="U76" s="33" t="s">
        <v>203</v>
      </c>
      <c r="V76" s="33"/>
      <c r="W76" s="33" t="s">
        <v>210</v>
      </c>
      <c r="X76" s="33" t="s">
        <v>210</v>
      </c>
      <c r="Y76" s="33"/>
      <c r="Z76" s="33" t="s">
        <v>209</v>
      </c>
      <c r="AA76" s="35" t="str">
        <f>_xlfn.IFNA(VLOOKUP(E76,'Lookup Table'!$J$33:$K$176,2,0),"B3")</f>
        <v>B3</v>
      </c>
      <c r="AB76" s="35">
        <f>_xlfn.IFNA(VLOOKUP($AA76,'Rating Lookup'!$B$2:$I$27,8,0),15)</f>
        <v>16</v>
      </c>
      <c r="AC76" s="35" t="str">
        <f>_xlfn.IFNA(VLOOKUP(E76,'Lookup Table'!$M$33:$N$173,2,0),"B3")</f>
        <v>Caa1</v>
      </c>
      <c r="AD76" s="35">
        <f>_xlfn.IFNA(VLOOKUP($AC76,'Rating Lookup'!$B$2:$I$27,8,0),15)</f>
        <v>17</v>
      </c>
      <c r="AE76" s="35">
        <f t="shared" si="24"/>
        <v>0</v>
      </c>
      <c r="AG76" s="35" t="str">
        <f t="shared" si="25"/>
        <v>TARBELA DAM</v>
      </c>
      <c r="AH76" s="35" t="str">
        <f t="shared" si="26"/>
        <v>Government Loan</v>
      </c>
      <c r="AI76" s="202">
        <f>'ECL Calculation'!$B$1</f>
        <v>43465</v>
      </c>
      <c r="AJ76" s="202">
        <f t="shared" si="27"/>
        <v>31413</v>
      </c>
      <c r="AK76" s="202">
        <f t="shared" si="28"/>
        <v>30071</v>
      </c>
      <c r="AL76" s="127">
        <f t="shared" si="29"/>
        <v>10</v>
      </c>
      <c r="AM76" s="192">
        <f>IF(AND(IF(ISBLANK(K76),EOMONTH(AJ76,AL76*12),K76)&lt;'ECL Calculation'!$B$1,SUM('Input Sheet'!Q76,'Input Sheet'!R76)&gt;0),EOMONTH('ECL Calculation'!$B$1,12*5),IF(ISBLANK(K76),EOMONTH(AJ76,AL76*12),K76))</f>
        <v>35065</v>
      </c>
      <c r="AN76" s="203">
        <f t="shared" si="30"/>
        <v>66475666.399999999</v>
      </c>
      <c r="AO76" s="203">
        <f t="shared" si="31"/>
        <v>66475666.399999999</v>
      </c>
      <c r="AP76" s="203">
        <f t="shared" si="32"/>
        <v>0</v>
      </c>
      <c r="AQ76" s="126">
        <f>VLOOKUP(U76,'Lookup Table'!$B$2:$C$10,2,0)</f>
        <v>1</v>
      </c>
      <c r="AR76" s="127">
        <f>VLOOKUP(S76,'Lookup Table'!$B$2:$C$9,2,0)</f>
        <v>2</v>
      </c>
      <c r="AS76" s="127">
        <f>VLOOKUP(T76,'Lookup Table'!$B$2:$C$9,2,0)</f>
        <v>2</v>
      </c>
      <c r="AT76" s="136">
        <f t="shared" si="33"/>
        <v>0</v>
      </c>
      <c r="AU76" s="128">
        <f t="shared" si="34"/>
        <v>3.5000000000000003E-2</v>
      </c>
      <c r="AV76" s="136">
        <f t="shared" si="35"/>
        <v>0</v>
      </c>
      <c r="AW76" s="37" t="str">
        <f t="shared" si="36"/>
        <v>B3</v>
      </c>
      <c r="AX76" s="128">
        <f>VLOOKUP(E76,'Lookup Table'!$B$12:$C$82,2,0)</f>
        <v>3.5000000000000003E-2</v>
      </c>
      <c r="AY76" s="128">
        <f>'Lookup Table'!$E$3</f>
        <v>0.45</v>
      </c>
      <c r="AZ76" s="129" t="str">
        <f t="shared" si="37"/>
        <v>Pakistan</v>
      </c>
      <c r="BA76" s="37">
        <f>VLOOKUP(AA76,'Lookup Table'!$J$3:$K$27,2,0)</f>
        <v>1</v>
      </c>
      <c r="BB76" s="37">
        <f t="shared" si="38"/>
        <v>1</v>
      </c>
      <c r="BC76" s="37">
        <f t="shared" si="39"/>
        <v>1</v>
      </c>
      <c r="BD76" s="37">
        <f>IF(AND(K76&lt;'ECL Calculation'!$B$1,'Input Sheet'!W76="No"),3,IF(X76="Yes",2,1))</f>
        <v>3</v>
      </c>
      <c r="BE76" s="37">
        <f t="shared" si="40"/>
        <v>1</v>
      </c>
      <c r="BF76" s="37" t="str">
        <f t="shared" si="41"/>
        <v>Stage 3</v>
      </c>
      <c r="BG76" s="37" t="str">
        <f t="shared" si="42"/>
        <v>No</v>
      </c>
    </row>
    <row r="77" spans="1:59" x14ac:dyDescent="0.2">
      <c r="A77" s="35">
        <f t="shared" si="43"/>
        <v>75</v>
      </c>
      <c r="B77" s="33">
        <v>1075</v>
      </c>
      <c r="C77" s="33" t="s">
        <v>326</v>
      </c>
      <c r="D77" s="33" t="s">
        <v>806</v>
      </c>
      <c r="E77" s="33" t="s">
        <v>497</v>
      </c>
      <c r="F77" s="33" t="s">
        <v>542</v>
      </c>
      <c r="G77" s="117">
        <v>3</v>
      </c>
      <c r="H77" s="34">
        <v>29937</v>
      </c>
      <c r="I77" s="34">
        <v>29221</v>
      </c>
      <c r="J77" s="34">
        <v>30006</v>
      </c>
      <c r="K77" s="34">
        <v>34213</v>
      </c>
      <c r="L77" s="34">
        <v>30742</v>
      </c>
      <c r="M77" s="34">
        <v>29677</v>
      </c>
      <c r="N77" s="113">
        <v>10</v>
      </c>
      <c r="O77" s="200">
        <v>19429700.93</v>
      </c>
      <c r="P77" s="200">
        <v>19429700.93</v>
      </c>
      <c r="Q77" s="200">
        <v>0</v>
      </c>
      <c r="R77" s="201">
        <v>0</v>
      </c>
      <c r="S77" s="33" t="s">
        <v>22</v>
      </c>
      <c r="T77" s="33" t="s">
        <v>22</v>
      </c>
      <c r="U77" s="33" t="s">
        <v>203</v>
      </c>
      <c r="V77" s="33"/>
      <c r="W77" s="33" t="s">
        <v>210</v>
      </c>
      <c r="X77" s="33" t="s">
        <v>210</v>
      </c>
      <c r="Y77" s="33"/>
      <c r="Z77" s="33" t="s">
        <v>209</v>
      </c>
      <c r="AA77" s="35" t="str">
        <f>_xlfn.IFNA(VLOOKUP(E77,'Lookup Table'!$J$33:$K$176,2,0),"B3")</f>
        <v>A3</v>
      </c>
      <c r="AB77" s="35">
        <f>_xlfn.IFNA(VLOOKUP($AA77,'Rating Lookup'!$B$2:$I$27,8,0),15)</f>
        <v>7</v>
      </c>
      <c r="AC77" s="35" t="str">
        <f>_xlfn.IFNA(VLOOKUP(E77,'Lookup Table'!$M$33:$N$173,2,0),"B3")</f>
        <v>A3</v>
      </c>
      <c r="AD77" s="35">
        <f>_xlfn.IFNA(VLOOKUP($AC77,'Rating Lookup'!$B$2:$I$27,8,0),15)</f>
        <v>7</v>
      </c>
      <c r="AE77" s="35">
        <f t="shared" si="24"/>
        <v>0</v>
      </c>
      <c r="AG77" s="35" t="str">
        <f t="shared" si="25"/>
        <v>MALTA ELECTRICITY</v>
      </c>
      <c r="AH77" s="35" t="str">
        <f t="shared" si="26"/>
        <v>Government Loan</v>
      </c>
      <c r="AI77" s="202">
        <f>'ECL Calculation'!$B$1</f>
        <v>43465</v>
      </c>
      <c r="AJ77" s="202">
        <f t="shared" si="27"/>
        <v>30742</v>
      </c>
      <c r="AK77" s="202">
        <f t="shared" si="28"/>
        <v>29677</v>
      </c>
      <c r="AL77" s="127">
        <f t="shared" si="29"/>
        <v>10</v>
      </c>
      <c r="AM77" s="192">
        <f>IF(AND(IF(ISBLANK(K77),EOMONTH(AJ77,AL77*12),K77)&lt;'ECL Calculation'!$B$1,SUM('Input Sheet'!Q77,'Input Sheet'!R77)&gt;0),EOMONTH('ECL Calculation'!$B$1,12*5),IF(ISBLANK(K77),EOMONTH(AJ77,AL77*12),K77))</f>
        <v>34213</v>
      </c>
      <c r="AN77" s="203">
        <f t="shared" si="30"/>
        <v>19429700.93</v>
      </c>
      <c r="AO77" s="203">
        <f t="shared" si="31"/>
        <v>19429700.93</v>
      </c>
      <c r="AP77" s="203">
        <f t="shared" si="32"/>
        <v>0</v>
      </c>
      <c r="AQ77" s="126">
        <f>VLOOKUP(U77,'Lookup Table'!$B$2:$C$10,2,0)</f>
        <v>1</v>
      </c>
      <c r="AR77" s="127">
        <f>VLOOKUP(S77,'Lookup Table'!$B$2:$C$9,2,0)</f>
        <v>2</v>
      </c>
      <c r="AS77" s="127">
        <f>VLOOKUP(T77,'Lookup Table'!$B$2:$C$9,2,0)</f>
        <v>2</v>
      </c>
      <c r="AT77" s="136">
        <f t="shared" si="33"/>
        <v>0</v>
      </c>
      <c r="AU77" s="128">
        <f t="shared" si="34"/>
        <v>0.03</v>
      </c>
      <c r="AV77" s="136">
        <f t="shared" si="35"/>
        <v>0</v>
      </c>
      <c r="AW77" s="37" t="str">
        <f t="shared" si="36"/>
        <v>A3</v>
      </c>
      <c r="AX77" s="128">
        <f>VLOOKUP(E77,'Lookup Table'!$B$12:$C$82,2,0)</f>
        <v>0.03</v>
      </c>
      <c r="AY77" s="128">
        <f>'Lookup Table'!$E$3</f>
        <v>0.45</v>
      </c>
      <c r="AZ77" s="129" t="str">
        <f t="shared" si="37"/>
        <v>Malta</v>
      </c>
      <c r="BA77" s="37">
        <f>VLOOKUP(AA77,'Lookup Table'!$J$3:$K$27,2,0)</f>
        <v>1</v>
      </c>
      <c r="BB77" s="37">
        <f t="shared" si="38"/>
        <v>1</v>
      </c>
      <c r="BC77" s="37">
        <f t="shared" si="39"/>
        <v>1</v>
      </c>
      <c r="BD77" s="37">
        <f>IF(AND(K77&lt;'ECL Calculation'!$B$1,'Input Sheet'!W77="No"),3,IF(X77="Yes",2,1))</f>
        <v>3</v>
      </c>
      <c r="BE77" s="37">
        <f t="shared" si="40"/>
        <v>1</v>
      </c>
      <c r="BF77" s="37" t="str">
        <f t="shared" si="41"/>
        <v>Stage 3</v>
      </c>
      <c r="BG77" s="37" t="str">
        <f t="shared" si="42"/>
        <v>No</v>
      </c>
    </row>
    <row r="78" spans="1:59" x14ac:dyDescent="0.2">
      <c r="A78" s="35">
        <f t="shared" si="43"/>
        <v>76</v>
      </c>
      <c r="B78" s="33">
        <v>1076</v>
      </c>
      <c r="C78" s="33" t="s">
        <v>327</v>
      </c>
      <c r="D78" s="33" t="s">
        <v>806</v>
      </c>
      <c r="E78" s="33" t="s">
        <v>482</v>
      </c>
      <c r="F78" s="33" t="s">
        <v>542</v>
      </c>
      <c r="G78" s="117">
        <v>4.5</v>
      </c>
      <c r="H78" s="34">
        <v>29957</v>
      </c>
      <c r="I78" s="34">
        <v>30019</v>
      </c>
      <c r="J78" s="34">
        <v>30019</v>
      </c>
      <c r="K78" s="34">
        <v>35338</v>
      </c>
      <c r="L78" s="34">
        <v>31866</v>
      </c>
      <c r="M78" s="34">
        <v>30040</v>
      </c>
      <c r="N78" s="113">
        <v>10</v>
      </c>
      <c r="O78" s="200">
        <v>84934434.549999997</v>
      </c>
      <c r="P78" s="200">
        <v>84934434.549999997</v>
      </c>
      <c r="Q78" s="200">
        <v>0</v>
      </c>
      <c r="R78" s="201">
        <v>0</v>
      </c>
      <c r="S78" s="33" t="s">
        <v>22</v>
      </c>
      <c r="T78" s="33" t="s">
        <v>22</v>
      </c>
      <c r="U78" s="33" t="s">
        <v>203</v>
      </c>
      <c r="V78" s="33"/>
      <c r="W78" s="33" t="s">
        <v>210</v>
      </c>
      <c r="X78" s="33" t="s">
        <v>210</v>
      </c>
      <c r="Y78" s="33"/>
      <c r="Z78" s="33" t="s">
        <v>209</v>
      </c>
      <c r="AA78" s="35" t="str">
        <f>_xlfn.IFNA(VLOOKUP(E78,'Lookup Table'!$J$33:$K$176,2,0),"B3")</f>
        <v>Ba3</v>
      </c>
      <c r="AB78" s="35">
        <f>_xlfn.IFNA(VLOOKUP($AA78,'Rating Lookup'!$B$2:$I$27,8,0),15)</f>
        <v>13</v>
      </c>
      <c r="AC78" s="35" t="str">
        <f>_xlfn.IFNA(VLOOKUP(E78,'Lookup Table'!$M$33:$N$173,2,0),"B3")</f>
        <v>Ba3</v>
      </c>
      <c r="AD78" s="35">
        <f>_xlfn.IFNA(VLOOKUP($AC78,'Rating Lookup'!$B$2:$I$27,8,0),15)</f>
        <v>13</v>
      </c>
      <c r="AE78" s="35">
        <f t="shared" si="24"/>
        <v>0</v>
      </c>
      <c r="AG78" s="35" t="str">
        <f t="shared" si="25"/>
        <v>CHITTA GONG AL UREA FERTILIZER</v>
      </c>
      <c r="AH78" s="35" t="str">
        <f t="shared" si="26"/>
        <v>Government Loan</v>
      </c>
      <c r="AI78" s="202">
        <f>'ECL Calculation'!$B$1</f>
        <v>43465</v>
      </c>
      <c r="AJ78" s="202">
        <f t="shared" si="27"/>
        <v>31866</v>
      </c>
      <c r="AK78" s="202">
        <f t="shared" si="28"/>
        <v>30040</v>
      </c>
      <c r="AL78" s="127">
        <f t="shared" si="29"/>
        <v>10</v>
      </c>
      <c r="AM78" s="192">
        <f>IF(AND(IF(ISBLANK(K78),EOMONTH(AJ78,AL78*12),K78)&lt;'ECL Calculation'!$B$1,SUM('Input Sheet'!Q78,'Input Sheet'!R78)&gt;0),EOMONTH('ECL Calculation'!$B$1,12*5),IF(ISBLANK(K78),EOMONTH(AJ78,AL78*12),K78))</f>
        <v>35338</v>
      </c>
      <c r="AN78" s="203">
        <f t="shared" si="30"/>
        <v>84934434.549999997</v>
      </c>
      <c r="AO78" s="203">
        <f t="shared" si="31"/>
        <v>84934434.549999997</v>
      </c>
      <c r="AP78" s="203">
        <f t="shared" si="32"/>
        <v>0</v>
      </c>
      <c r="AQ78" s="126">
        <f>VLOOKUP(U78,'Lookup Table'!$B$2:$C$10,2,0)</f>
        <v>1</v>
      </c>
      <c r="AR78" s="127">
        <f>VLOOKUP(S78,'Lookup Table'!$B$2:$C$9,2,0)</f>
        <v>2</v>
      </c>
      <c r="AS78" s="127">
        <f>VLOOKUP(T78,'Lookup Table'!$B$2:$C$9,2,0)</f>
        <v>2</v>
      </c>
      <c r="AT78" s="136">
        <f t="shared" si="33"/>
        <v>0</v>
      </c>
      <c r="AU78" s="128">
        <f t="shared" si="34"/>
        <v>4.4999999999999998E-2</v>
      </c>
      <c r="AV78" s="136">
        <f t="shared" si="35"/>
        <v>0</v>
      </c>
      <c r="AW78" s="37" t="str">
        <f t="shared" si="36"/>
        <v>Ba3</v>
      </c>
      <c r="AX78" s="128">
        <f>VLOOKUP(E78,'Lookup Table'!$B$12:$C$82,2,0)</f>
        <v>3.3333333333333333E-2</v>
      </c>
      <c r="AY78" s="128">
        <f>'Lookup Table'!$E$3</f>
        <v>0.45</v>
      </c>
      <c r="AZ78" s="129" t="str">
        <f t="shared" si="37"/>
        <v>Bangladesh</v>
      </c>
      <c r="BA78" s="37">
        <f>VLOOKUP(AA78,'Lookup Table'!$J$3:$K$27,2,0)</f>
        <v>1</v>
      </c>
      <c r="BB78" s="37">
        <f t="shared" si="38"/>
        <v>1</v>
      </c>
      <c r="BC78" s="37">
        <f t="shared" si="39"/>
        <v>1</v>
      </c>
      <c r="BD78" s="37">
        <f>IF(AND(K78&lt;'ECL Calculation'!$B$1,'Input Sheet'!W78="No"),3,IF(X78="Yes",2,1))</f>
        <v>3</v>
      </c>
      <c r="BE78" s="37">
        <f t="shared" si="40"/>
        <v>1</v>
      </c>
      <c r="BF78" s="37" t="str">
        <f t="shared" si="41"/>
        <v>Stage 3</v>
      </c>
      <c r="BG78" s="37" t="str">
        <f t="shared" si="42"/>
        <v>No</v>
      </c>
    </row>
    <row r="79" spans="1:59" x14ac:dyDescent="0.2">
      <c r="A79" s="35">
        <f t="shared" si="43"/>
        <v>77</v>
      </c>
      <c r="B79" s="33">
        <v>1077</v>
      </c>
      <c r="C79" s="33" t="s">
        <v>328</v>
      </c>
      <c r="D79" s="33" t="s">
        <v>806</v>
      </c>
      <c r="E79" s="33" t="s">
        <v>510</v>
      </c>
      <c r="F79" s="33" t="s">
        <v>542</v>
      </c>
      <c r="G79" s="117">
        <v>3.5</v>
      </c>
      <c r="H79" s="34">
        <v>30049</v>
      </c>
      <c r="I79" s="34">
        <v>29952</v>
      </c>
      <c r="J79" s="34">
        <v>30947</v>
      </c>
      <c r="K79" s="34">
        <v>35550</v>
      </c>
      <c r="L79" s="34">
        <v>31350</v>
      </c>
      <c r="M79" s="34">
        <v>30071</v>
      </c>
      <c r="N79" s="113">
        <v>12</v>
      </c>
      <c r="O79" s="200">
        <v>18000000</v>
      </c>
      <c r="P79" s="200">
        <v>18000000</v>
      </c>
      <c r="Q79" s="200">
        <v>0</v>
      </c>
      <c r="R79" s="201">
        <v>0</v>
      </c>
      <c r="S79" s="33" t="s">
        <v>22</v>
      </c>
      <c r="T79" s="33" t="s">
        <v>22</v>
      </c>
      <c r="U79" s="33" t="s">
        <v>203</v>
      </c>
      <c r="V79" s="33"/>
      <c r="W79" s="33" t="s">
        <v>210</v>
      </c>
      <c r="X79" s="33" t="s">
        <v>210</v>
      </c>
      <c r="Y79" s="33"/>
      <c r="Z79" s="33" t="s">
        <v>209</v>
      </c>
      <c r="AA79" s="35" t="str">
        <f>_xlfn.IFNA(VLOOKUP(E79,'Lookup Table'!$J$33:$K$176,2,0),"B3")</f>
        <v>Baa1</v>
      </c>
      <c r="AB79" s="35">
        <f>_xlfn.IFNA(VLOOKUP($AA79,'Rating Lookup'!$B$2:$I$27,8,0),15)</f>
        <v>8</v>
      </c>
      <c r="AC79" s="35" t="str">
        <f>_xlfn.IFNA(VLOOKUP(E79,'Lookup Table'!$M$33:$N$173,2,0),"B3")</f>
        <v>Baa1</v>
      </c>
      <c r="AD79" s="35">
        <f>_xlfn.IFNA(VLOOKUP($AC79,'Rating Lookup'!$B$2:$I$27,8,0),15)</f>
        <v>8</v>
      </c>
      <c r="AE79" s="35">
        <f t="shared" si="24"/>
        <v>0</v>
      </c>
      <c r="AG79" s="35" t="str">
        <f t="shared" si="25"/>
        <v>MARE-AUX VACOAS W.S</v>
      </c>
      <c r="AH79" s="35" t="str">
        <f t="shared" si="26"/>
        <v>Government Loan</v>
      </c>
      <c r="AI79" s="202">
        <f>'ECL Calculation'!$B$1</f>
        <v>43465</v>
      </c>
      <c r="AJ79" s="202">
        <f t="shared" si="27"/>
        <v>31350</v>
      </c>
      <c r="AK79" s="202">
        <f t="shared" si="28"/>
        <v>30071</v>
      </c>
      <c r="AL79" s="127">
        <f t="shared" si="29"/>
        <v>12</v>
      </c>
      <c r="AM79" s="192">
        <f>IF(AND(IF(ISBLANK(K79),EOMONTH(AJ79,AL79*12),K79)&lt;'ECL Calculation'!$B$1,SUM('Input Sheet'!Q79,'Input Sheet'!R79)&gt;0),EOMONTH('ECL Calculation'!$B$1,12*5),IF(ISBLANK(K79),EOMONTH(AJ79,AL79*12),K79))</f>
        <v>35550</v>
      </c>
      <c r="AN79" s="203">
        <f t="shared" si="30"/>
        <v>18000000</v>
      </c>
      <c r="AO79" s="203">
        <f t="shared" si="31"/>
        <v>18000000</v>
      </c>
      <c r="AP79" s="203">
        <f t="shared" si="32"/>
        <v>0</v>
      </c>
      <c r="AQ79" s="126">
        <f>VLOOKUP(U79,'Lookup Table'!$B$2:$C$10,2,0)</f>
        <v>1</v>
      </c>
      <c r="AR79" s="127">
        <f>VLOOKUP(S79,'Lookup Table'!$B$2:$C$9,2,0)</f>
        <v>2</v>
      </c>
      <c r="AS79" s="127">
        <f>VLOOKUP(T79,'Lookup Table'!$B$2:$C$9,2,0)</f>
        <v>2</v>
      </c>
      <c r="AT79" s="136">
        <f t="shared" si="33"/>
        <v>0</v>
      </c>
      <c r="AU79" s="128">
        <f t="shared" si="34"/>
        <v>3.5000000000000003E-2</v>
      </c>
      <c r="AV79" s="136">
        <f t="shared" si="35"/>
        <v>0</v>
      </c>
      <c r="AW79" s="37" t="str">
        <f t="shared" si="36"/>
        <v>Baa1</v>
      </c>
      <c r="AX79" s="128">
        <f>VLOOKUP(E79,'Lookup Table'!$B$12:$C$82,2,0)</f>
        <v>3.5000000000000003E-2</v>
      </c>
      <c r="AY79" s="128">
        <f>'Lookup Table'!$E$3</f>
        <v>0.45</v>
      </c>
      <c r="AZ79" s="129" t="str">
        <f t="shared" si="37"/>
        <v>Mauritius</v>
      </c>
      <c r="BA79" s="37">
        <f>VLOOKUP(AA79,'Lookup Table'!$J$3:$K$27,2,0)</f>
        <v>1</v>
      </c>
      <c r="BB79" s="37">
        <f t="shared" si="38"/>
        <v>1</v>
      </c>
      <c r="BC79" s="37">
        <f t="shared" si="39"/>
        <v>1</v>
      </c>
      <c r="BD79" s="37">
        <f>IF(AND(K79&lt;'ECL Calculation'!$B$1,'Input Sheet'!W79="No"),3,IF(X79="Yes",2,1))</f>
        <v>3</v>
      </c>
      <c r="BE79" s="37">
        <f t="shared" si="40"/>
        <v>1</v>
      </c>
      <c r="BF79" s="37" t="str">
        <f t="shared" si="41"/>
        <v>Stage 3</v>
      </c>
      <c r="BG79" s="37" t="str">
        <f t="shared" si="42"/>
        <v>No</v>
      </c>
    </row>
    <row r="80" spans="1:59" x14ac:dyDescent="0.2">
      <c r="A80" s="35">
        <f t="shared" si="43"/>
        <v>78</v>
      </c>
      <c r="B80" s="33">
        <v>1078</v>
      </c>
      <c r="C80" s="33" t="s">
        <v>329</v>
      </c>
      <c r="D80" s="33" t="s">
        <v>806</v>
      </c>
      <c r="E80" s="33" t="s">
        <v>481</v>
      </c>
      <c r="F80" s="33" t="s">
        <v>542</v>
      </c>
      <c r="G80" s="117">
        <v>3.5</v>
      </c>
      <c r="H80" s="34">
        <v>30081</v>
      </c>
      <c r="I80" s="34">
        <v>30258</v>
      </c>
      <c r="J80" s="34">
        <v>30258</v>
      </c>
      <c r="K80" s="34">
        <v>36280</v>
      </c>
      <c r="L80" s="34">
        <v>32811</v>
      </c>
      <c r="M80" s="34">
        <v>30071</v>
      </c>
      <c r="N80" s="113">
        <v>10</v>
      </c>
      <c r="O80" s="200">
        <v>20000000</v>
      </c>
      <c r="P80" s="200">
        <v>20000000</v>
      </c>
      <c r="Q80" s="200">
        <v>2130000</v>
      </c>
      <c r="R80" s="201">
        <v>1071412.6000000001</v>
      </c>
      <c r="S80" s="33" t="s">
        <v>22</v>
      </c>
      <c r="T80" s="33" t="s">
        <v>22</v>
      </c>
      <c r="U80" s="33" t="s">
        <v>203</v>
      </c>
      <c r="V80" s="33"/>
      <c r="W80" s="33" t="s">
        <v>209</v>
      </c>
      <c r="X80" s="33" t="s">
        <v>210</v>
      </c>
      <c r="Y80" s="33" t="s">
        <v>209</v>
      </c>
      <c r="Z80" s="33" t="s">
        <v>209</v>
      </c>
      <c r="AA80" s="35" t="str">
        <f>_xlfn.IFNA(VLOOKUP(E80,'Lookup Table'!$J$33:$K$176,2,0),"B3")</f>
        <v>B3</v>
      </c>
      <c r="AB80" s="35">
        <f>_xlfn.IFNA(VLOOKUP($AA80,'Rating Lookup'!$B$2:$I$27,8,0),15)</f>
        <v>16</v>
      </c>
      <c r="AC80" s="35" t="str">
        <f>_xlfn.IFNA(VLOOKUP(E80,'Lookup Table'!$M$33:$N$173,2,0),"B3")</f>
        <v>B3</v>
      </c>
      <c r="AD80" s="35">
        <f>_xlfn.IFNA(VLOOKUP($AC80,'Rating Lookup'!$B$2:$I$27,8,0),15)</f>
        <v>16</v>
      </c>
      <c r="AE80" s="35">
        <f t="shared" si="24"/>
        <v>0</v>
      </c>
      <c r="AG80" s="35" t="str">
        <f t="shared" si="25"/>
        <v>MOSSO SUGAR PROJECT</v>
      </c>
      <c r="AH80" s="35" t="str">
        <f t="shared" si="26"/>
        <v>Government Loan</v>
      </c>
      <c r="AI80" s="202">
        <f>'ECL Calculation'!$B$1</f>
        <v>43465</v>
      </c>
      <c r="AJ80" s="202">
        <f t="shared" si="27"/>
        <v>32811</v>
      </c>
      <c r="AK80" s="202">
        <f t="shared" si="28"/>
        <v>30071</v>
      </c>
      <c r="AL80" s="127">
        <f t="shared" si="29"/>
        <v>10</v>
      </c>
      <c r="AM80" s="192">
        <f>IF(AND(IF(ISBLANK(K80),EOMONTH(AJ80,AL80*12),K80)&lt;'ECL Calculation'!$B$1,SUM('Input Sheet'!Q80,'Input Sheet'!R80)&gt;0),EOMONTH('ECL Calculation'!$B$1,12*5),IF(ISBLANK(K80),EOMONTH(AJ80,AL80*12),K80))</f>
        <v>45291</v>
      </c>
      <c r="AN80" s="203">
        <f t="shared" si="30"/>
        <v>20000000</v>
      </c>
      <c r="AO80" s="203">
        <f t="shared" si="31"/>
        <v>20000000</v>
      </c>
      <c r="AP80" s="203">
        <f t="shared" si="32"/>
        <v>0</v>
      </c>
      <c r="AQ80" s="126">
        <f>VLOOKUP(U80,'Lookup Table'!$B$2:$C$10,2,0)</f>
        <v>1</v>
      </c>
      <c r="AR80" s="127">
        <f>VLOOKUP(S80,'Lookup Table'!$B$2:$C$9,2,0)</f>
        <v>2</v>
      </c>
      <c r="AS80" s="127">
        <f>VLOOKUP(T80,'Lookup Table'!$B$2:$C$9,2,0)</f>
        <v>2</v>
      </c>
      <c r="AT80" s="136">
        <f t="shared" si="33"/>
        <v>2130000</v>
      </c>
      <c r="AU80" s="128">
        <f t="shared" si="34"/>
        <v>3.5000000000000003E-2</v>
      </c>
      <c r="AV80" s="136">
        <f t="shared" si="35"/>
        <v>1071412.6000000001</v>
      </c>
      <c r="AW80" s="37" t="str">
        <f t="shared" si="36"/>
        <v>B3</v>
      </c>
      <c r="AX80" s="128">
        <f>VLOOKUP(E80,'Lookup Table'!$B$12:$C$82,2,0)</f>
        <v>3.2500000000000001E-2</v>
      </c>
      <c r="AY80" s="128">
        <f>'Lookup Table'!$E$3</f>
        <v>0.45</v>
      </c>
      <c r="AZ80" s="129" t="str">
        <f t="shared" si="37"/>
        <v>Burundi</v>
      </c>
      <c r="BA80" s="37">
        <f>VLOOKUP(AA80,'Lookup Table'!$J$3:$K$27,2,0)</f>
        <v>1</v>
      </c>
      <c r="BB80" s="37">
        <f t="shared" si="38"/>
        <v>1</v>
      </c>
      <c r="BC80" s="37">
        <f t="shared" si="39"/>
        <v>2</v>
      </c>
      <c r="BD80" s="37">
        <f>IF(AND(K80&lt;'ECL Calculation'!$B$1,'Input Sheet'!W80="No"),3,IF(X80="Yes",2,1))</f>
        <v>1</v>
      </c>
      <c r="BE80" s="37">
        <f t="shared" si="40"/>
        <v>3</v>
      </c>
      <c r="BF80" s="37" t="str">
        <f t="shared" si="41"/>
        <v>Stage 3</v>
      </c>
      <c r="BG80" s="37" t="str">
        <f t="shared" si="42"/>
        <v>Yes</v>
      </c>
    </row>
    <row r="81" spans="1:59" x14ac:dyDescent="0.2">
      <c r="A81" s="35">
        <f t="shared" si="43"/>
        <v>79</v>
      </c>
      <c r="B81" s="33">
        <v>1079</v>
      </c>
      <c r="C81" s="33" t="s">
        <v>330</v>
      </c>
      <c r="D81" s="33" t="s">
        <v>806</v>
      </c>
      <c r="E81" s="33" t="s">
        <v>502</v>
      </c>
      <c r="F81" s="33" t="s">
        <v>542</v>
      </c>
      <c r="G81" s="117">
        <v>5</v>
      </c>
      <c r="H81" s="34">
        <v>30112</v>
      </c>
      <c r="I81" s="34">
        <v>30291</v>
      </c>
      <c r="J81" s="34">
        <v>30230</v>
      </c>
      <c r="K81" s="34">
        <v>34454</v>
      </c>
      <c r="L81" s="34">
        <v>30985</v>
      </c>
      <c r="M81" s="34">
        <v>30071</v>
      </c>
      <c r="N81" s="113">
        <v>10</v>
      </c>
      <c r="O81" s="200">
        <v>3952848.1</v>
      </c>
      <c r="P81" s="200">
        <v>3952848.1</v>
      </c>
      <c r="Q81" s="200">
        <v>0</v>
      </c>
      <c r="R81" s="201">
        <v>0</v>
      </c>
      <c r="S81" s="33" t="s">
        <v>22</v>
      </c>
      <c r="T81" s="33" t="s">
        <v>22</v>
      </c>
      <c r="U81" s="33" t="s">
        <v>203</v>
      </c>
      <c r="V81" s="33"/>
      <c r="W81" s="33" t="s">
        <v>210</v>
      </c>
      <c r="X81" s="33" t="s">
        <v>210</v>
      </c>
      <c r="Y81" s="33" t="s">
        <v>209</v>
      </c>
      <c r="Z81" s="33" t="s">
        <v>209</v>
      </c>
      <c r="AA81" s="35" t="str">
        <f>_xlfn.IFNA(VLOOKUP(E81,'Lookup Table'!$J$33:$K$176,2,0),"B3")</f>
        <v>B3</v>
      </c>
      <c r="AB81" s="35">
        <f>_xlfn.IFNA(VLOOKUP($AA81,'Rating Lookup'!$B$2:$I$27,8,0),15)</f>
        <v>16</v>
      </c>
      <c r="AC81" s="35">
        <f>_xlfn.IFNA(VLOOKUP(E81,'Lookup Table'!$M$33:$N$173,2,0),"B3")</f>
        <v>0</v>
      </c>
      <c r="AD81" s="35">
        <f>_xlfn.IFNA(VLOOKUP($AC81,'Rating Lookup'!$B$2:$I$27,8,0),15)</f>
        <v>15</v>
      </c>
      <c r="AE81" s="35">
        <f t="shared" si="24"/>
        <v>1</v>
      </c>
      <c r="AG81" s="35" t="str">
        <f t="shared" si="25"/>
        <v>ROADS &amp; WATER PROJECT</v>
      </c>
      <c r="AH81" s="35" t="str">
        <f t="shared" si="26"/>
        <v>Government Loan</v>
      </c>
      <c r="AI81" s="202">
        <f>'ECL Calculation'!$B$1</f>
        <v>43465</v>
      </c>
      <c r="AJ81" s="202">
        <f t="shared" si="27"/>
        <v>30985</v>
      </c>
      <c r="AK81" s="202">
        <f t="shared" si="28"/>
        <v>30071</v>
      </c>
      <c r="AL81" s="127">
        <f t="shared" si="29"/>
        <v>10</v>
      </c>
      <c r="AM81" s="192">
        <f>IF(AND(IF(ISBLANK(K81),EOMONTH(AJ81,AL81*12),K81)&lt;'ECL Calculation'!$B$1,SUM('Input Sheet'!Q81,'Input Sheet'!R81)&gt;0),EOMONTH('ECL Calculation'!$B$1,12*5),IF(ISBLANK(K81),EOMONTH(AJ81,AL81*12),K81))</f>
        <v>34454</v>
      </c>
      <c r="AN81" s="203">
        <f t="shared" si="30"/>
        <v>3952848.1</v>
      </c>
      <c r="AO81" s="203">
        <f t="shared" si="31"/>
        <v>3952848.1</v>
      </c>
      <c r="AP81" s="203">
        <f t="shared" si="32"/>
        <v>0</v>
      </c>
      <c r="AQ81" s="126">
        <f>VLOOKUP(U81,'Lookup Table'!$B$2:$C$10,2,0)</f>
        <v>1</v>
      </c>
      <c r="AR81" s="127">
        <f>VLOOKUP(S81,'Lookup Table'!$B$2:$C$9,2,0)</f>
        <v>2</v>
      </c>
      <c r="AS81" s="127">
        <f>VLOOKUP(T81,'Lookup Table'!$B$2:$C$9,2,0)</f>
        <v>2</v>
      </c>
      <c r="AT81" s="136">
        <f t="shared" si="33"/>
        <v>0</v>
      </c>
      <c r="AU81" s="128">
        <f t="shared" si="34"/>
        <v>0.05</v>
      </c>
      <c r="AV81" s="136">
        <f t="shared" si="35"/>
        <v>0</v>
      </c>
      <c r="AW81" s="37" t="str">
        <f t="shared" si="36"/>
        <v>B3</v>
      </c>
      <c r="AX81" s="128">
        <f>VLOOKUP(E81,'Lookup Table'!$B$12:$C$82,2,0)</f>
        <v>3.7499999999999999E-2</v>
      </c>
      <c r="AY81" s="128">
        <f>'Lookup Table'!$E$3</f>
        <v>0.45</v>
      </c>
      <c r="AZ81" s="129" t="str">
        <f t="shared" si="37"/>
        <v>Seychelles</v>
      </c>
      <c r="BA81" s="37">
        <f>VLOOKUP(AA81,'Lookup Table'!$J$3:$K$27,2,0)</f>
        <v>1</v>
      </c>
      <c r="BB81" s="37">
        <f t="shared" si="38"/>
        <v>2</v>
      </c>
      <c r="BC81" s="37">
        <f t="shared" si="39"/>
        <v>1</v>
      </c>
      <c r="BD81" s="37">
        <f>IF(AND(K81&lt;'ECL Calculation'!$B$1,'Input Sheet'!W81="No"),3,IF(X81="Yes",2,1))</f>
        <v>3</v>
      </c>
      <c r="BE81" s="37">
        <f t="shared" si="40"/>
        <v>3</v>
      </c>
      <c r="BF81" s="37" t="str">
        <f t="shared" si="41"/>
        <v>Stage 3</v>
      </c>
      <c r="BG81" s="37" t="str">
        <f t="shared" si="42"/>
        <v>No</v>
      </c>
    </row>
    <row r="82" spans="1:59" x14ac:dyDescent="0.2">
      <c r="A82" s="35">
        <f t="shared" si="43"/>
        <v>80</v>
      </c>
      <c r="B82" s="33">
        <v>1080</v>
      </c>
      <c r="C82" s="33" t="s">
        <v>331</v>
      </c>
      <c r="D82" s="33" t="s">
        <v>806</v>
      </c>
      <c r="E82" s="33" t="s">
        <v>480</v>
      </c>
      <c r="F82" s="33" t="s">
        <v>542</v>
      </c>
      <c r="G82" s="117">
        <v>4</v>
      </c>
      <c r="H82" s="34">
        <v>30207</v>
      </c>
      <c r="I82" s="34">
        <v>30002</v>
      </c>
      <c r="J82" s="34">
        <v>30002</v>
      </c>
      <c r="K82" s="34">
        <v>37376</v>
      </c>
      <c r="L82" s="34">
        <v>32080</v>
      </c>
      <c r="M82" s="34">
        <v>30071</v>
      </c>
      <c r="N82" s="113">
        <v>15</v>
      </c>
      <c r="O82" s="200">
        <v>97486486.680000007</v>
      </c>
      <c r="P82" s="200">
        <v>97486486.680000007</v>
      </c>
      <c r="Q82" s="200">
        <v>0</v>
      </c>
      <c r="R82" s="201">
        <v>0</v>
      </c>
      <c r="S82" s="33" t="s">
        <v>22</v>
      </c>
      <c r="T82" s="33" t="s">
        <v>22</v>
      </c>
      <c r="U82" s="33" t="s">
        <v>203</v>
      </c>
      <c r="V82" s="33"/>
      <c r="W82" s="33" t="s">
        <v>210</v>
      </c>
      <c r="X82" s="33" t="s">
        <v>210</v>
      </c>
      <c r="Y82" s="33"/>
      <c r="Z82" s="33" t="s">
        <v>209</v>
      </c>
      <c r="AA82" s="35" t="str">
        <f>_xlfn.IFNA(VLOOKUP(E82,'Lookup Table'!$J$33:$K$176,2,0),"B3")</f>
        <v>Ba1</v>
      </c>
      <c r="AB82" s="35">
        <f>_xlfn.IFNA(VLOOKUP($AA82,'Rating Lookup'!$B$2:$I$27,8,0),15)</f>
        <v>11</v>
      </c>
      <c r="AC82" s="35" t="str">
        <f>_xlfn.IFNA(VLOOKUP(E82,'Lookup Table'!$M$33:$N$173,2,0),"B3")</f>
        <v>Ba1</v>
      </c>
      <c r="AD82" s="35">
        <f>_xlfn.IFNA(VLOOKUP($AC82,'Rating Lookup'!$B$2:$I$27,8,0),15)</f>
        <v>11</v>
      </c>
      <c r="AE82" s="35">
        <f t="shared" si="24"/>
        <v>0</v>
      </c>
      <c r="AG82" s="35" t="str">
        <f t="shared" si="25"/>
        <v>AL-HOUS AL-AWSAT</v>
      </c>
      <c r="AH82" s="35" t="str">
        <f t="shared" si="26"/>
        <v>Government Loan</v>
      </c>
      <c r="AI82" s="202">
        <f>'ECL Calculation'!$B$1</f>
        <v>43465</v>
      </c>
      <c r="AJ82" s="202">
        <f t="shared" si="27"/>
        <v>32080</v>
      </c>
      <c r="AK82" s="202">
        <f t="shared" si="28"/>
        <v>30071</v>
      </c>
      <c r="AL82" s="127">
        <f t="shared" si="29"/>
        <v>15</v>
      </c>
      <c r="AM82" s="192">
        <f>IF(AND(IF(ISBLANK(K82),EOMONTH(AJ82,AL82*12),K82)&lt;'ECL Calculation'!$B$1,SUM('Input Sheet'!Q82,'Input Sheet'!R82)&gt;0),EOMONTH('ECL Calculation'!$B$1,12*5),IF(ISBLANK(K82),EOMONTH(AJ82,AL82*12),K82))</f>
        <v>37376</v>
      </c>
      <c r="AN82" s="203">
        <f t="shared" si="30"/>
        <v>97486486.680000007</v>
      </c>
      <c r="AO82" s="203">
        <f t="shared" si="31"/>
        <v>97486486.680000007</v>
      </c>
      <c r="AP82" s="203">
        <f t="shared" si="32"/>
        <v>0</v>
      </c>
      <c r="AQ82" s="126">
        <f>VLOOKUP(U82,'Lookup Table'!$B$2:$C$10,2,0)</f>
        <v>1</v>
      </c>
      <c r="AR82" s="127">
        <f>VLOOKUP(S82,'Lookup Table'!$B$2:$C$9,2,0)</f>
        <v>2</v>
      </c>
      <c r="AS82" s="127">
        <f>VLOOKUP(T82,'Lookup Table'!$B$2:$C$9,2,0)</f>
        <v>2</v>
      </c>
      <c r="AT82" s="136">
        <f t="shared" si="33"/>
        <v>0</v>
      </c>
      <c r="AU82" s="128">
        <f t="shared" si="34"/>
        <v>0.04</v>
      </c>
      <c r="AV82" s="136">
        <f t="shared" si="35"/>
        <v>0</v>
      </c>
      <c r="AW82" s="37" t="str">
        <f t="shared" si="36"/>
        <v>Ba1</v>
      </c>
      <c r="AX82" s="128">
        <f>VLOOKUP(E82,'Lookup Table'!$B$12:$C$82,2,0)</f>
        <v>3.1662499999999996E-2</v>
      </c>
      <c r="AY82" s="128">
        <f>'Lookup Table'!$E$3</f>
        <v>0.45</v>
      </c>
      <c r="AZ82" s="129" t="str">
        <f t="shared" si="37"/>
        <v>Morocco</v>
      </c>
      <c r="BA82" s="37">
        <f>VLOOKUP(AA82,'Lookup Table'!$J$3:$K$27,2,0)</f>
        <v>1</v>
      </c>
      <c r="BB82" s="37">
        <f t="shared" si="38"/>
        <v>1</v>
      </c>
      <c r="BC82" s="37">
        <f t="shared" si="39"/>
        <v>1</v>
      </c>
      <c r="BD82" s="37">
        <f>IF(AND(K82&lt;'ECL Calculation'!$B$1,'Input Sheet'!W82="No"),3,IF(X82="Yes",2,1))</f>
        <v>3</v>
      </c>
      <c r="BE82" s="37">
        <f t="shared" si="40"/>
        <v>1</v>
      </c>
      <c r="BF82" s="37" t="str">
        <f t="shared" si="41"/>
        <v>Stage 3</v>
      </c>
      <c r="BG82" s="37" t="str">
        <f t="shared" si="42"/>
        <v>No</v>
      </c>
    </row>
    <row r="83" spans="1:59" x14ac:dyDescent="0.2">
      <c r="A83" s="35">
        <f t="shared" si="43"/>
        <v>81</v>
      </c>
      <c r="B83" s="33">
        <v>1081</v>
      </c>
      <c r="C83" s="33" t="s">
        <v>332</v>
      </c>
      <c r="D83" s="33" t="s">
        <v>806</v>
      </c>
      <c r="E83" s="33" t="s">
        <v>479</v>
      </c>
      <c r="F83" s="33" t="s">
        <v>542</v>
      </c>
      <c r="G83" s="117">
        <v>5</v>
      </c>
      <c r="H83" s="34">
        <v>30363</v>
      </c>
      <c r="I83" s="34">
        <v>30689</v>
      </c>
      <c r="J83" s="34">
        <v>30689</v>
      </c>
      <c r="K83" s="34">
        <v>37741</v>
      </c>
      <c r="L83" s="34">
        <v>32446</v>
      </c>
      <c r="M83" s="34">
        <v>30436</v>
      </c>
      <c r="N83" s="113">
        <v>15</v>
      </c>
      <c r="O83" s="200">
        <v>74000000</v>
      </c>
      <c r="P83" s="200">
        <v>74000000</v>
      </c>
      <c r="Q83" s="200">
        <v>0</v>
      </c>
      <c r="R83" s="201">
        <v>0</v>
      </c>
      <c r="S83" s="33" t="s">
        <v>22</v>
      </c>
      <c r="T83" s="33" t="s">
        <v>22</v>
      </c>
      <c r="U83" s="33" t="s">
        <v>203</v>
      </c>
      <c r="V83" s="33"/>
      <c r="W83" s="33" t="s">
        <v>210</v>
      </c>
      <c r="X83" s="33" t="s">
        <v>210</v>
      </c>
      <c r="Y83" s="33"/>
      <c r="Z83" s="33" t="s">
        <v>209</v>
      </c>
      <c r="AA83" s="35" t="str">
        <f>_xlfn.IFNA(VLOOKUP(E83,'Lookup Table'!$J$33:$K$176,2,0),"B3")</f>
        <v>B2</v>
      </c>
      <c r="AB83" s="35">
        <f>_xlfn.IFNA(VLOOKUP($AA83,'Rating Lookup'!$B$2:$I$27,8,0),15)</f>
        <v>15</v>
      </c>
      <c r="AC83" s="35" t="str">
        <f>_xlfn.IFNA(VLOOKUP(E83,'Lookup Table'!$M$33:$N$173,2,0),"B3")</f>
        <v>Baa3</v>
      </c>
      <c r="AD83" s="35">
        <f>_xlfn.IFNA(VLOOKUP($AC83,'Rating Lookup'!$B$2:$I$27,8,0),15)</f>
        <v>10</v>
      </c>
      <c r="AE83" s="35">
        <f t="shared" si="24"/>
        <v>5</v>
      </c>
      <c r="AG83" s="35" t="str">
        <f t="shared" si="25"/>
        <v>JERID OASES DEVELOPMENT</v>
      </c>
      <c r="AH83" s="35" t="str">
        <f t="shared" si="26"/>
        <v>Government Loan</v>
      </c>
      <c r="AI83" s="202">
        <f>'ECL Calculation'!$B$1</f>
        <v>43465</v>
      </c>
      <c r="AJ83" s="202">
        <f t="shared" si="27"/>
        <v>32446</v>
      </c>
      <c r="AK83" s="202">
        <f t="shared" si="28"/>
        <v>30436</v>
      </c>
      <c r="AL83" s="127">
        <f t="shared" si="29"/>
        <v>15</v>
      </c>
      <c r="AM83" s="192">
        <f>IF(AND(IF(ISBLANK(K83),EOMONTH(AJ83,AL83*12),K83)&lt;'ECL Calculation'!$B$1,SUM('Input Sheet'!Q83,'Input Sheet'!R83)&gt;0),EOMONTH('ECL Calculation'!$B$1,12*5),IF(ISBLANK(K83),EOMONTH(AJ83,AL83*12),K83))</f>
        <v>37741</v>
      </c>
      <c r="AN83" s="203">
        <f t="shared" si="30"/>
        <v>74000000</v>
      </c>
      <c r="AO83" s="203">
        <f t="shared" si="31"/>
        <v>74000000</v>
      </c>
      <c r="AP83" s="203">
        <f t="shared" si="32"/>
        <v>0</v>
      </c>
      <c r="AQ83" s="126">
        <f>VLOOKUP(U83,'Lookup Table'!$B$2:$C$10,2,0)</f>
        <v>1</v>
      </c>
      <c r="AR83" s="127">
        <f>VLOOKUP(S83,'Lookup Table'!$B$2:$C$9,2,0)</f>
        <v>2</v>
      </c>
      <c r="AS83" s="127">
        <f>VLOOKUP(T83,'Lookup Table'!$B$2:$C$9,2,0)</f>
        <v>2</v>
      </c>
      <c r="AT83" s="136">
        <f t="shared" si="33"/>
        <v>0</v>
      </c>
      <c r="AU83" s="128">
        <f t="shared" si="34"/>
        <v>0.05</v>
      </c>
      <c r="AV83" s="136">
        <f t="shared" si="35"/>
        <v>0</v>
      </c>
      <c r="AW83" s="37" t="str">
        <f t="shared" si="36"/>
        <v>B2</v>
      </c>
      <c r="AX83" s="128">
        <f>VLOOKUP(E83,'Lookup Table'!$B$12:$C$82,2,0)</f>
        <v>4.5999999999999999E-2</v>
      </c>
      <c r="AY83" s="128">
        <f>'Lookup Table'!$E$3</f>
        <v>0.45</v>
      </c>
      <c r="AZ83" s="129" t="str">
        <f t="shared" si="37"/>
        <v>Tunisia</v>
      </c>
      <c r="BA83" s="37">
        <f>VLOOKUP(AA83,'Lookup Table'!$J$3:$K$27,2,0)</f>
        <v>1</v>
      </c>
      <c r="BB83" s="37">
        <f t="shared" si="38"/>
        <v>2</v>
      </c>
      <c r="BC83" s="37">
        <f t="shared" si="39"/>
        <v>1</v>
      </c>
      <c r="BD83" s="37">
        <f>IF(AND(K83&lt;'ECL Calculation'!$B$1,'Input Sheet'!W83="No"),3,IF(X83="Yes",2,1))</f>
        <v>3</v>
      </c>
      <c r="BE83" s="37">
        <f t="shared" si="40"/>
        <v>1</v>
      </c>
      <c r="BF83" s="37" t="str">
        <f t="shared" si="41"/>
        <v>Stage 3</v>
      </c>
      <c r="BG83" s="37" t="str">
        <f t="shared" si="42"/>
        <v>No</v>
      </c>
    </row>
    <row r="84" spans="1:59" x14ac:dyDescent="0.2">
      <c r="A84" s="35">
        <f t="shared" si="43"/>
        <v>82</v>
      </c>
      <c r="B84" s="33">
        <v>1082</v>
      </c>
      <c r="C84" s="33" t="s">
        <v>333</v>
      </c>
      <c r="D84" s="33" t="s">
        <v>806</v>
      </c>
      <c r="E84" s="33" t="s">
        <v>24</v>
      </c>
      <c r="F84" s="33" t="s">
        <v>542</v>
      </c>
      <c r="G84" s="117">
        <v>5.5</v>
      </c>
      <c r="H84" s="34">
        <v>30584</v>
      </c>
      <c r="I84" s="34">
        <v>30695</v>
      </c>
      <c r="J84" s="34">
        <v>30695</v>
      </c>
      <c r="K84" s="34">
        <v>33724</v>
      </c>
      <c r="L84" s="34">
        <v>31350</v>
      </c>
      <c r="M84" s="34">
        <v>30802</v>
      </c>
      <c r="N84" s="113">
        <v>7</v>
      </c>
      <c r="O84" s="200">
        <v>10700000</v>
      </c>
      <c r="P84" s="200">
        <v>10700000</v>
      </c>
      <c r="Q84" s="200">
        <v>0</v>
      </c>
      <c r="R84" s="201">
        <v>0</v>
      </c>
      <c r="S84" s="33" t="s">
        <v>22</v>
      </c>
      <c r="T84" s="33" t="s">
        <v>22</v>
      </c>
      <c r="U84" s="33" t="s">
        <v>203</v>
      </c>
      <c r="V84" s="33"/>
      <c r="W84" s="33" t="s">
        <v>210</v>
      </c>
      <c r="X84" s="33" t="s">
        <v>210</v>
      </c>
      <c r="Y84" s="33"/>
      <c r="Z84" s="33" t="s">
        <v>209</v>
      </c>
      <c r="AA84" s="35" t="str">
        <f>_xlfn.IFNA(VLOOKUP(E84,'Lookup Table'!$J$33:$K$176,2,0),"B3")</f>
        <v>Ba1</v>
      </c>
      <c r="AB84" s="35">
        <f>_xlfn.IFNA(VLOOKUP($AA84,'Rating Lookup'!$B$2:$I$27,8,0),15)</f>
        <v>11</v>
      </c>
      <c r="AC84" s="35" t="str">
        <f>_xlfn.IFNA(VLOOKUP(E84,'Lookup Table'!$M$33:$N$173,2,0),"B3")</f>
        <v>A1</v>
      </c>
      <c r="AD84" s="35">
        <f>_xlfn.IFNA(VLOOKUP($AC84,'Rating Lookup'!$B$2:$I$27,8,0),15)</f>
        <v>5</v>
      </c>
      <c r="AE84" s="35">
        <f t="shared" si="24"/>
        <v>6</v>
      </c>
      <c r="AG84" s="35" t="str">
        <f t="shared" si="25"/>
        <v>RESUT CEMENT PROJECT</v>
      </c>
      <c r="AH84" s="35" t="str">
        <f t="shared" si="26"/>
        <v>Government Loan</v>
      </c>
      <c r="AI84" s="202">
        <f>'ECL Calculation'!$B$1</f>
        <v>43465</v>
      </c>
      <c r="AJ84" s="202">
        <f t="shared" si="27"/>
        <v>31350</v>
      </c>
      <c r="AK84" s="202">
        <f t="shared" si="28"/>
        <v>30802</v>
      </c>
      <c r="AL84" s="127">
        <f t="shared" si="29"/>
        <v>7</v>
      </c>
      <c r="AM84" s="192">
        <f>IF(AND(IF(ISBLANK(K84),EOMONTH(AJ84,AL84*12),K84)&lt;'ECL Calculation'!$B$1,SUM('Input Sheet'!Q84,'Input Sheet'!R84)&gt;0),EOMONTH('ECL Calculation'!$B$1,12*5),IF(ISBLANK(K84),EOMONTH(AJ84,AL84*12),K84))</f>
        <v>33724</v>
      </c>
      <c r="AN84" s="203">
        <f t="shared" si="30"/>
        <v>10700000</v>
      </c>
      <c r="AO84" s="203">
        <f t="shared" si="31"/>
        <v>10700000</v>
      </c>
      <c r="AP84" s="203">
        <f t="shared" si="32"/>
        <v>0</v>
      </c>
      <c r="AQ84" s="126">
        <f>VLOOKUP(U84,'Lookup Table'!$B$2:$C$10,2,0)</f>
        <v>1</v>
      </c>
      <c r="AR84" s="127">
        <f>VLOOKUP(S84,'Lookup Table'!$B$2:$C$9,2,0)</f>
        <v>2</v>
      </c>
      <c r="AS84" s="127">
        <f>VLOOKUP(T84,'Lookup Table'!$B$2:$C$9,2,0)</f>
        <v>2</v>
      </c>
      <c r="AT84" s="136">
        <f t="shared" si="33"/>
        <v>0</v>
      </c>
      <c r="AU84" s="128">
        <f t="shared" si="34"/>
        <v>5.5E-2</v>
      </c>
      <c r="AV84" s="136">
        <f t="shared" si="35"/>
        <v>0</v>
      </c>
      <c r="AW84" s="37" t="str">
        <f t="shared" si="36"/>
        <v>Ba1</v>
      </c>
      <c r="AX84" s="128">
        <f>VLOOKUP(E84,'Lookup Table'!$B$12:$C$82,2,0)</f>
        <v>3.6818181818181819E-2</v>
      </c>
      <c r="AY84" s="128">
        <f>'Lookup Table'!$E$3</f>
        <v>0.45</v>
      </c>
      <c r="AZ84" s="129" t="str">
        <f t="shared" si="37"/>
        <v>Oman</v>
      </c>
      <c r="BA84" s="37">
        <f>VLOOKUP(AA84,'Lookup Table'!$J$3:$K$27,2,0)</f>
        <v>1</v>
      </c>
      <c r="BB84" s="37">
        <f t="shared" si="38"/>
        <v>2</v>
      </c>
      <c r="BC84" s="37">
        <f t="shared" si="39"/>
        <v>1</v>
      </c>
      <c r="BD84" s="37">
        <f>IF(AND(K84&lt;'ECL Calculation'!$B$1,'Input Sheet'!W84="No"),3,IF(X84="Yes",2,1))</f>
        <v>3</v>
      </c>
      <c r="BE84" s="37">
        <f t="shared" si="40"/>
        <v>1</v>
      </c>
      <c r="BF84" s="37" t="str">
        <f t="shared" si="41"/>
        <v>Stage 3</v>
      </c>
      <c r="BG84" s="37" t="str">
        <f t="shared" si="42"/>
        <v>No</v>
      </c>
    </row>
    <row r="85" spans="1:59" x14ac:dyDescent="0.2">
      <c r="A85" s="35">
        <f t="shared" si="43"/>
        <v>83</v>
      </c>
      <c r="B85" s="33">
        <v>1083</v>
      </c>
      <c r="C85" s="33" t="s">
        <v>334</v>
      </c>
      <c r="D85" s="33" t="s">
        <v>806</v>
      </c>
      <c r="E85" s="33" t="s">
        <v>24</v>
      </c>
      <c r="F85" s="33" t="s">
        <v>542</v>
      </c>
      <c r="G85" s="117">
        <v>4</v>
      </c>
      <c r="H85" s="34">
        <v>30772</v>
      </c>
      <c r="I85" s="34">
        <v>30796</v>
      </c>
      <c r="J85" s="34">
        <v>30796</v>
      </c>
      <c r="K85" s="34">
        <v>38655</v>
      </c>
      <c r="L85" s="34">
        <v>33358</v>
      </c>
      <c r="M85" s="34">
        <v>30802</v>
      </c>
      <c r="N85" s="113">
        <v>15</v>
      </c>
      <c r="O85" s="200">
        <v>103374336.98</v>
      </c>
      <c r="P85" s="200">
        <v>103374336.98</v>
      </c>
      <c r="Q85" s="200">
        <v>0</v>
      </c>
      <c r="R85" s="201">
        <v>0</v>
      </c>
      <c r="S85" s="33" t="s">
        <v>22</v>
      </c>
      <c r="T85" s="33" t="s">
        <v>22</v>
      </c>
      <c r="U85" s="33" t="s">
        <v>203</v>
      </c>
      <c r="V85" s="33"/>
      <c r="W85" s="33" t="s">
        <v>210</v>
      </c>
      <c r="X85" s="33" t="s">
        <v>210</v>
      </c>
      <c r="Y85" s="33"/>
      <c r="Z85" s="33" t="s">
        <v>209</v>
      </c>
      <c r="AA85" s="35" t="str">
        <f>_xlfn.IFNA(VLOOKUP(E85,'Lookup Table'!$J$33:$K$176,2,0),"B3")</f>
        <v>Ba1</v>
      </c>
      <c r="AB85" s="35">
        <f>_xlfn.IFNA(VLOOKUP($AA85,'Rating Lookup'!$B$2:$I$27,8,0),15)</f>
        <v>11</v>
      </c>
      <c r="AC85" s="35" t="str">
        <f>_xlfn.IFNA(VLOOKUP(E85,'Lookup Table'!$M$33:$N$173,2,0),"B3")</f>
        <v>A1</v>
      </c>
      <c r="AD85" s="35">
        <f>_xlfn.IFNA(VLOOKUP($AC85,'Rating Lookup'!$B$2:$I$27,8,0),15)</f>
        <v>5</v>
      </c>
      <c r="AE85" s="35">
        <f t="shared" si="24"/>
        <v>6</v>
      </c>
      <c r="AG85" s="35" t="str">
        <f t="shared" si="25"/>
        <v>FEEDER ROADS</v>
      </c>
      <c r="AH85" s="35" t="str">
        <f t="shared" si="26"/>
        <v>Government Loan</v>
      </c>
      <c r="AI85" s="202">
        <f>'ECL Calculation'!$B$1</f>
        <v>43465</v>
      </c>
      <c r="AJ85" s="202">
        <f t="shared" si="27"/>
        <v>33358</v>
      </c>
      <c r="AK85" s="202">
        <f t="shared" si="28"/>
        <v>30802</v>
      </c>
      <c r="AL85" s="127">
        <f t="shared" si="29"/>
        <v>15</v>
      </c>
      <c r="AM85" s="192">
        <f>IF(AND(IF(ISBLANK(K85),EOMONTH(AJ85,AL85*12),K85)&lt;'ECL Calculation'!$B$1,SUM('Input Sheet'!Q85,'Input Sheet'!R85)&gt;0),EOMONTH('ECL Calculation'!$B$1,12*5),IF(ISBLANK(K85),EOMONTH(AJ85,AL85*12),K85))</f>
        <v>38655</v>
      </c>
      <c r="AN85" s="203">
        <f t="shared" si="30"/>
        <v>103374336.98</v>
      </c>
      <c r="AO85" s="203">
        <f t="shared" si="31"/>
        <v>103374336.98</v>
      </c>
      <c r="AP85" s="203">
        <f t="shared" si="32"/>
        <v>0</v>
      </c>
      <c r="AQ85" s="126">
        <f>VLOOKUP(U85,'Lookup Table'!$B$2:$C$10,2,0)</f>
        <v>1</v>
      </c>
      <c r="AR85" s="127">
        <f>VLOOKUP(S85,'Lookup Table'!$B$2:$C$9,2,0)</f>
        <v>2</v>
      </c>
      <c r="AS85" s="127">
        <f>VLOOKUP(T85,'Lookup Table'!$B$2:$C$9,2,0)</f>
        <v>2</v>
      </c>
      <c r="AT85" s="136">
        <f t="shared" si="33"/>
        <v>0</v>
      </c>
      <c r="AU85" s="128">
        <f t="shared" si="34"/>
        <v>0.04</v>
      </c>
      <c r="AV85" s="136">
        <f t="shared" si="35"/>
        <v>0</v>
      </c>
      <c r="AW85" s="37" t="str">
        <f t="shared" si="36"/>
        <v>Ba1</v>
      </c>
      <c r="AX85" s="128">
        <f>VLOOKUP(E85,'Lookup Table'!$B$12:$C$82,2,0)</f>
        <v>3.6818181818181819E-2</v>
      </c>
      <c r="AY85" s="128">
        <f>'Lookup Table'!$E$3</f>
        <v>0.45</v>
      </c>
      <c r="AZ85" s="129" t="str">
        <f t="shared" si="37"/>
        <v>Oman</v>
      </c>
      <c r="BA85" s="37">
        <f>VLOOKUP(AA85,'Lookup Table'!$J$3:$K$27,2,0)</f>
        <v>1</v>
      </c>
      <c r="BB85" s="37">
        <f t="shared" si="38"/>
        <v>2</v>
      </c>
      <c r="BC85" s="37">
        <f t="shared" si="39"/>
        <v>1</v>
      </c>
      <c r="BD85" s="37">
        <f>IF(AND(K85&lt;'ECL Calculation'!$B$1,'Input Sheet'!W85="No"),3,IF(X85="Yes",2,1))</f>
        <v>3</v>
      </c>
      <c r="BE85" s="37">
        <f t="shared" si="40"/>
        <v>1</v>
      </c>
      <c r="BF85" s="37" t="str">
        <f t="shared" si="41"/>
        <v>Stage 3</v>
      </c>
      <c r="BG85" s="37" t="str">
        <f t="shared" si="42"/>
        <v>No</v>
      </c>
    </row>
    <row r="86" spans="1:59" x14ac:dyDescent="0.2">
      <c r="A86" s="35">
        <f t="shared" si="43"/>
        <v>84</v>
      </c>
      <c r="B86" s="33">
        <v>1084</v>
      </c>
      <c r="C86" s="33" t="s">
        <v>335</v>
      </c>
      <c r="D86" s="33" t="s">
        <v>806</v>
      </c>
      <c r="E86" s="33" t="s">
        <v>478</v>
      </c>
      <c r="F86" s="33" t="s">
        <v>542</v>
      </c>
      <c r="G86" s="117">
        <v>3.5</v>
      </c>
      <c r="H86" s="34">
        <v>31315</v>
      </c>
      <c r="I86" s="34">
        <v>31416</v>
      </c>
      <c r="J86" s="34">
        <v>31416</v>
      </c>
      <c r="K86" s="34">
        <v>38290</v>
      </c>
      <c r="L86" s="34">
        <v>32993</v>
      </c>
      <c r="M86" s="34">
        <v>31532</v>
      </c>
      <c r="N86" s="113">
        <v>15</v>
      </c>
      <c r="O86" s="200">
        <v>23601846.550000001</v>
      </c>
      <c r="P86" s="200">
        <v>23601846.550000001</v>
      </c>
      <c r="Q86" s="200">
        <v>17351846.550000001</v>
      </c>
      <c r="R86" s="201">
        <v>16196393.01</v>
      </c>
      <c r="S86" s="33" t="s">
        <v>22</v>
      </c>
      <c r="T86" s="33" t="s">
        <v>22</v>
      </c>
      <c r="U86" s="33" t="s">
        <v>203</v>
      </c>
      <c r="V86" s="33"/>
      <c r="W86" s="33" t="s">
        <v>210</v>
      </c>
      <c r="X86" s="33" t="s">
        <v>209</v>
      </c>
      <c r="Y86" s="33" t="s">
        <v>209</v>
      </c>
      <c r="Z86" s="33" t="s">
        <v>209</v>
      </c>
      <c r="AA86" s="35" t="str">
        <f>_xlfn.IFNA(VLOOKUP(E86,'Lookup Table'!$J$33:$K$176,2,0),"B3")</f>
        <v>B3</v>
      </c>
      <c r="AB86" s="35">
        <f>_xlfn.IFNA(VLOOKUP($AA86,'Rating Lookup'!$B$2:$I$27,8,0),15)</f>
        <v>16</v>
      </c>
      <c r="AC86" s="35" t="str">
        <f>_xlfn.IFNA(VLOOKUP(E86,'Lookup Table'!$M$33:$N$173,2,0),"B3")</f>
        <v>B3</v>
      </c>
      <c r="AD86" s="35">
        <f>_xlfn.IFNA(VLOOKUP($AC86,'Rating Lookup'!$B$2:$I$27,8,0),15)</f>
        <v>16</v>
      </c>
      <c r="AE86" s="35">
        <f t="shared" si="24"/>
        <v>0</v>
      </c>
      <c r="AG86" s="35" t="str">
        <f t="shared" si="25"/>
        <v>ADEN PORT DEVELOPMENT</v>
      </c>
      <c r="AH86" s="35" t="str">
        <f t="shared" si="26"/>
        <v>Government Loan</v>
      </c>
      <c r="AI86" s="202">
        <f>'ECL Calculation'!$B$1</f>
        <v>43465</v>
      </c>
      <c r="AJ86" s="202">
        <f t="shared" si="27"/>
        <v>32993</v>
      </c>
      <c r="AK86" s="202">
        <f t="shared" si="28"/>
        <v>31532</v>
      </c>
      <c r="AL86" s="127">
        <f t="shared" si="29"/>
        <v>15</v>
      </c>
      <c r="AM86" s="192">
        <f>IF(AND(IF(ISBLANK(K86),EOMONTH(AJ86,AL86*12),K86)&lt;'ECL Calculation'!$B$1,SUM('Input Sheet'!Q86,'Input Sheet'!R86)&gt;0),EOMONTH('ECL Calculation'!$B$1,12*5),IF(ISBLANK(K86),EOMONTH(AJ86,AL86*12),K86))</f>
        <v>45291</v>
      </c>
      <c r="AN86" s="203">
        <f t="shared" si="30"/>
        <v>23601846.550000001</v>
      </c>
      <c r="AO86" s="203">
        <f t="shared" si="31"/>
        <v>23601846.550000001</v>
      </c>
      <c r="AP86" s="203">
        <f t="shared" si="32"/>
        <v>0</v>
      </c>
      <c r="AQ86" s="126">
        <f>VLOOKUP(U86,'Lookup Table'!$B$2:$C$10,2,0)</f>
        <v>1</v>
      </c>
      <c r="AR86" s="127">
        <f>VLOOKUP(S86,'Lookup Table'!$B$2:$C$9,2,0)</f>
        <v>2</v>
      </c>
      <c r="AS86" s="127">
        <f>VLOOKUP(T86,'Lookup Table'!$B$2:$C$9,2,0)</f>
        <v>2</v>
      </c>
      <c r="AT86" s="136">
        <f t="shared" si="33"/>
        <v>17351846.550000001</v>
      </c>
      <c r="AU86" s="128">
        <f t="shared" si="34"/>
        <v>3.5000000000000003E-2</v>
      </c>
      <c r="AV86" s="136">
        <f t="shared" si="35"/>
        <v>16196393.01</v>
      </c>
      <c r="AW86" s="37" t="str">
        <f t="shared" si="36"/>
        <v>B3</v>
      </c>
      <c r="AX86" s="128">
        <f>VLOOKUP(E86,'Lookup Table'!$B$12:$C$82,2,0)</f>
        <v>3.3636363636363638E-2</v>
      </c>
      <c r="AY86" s="128">
        <f>'Lookup Table'!$E$3</f>
        <v>0.45</v>
      </c>
      <c r="AZ86" s="129" t="str">
        <f t="shared" si="37"/>
        <v>Yemen</v>
      </c>
      <c r="BA86" s="37">
        <f>VLOOKUP(AA86,'Lookup Table'!$J$3:$K$27,2,0)</f>
        <v>1</v>
      </c>
      <c r="BB86" s="37">
        <f t="shared" si="38"/>
        <v>1</v>
      </c>
      <c r="BC86" s="37">
        <f t="shared" si="39"/>
        <v>1</v>
      </c>
      <c r="BD86" s="37">
        <f>IF(AND(K86&lt;'ECL Calculation'!$B$1,'Input Sheet'!W86="No"),3,IF(X86="Yes",2,1))</f>
        <v>3</v>
      </c>
      <c r="BE86" s="37">
        <f t="shared" si="40"/>
        <v>3</v>
      </c>
      <c r="BF86" s="37" t="str">
        <f t="shared" si="41"/>
        <v>Stage 3</v>
      </c>
      <c r="BG86" s="37" t="str">
        <f t="shared" si="42"/>
        <v>Yes</v>
      </c>
    </row>
    <row r="87" spans="1:59" x14ac:dyDescent="0.2">
      <c r="A87" s="35">
        <f t="shared" si="43"/>
        <v>85</v>
      </c>
      <c r="B87" s="33">
        <v>1085</v>
      </c>
      <c r="C87" s="33" t="s">
        <v>336</v>
      </c>
      <c r="D87" s="33" t="s">
        <v>806</v>
      </c>
      <c r="E87" s="33" t="s">
        <v>511</v>
      </c>
      <c r="F87" s="33" t="s">
        <v>542</v>
      </c>
      <c r="G87" s="117">
        <v>3.5</v>
      </c>
      <c r="H87" s="34">
        <v>31318</v>
      </c>
      <c r="I87" s="34">
        <v>31381</v>
      </c>
      <c r="J87" s="34">
        <v>31381</v>
      </c>
      <c r="K87" s="34">
        <v>36098</v>
      </c>
      <c r="L87" s="34">
        <v>32628</v>
      </c>
      <c r="M87" s="34">
        <v>31532</v>
      </c>
      <c r="N87" s="113">
        <v>10</v>
      </c>
      <c r="O87" s="200">
        <v>20935591.370000001</v>
      </c>
      <c r="P87" s="200">
        <v>20935591.370000001</v>
      </c>
      <c r="Q87" s="200">
        <v>0</v>
      </c>
      <c r="R87" s="201">
        <v>0</v>
      </c>
      <c r="S87" s="33" t="s">
        <v>22</v>
      </c>
      <c r="T87" s="33" t="s">
        <v>22</v>
      </c>
      <c r="U87" s="33" t="s">
        <v>203</v>
      </c>
      <c r="V87" s="33"/>
      <c r="W87" s="33" t="s">
        <v>210</v>
      </c>
      <c r="X87" s="33" t="s">
        <v>210</v>
      </c>
      <c r="Y87" s="33"/>
      <c r="Z87" s="33" t="s">
        <v>209</v>
      </c>
      <c r="AA87" s="35" t="str">
        <f>_xlfn.IFNA(VLOOKUP(E87,'Lookup Table'!$J$33:$K$176,2,0),"B3")</f>
        <v>B2</v>
      </c>
      <c r="AB87" s="35">
        <f>_xlfn.IFNA(VLOOKUP($AA87,'Rating Lookup'!$B$2:$I$27,8,0),15)</f>
        <v>15</v>
      </c>
      <c r="AC87" s="35" t="str">
        <f>_xlfn.IFNA(VLOOKUP(E87,'Lookup Table'!$M$33:$N$173,2,0),"B3")</f>
        <v>B1</v>
      </c>
      <c r="AD87" s="35">
        <f>_xlfn.IFNA(VLOOKUP($AC87,'Rating Lookup'!$B$2:$I$27,8,0),15)</f>
        <v>14</v>
      </c>
      <c r="AE87" s="35">
        <f t="shared" si="24"/>
        <v>1</v>
      </c>
      <c r="AG87" s="35" t="str">
        <f t="shared" si="25"/>
        <v>KABARNET TAMBACK ROAD</v>
      </c>
      <c r="AH87" s="35" t="str">
        <f t="shared" si="26"/>
        <v>Government Loan</v>
      </c>
      <c r="AI87" s="202">
        <f>'ECL Calculation'!$B$1</f>
        <v>43465</v>
      </c>
      <c r="AJ87" s="202">
        <f t="shared" si="27"/>
        <v>32628</v>
      </c>
      <c r="AK87" s="202">
        <f t="shared" si="28"/>
        <v>31532</v>
      </c>
      <c r="AL87" s="127">
        <f t="shared" si="29"/>
        <v>10</v>
      </c>
      <c r="AM87" s="192">
        <f>IF(AND(IF(ISBLANK(K87),EOMONTH(AJ87,AL87*12),K87)&lt;'ECL Calculation'!$B$1,SUM('Input Sheet'!Q87,'Input Sheet'!R87)&gt;0),EOMONTH('ECL Calculation'!$B$1,12*5),IF(ISBLANK(K87),EOMONTH(AJ87,AL87*12),K87))</f>
        <v>36098</v>
      </c>
      <c r="AN87" s="203">
        <f t="shared" si="30"/>
        <v>20935591.370000001</v>
      </c>
      <c r="AO87" s="203">
        <f t="shared" si="31"/>
        <v>20935591.370000001</v>
      </c>
      <c r="AP87" s="203">
        <f t="shared" si="32"/>
        <v>0</v>
      </c>
      <c r="AQ87" s="126">
        <f>VLOOKUP(U87,'Lookup Table'!$B$2:$C$10,2,0)</f>
        <v>1</v>
      </c>
      <c r="AR87" s="127">
        <f>VLOOKUP(S87,'Lookup Table'!$B$2:$C$9,2,0)</f>
        <v>2</v>
      </c>
      <c r="AS87" s="127">
        <f>VLOOKUP(T87,'Lookup Table'!$B$2:$C$9,2,0)</f>
        <v>2</v>
      </c>
      <c r="AT87" s="136">
        <f t="shared" si="33"/>
        <v>0</v>
      </c>
      <c r="AU87" s="128">
        <f t="shared" si="34"/>
        <v>3.5000000000000003E-2</v>
      </c>
      <c r="AV87" s="136">
        <f t="shared" si="35"/>
        <v>0</v>
      </c>
      <c r="AW87" s="37" t="str">
        <f t="shared" si="36"/>
        <v>B2</v>
      </c>
      <c r="AX87" s="128">
        <f>VLOOKUP(E87,'Lookup Table'!$B$12:$C$82,2,0)</f>
        <v>2.8333333333333335E-2</v>
      </c>
      <c r="AY87" s="128">
        <f>'Lookup Table'!$E$3</f>
        <v>0.45</v>
      </c>
      <c r="AZ87" s="129" t="str">
        <f t="shared" si="37"/>
        <v>Kenya</v>
      </c>
      <c r="BA87" s="37">
        <f>VLOOKUP(AA87,'Lookup Table'!$J$3:$K$27,2,0)</f>
        <v>1</v>
      </c>
      <c r="BB87" s="37">
        <f t="shared" si="38"/>
        <v>2</v>
      </c>
      <c r="BC87" s="37">
        <f t="shared" si="39"/>
        <v>1</v>
      </c>
      <c r="BD87" s="37">
        <f>IF(AND(K87&lt;'ECL Calculation'!$B$1,'Input Sheet'!W87="No"),3,IF(X87="Yes",2,1))</f>
        <v>3</v>
      </c>
      <c r="BE87" s="37">
        <f t="shared" si="40"/>
        <v>1</v>
      </c>
      <c r="BF87" s="37" t="str">
        <f t="shared" si="41"/>
        <v>Stage 3</v>
      </c>
      <c r="BG87" s="37" t="str">
        <f t="shared" si="42"/>
        <v>No</v>
      </c>
    </row>
    <row r="88" spans="1:59" x14ac:dyDescent="0.2">
      <c r="A88" s="35">
        <f t="shared" si="43"/>
        <v>86</v>
      </c>
      <c r="B88" s="33">
        <v>1086</v>
      </c>
      <c r="C88" s="33" t="s">
        <v>337</v>
      </c>
      <c r="D88" s="33" t="s">
        <v>806</v>
      </c>
      <c r="E88" s="33" t="s">
        <v>512</v>
      </c>
      <c r="F88" s="33" t="s">
        <v>542</v>
      </c>
      <c r="G88" s="117">
        <v>4</v>
      </c>
      <c r="H88" s="34">
        <v>31624</v>
      </c>
      <c r="I88" s="34">
        <v>31853</v>
      </c>
      <c r="J88" s="34">
        <v>31853</v>
      </c>
      <c r="K88" s="34">
        <v>40177</v>
      </c>
      <c r="L88" s="34">
        <v>365</v>
      </c>
      <c r="M88" s="34">
        <v>31532</v>
      </c>
      <c r="N88" s="113">
        <v>13</v>
      </c>
      <c r="O88" s="200">
        <v>17128717.859999999</v>
      </c>
      <c r="P88" s="200">
        <v>17128717.859999999</v>
      </c>
      <c r="Q88" s="200">
        <v>0</v>
      </c>
      <c r="R88" s="201">
        <v>47.46</v>
      </c>
      <c r="S88" s="33" t="s">
        <v>22</v>
      </c>
      <c r="T88" s="33" t="s">
        <v>22</v>
      </c>
      <c r="U88" s="33" t="s">
        <v>203</v>
      </c>
      <c r="V88" s="33"/>
      <c r="W88" s="33" t="s">
        <v>210</v>
      </c>
      <c r="X88" s="33" t="s">
        <v>210</v>
      </c>
      <c r="Y88" s="33" t="s">
        <v>209</v>
      </c>
      <c r="Z88" s="33" t="s">
        <v>209</v>
      </c>
      <c r="AA88" s="35" t="str">
        <f>_xlfn.IFNA(VLOOKUP(E88,'Lookup Table'!$J$33:$K$176,2,0),"B3")</f>
        <v>B3</v>
      </c>
      <c r="AB88" s="35">
        <f>_xlfn.IFNA(VLOOKUP($AA88,'Rating Lookup'!$B$2:$I$27,8,0),15)</f>
        <v>16</v>
      </c>
      <c r="AC88" s="35" t="str">
        <f>_xlfn.IFNA(VLOOKUP(E88,'Lookup Table'!$M$33:$N$173,2,0),"B3")</f>
        <v>B3</v>
      </c>
      <c r="AD88" s="35">
        <f>_xlfn.IFNA(VLOOKUP($AC88,'Rating Lookup'!$B$2:$I$27,8,0),15)</f>
        <v>16</v>
      </c>
      <c r="AE88" s="35">
        <f t="shared" si="24"/>
        <v>0</v>
      </c>
      <c r="AG88" s="35" t="str">
        <f t="shared" si="25"/>
        <v>DJIBOUTI AIRPORT IMPROV.</v>
      </c>
      <c r="AH88" s="35" t="str">
        <f t="shared" si="26"/>
        <v>Government Loan</v>
      </c>
      <c r="AI88" s="202">
        <f>'ECL Calculation'!$B$1</f>
        <v>43465</v>
      </c>
      <c r="AJ88" s="202">
        <f t="shared" si="27"/>
        <v>365</v>
      </c>
      <c r="AK88" s="202">
        <f t="shared" si="28"/>
        <v>31532</v>
      </c>
      <c r="AL88" s="127">
        <f t="shared" si="29"/>
        <v>13</v>
      </c>
      <c r="AM88" s="192">
        <f>IF(AND(IF(ISBLANK(K88),EOMONTH(AJ88,AL88*12),K88)&lt;'ECL Calculation'!$B$1,SUM('Input Sheet'!Q88,'Input Sheet'!R88)&gt;0),EOMONTH('ECL Calculation'!$B$1,12*5),IF(ISBLANK(K88),EOMONTH(AJ88,AL88*12),K88))</f>
        <v>45291</v>
      </c>
      <c r="AN88" s="203">
        <f t="shared" si="30"/>
        <v>17128717.859999999</v>
      </c>
      <c r="AO88" s="203">
        <f t="shared" si="31"/>
        <v>17128717.859999999</v>
      </c>
      <c r="AP88" s="203">
        <f t="shared" si="32"/>
        <v>0</v>
      </c>
      <c r="AQ88" s="126">
        <f>VLOOKUP(U88,'Lookup Table'!$B$2:$C$10,2,0)</f>
        <v>1</v>
      </c>
      <c r="AR88" s="127">
        <f>VLOOKUP(S88,'Lookup Table'!$B$2:$C$9,2,0)</f>
        <v>2</v>
      </c>
      <c r="AS88" s="127">
        <f>VLOOKUP(T88,'Lookup Table'!$B$2:$C$9,2,0)</f>
        <v>2</v>
      </c>
      <c r="AT88" s="136">
        <f t="shared" si="33"/>
        <v>0</v>
      </c>
      <c r="AU88" s="128">
        <f t="shared" si="34"/>
        <v>0.04</v>
      </c>
      <c r="AV88" s="136">
        <f t="shared" si="35"/>
        <v>47.46</v>
      </c>
      <c r="AW88" s="37" t="str">
        <f t="shared" si="36"/>
        <v>B3</v>
      </c>
      <c r="AX88" s="128">
        <f>VLOOKUP(E88,'Lookup Table'!$B$12:$C$82,2,0)</f>
        <v>3.6666666666666667E-2</v>
      </c>
      <c r="AY88" s="128">
        <f>'Lookup Table'!$E$3</f>
        <v>0.45</v>
      </c>
      <c r="AZ88" s="129" t="str">
        <f t="shared" si="37"/>
        <v>Djibouti</v>
      </c>
      <c r="BA88" s="37">
        <f>VLOOKUP(AA88,'Lookup Table'!$J$3:$K$27,2,0)</f>
        <v>1</v>
      </c>
      <c r="BB88" s="37">
        <f t="shared" si="38"/>
        <v>1</v>
      </c>
      <c r="BC88" s="37">
        <f t="shared" si="39"/>
        <v>1</v>
      </c>
      <c r="BD88" s="37">
        <f>IF(AND(K88&lt;'ECL Calculation'!$B$1,'Input Sheet'!W88="No"),3,IF(X88="Yes",2,1))</f>
        <v>3</v>
      </c>
      <c r="BE88" s="37">
        <f t="shared" si="40"/>
        <v>3</v>
      </c>
      <c r="BF88" s="37" t="str">
        <f t="shared" si="41"/>
        <v>Stage 3</v>
      </c>
      <c r="BG88" s="37" t="str">
        <f t="shared" si="42"/>
        <v>No</v>
      </c>
    </row>
    <row r="89" spans="1:59" x14ac:dyDescent="0.2">
      <c r="A89" s="35">
        <f t="shared" si="43"/>
        <v>87</v>
      </c>
      <c r="B89" s="33">
        <v>1087</v>
      </c>
      <c r="C89" s="33" t="s">
        <v>338</v>
      </c>
      <c r="D89" s="33" t="s">
        <v>806</v>
      </c>
      <c r="E89" s="33" t="s">
        <v>495</v>
      </c>
      <c r="F89" s="33" t="s">
        <v>542</v>
      </c>
      <c r="G89" s="117">
        <v>4</v>
      </c>
      <c r="H89" s="34">
        <v>31628</v>
      </c>
      <c r="I89" s="34">
        <v>32119</v>
      </c>
      <c r="J89" s="34">
        <v>32119</v>
      </c>
      <c r="K89" s="34">
        <v>39020</v>
      </c>
      <c r="L89" s="34">
        <v>33724</v>
      </c>
      <c r="M89" s="34">
        <v>31532</v>
      </c>
      <c r="N89" s="113">
        <v>15</v>
      </c>
      <c r="O89" s="200">
        <v>36702598.560000002</v>
      </c>
      <c r="P89" s="200">
        <v>36702598.560000002</v>
      </c>
      <c r="Q89" s="200">
        <v>0</v>
      </c>
      <c r="R89" s="201">
        <v>0</v>
      </c>
      <c r="S89" s="33" t="s">
        <v>22</v>
      </c>
      <c r="T89" s="33" t="s">
        <v>22</v>
      </c>
      <c r="U89" s="33" t="s">
        <v>203</v>
      </c>
      <c r="V89" s="33"/>
      <c r="W89" s="33" t="s">
        <v>210</v>
      </c>
      <c r="X89" s="33" t="s">
        <v>210</v>
      </c>
      <c r="Y89" s="33"/>
      <c r="Z89" s="33" t="s">
        <v>209</v>
      </c>
      <c r="AA89" s="35" t="str">
        <f>_xlfn.IFNA(VLOOKUP(E89,'Lookup Table'!$J$33:$K$176,2,0),"B3")</f>
        <v>Ba3</v>
      </c>
      <c r="AB89" s="35">
        <f>_xlfn.IFNA(VLOOKUP($AA89,'Rating Lookup'!$B$2:$I$27,8,0),15)</f>
        <v>13</v>
      </c>
      <c r="AC89" s="35" t="str">
        <f>_xlfn.IFNA(VLOOKUP(E89,'Lookup Table'!$M$33:$N$173,2,0),"B3")</f>
        <v>B1</v>
      </c>
      <c r="AD89" s="35">
        <f>_xlfn.IFNA(VLOOKUP($AC89,'Rating Lookup'!$B$2:$I$27,8,0),15)</f>
        <v>14</v>
      </c>
      <c r="AE89" s="35">
        <f t="shared" si="24"/>
        <v>0</v>
      </c>
      <c r="AG89" s="35" t="str">
        <f t="shared" si="25"/>
        <v>AGRICULTURAL MATAM SAED</v>
      </c>
      <c r="AH89" s="35" t="str">
        <f t="shared" si="26"/>
        <v>Government Loan</v>
      </c>
      <c r="AI89" s="202">
        <f>'ECL Calculation'!$B$1</f>
        <v>43465</v>
      </c>
      <c r="AJ89" s="202">
        <f t="shared" si="27"/>
        <v>33724</v>
      </c>
      <c r="AK89" s="202">
        <f t="shared" si="28"/>
        <v>31532</v>
      </c>
      <c r="AL89" s="127">
        <f t="shared" si="29"/>
        <v>15</v>
      </c>
      <c r="AM89" s="192">
        <f>IF(AND(IF(ISBLANK(K89),EOMONTH(AJ89,AL89*12),K89)&lt;'ECL Calculation'!$B$1,SUM('Input Sheet'!Q89,'Input Sheet'!R89)&gt;0),EOMONTH('ECL Calculation'!$B$1,12*5),IF(ISBLANK(K89),EOMONTH(AJ89,AL89*12),K89))</f>
        <v>39020</v>
      </c>
      <c r="AN89" s="203">
        <f t="shared" si="30"/>
        <v>36702598.560000002</v>
      </c>
      <c r="AO89" s="203">
        <f t="shared" si="31"/>
        <v>36702598.560000002</v>
      </c>
      <c r="AP89" s="203">
        <f t="shared" si="32"/>
        <v>0</v>
      </c>
      <c r="AQ89" s="126">
        <f>VLOOKUP(U89,'Lookup Table'!$B$2:$C$10,2,0)</f>
        <v>1</v>
      </c>
      <c r="AR89" s="127">
        <f>VLOOKUP(S89,'Lookup Table'!$B$2:$C$9,2,0)</f>
        <v>2</v>
      </c>
      <c r="AS89" s="127">
        <f>VLOOKUP(T89,'Lookup Table'!$B$2:$C$9,2,0)</f>
        <v>2</v>
      </c>
      <c r="AT89" s="136">
        <f t="shared" si="33"/>
        <v>0</v>
      </c>
      <c r="AU89" s="128">
        <f t="shared" si="34"/>
        <v>0.04</v>
      </c>
      <c r="AV89" s="136">
        <f t="shared" si="35"/>
        <v>0</v>
      </c>
      <c r="AW89" s="37" t="str">
        <f t="shared" si="36"/>
        <v>Ba3</v>
      </c>
      <c r="AX89" s="128">
        <f>VLOOKUP(E89,'Lookup Table'!$B$12:$C$82,2,0)</f>
        <v>2.75E-2</v>
      </c>
      <c r="AY89" s="128">
        <f>'Lookup Table'!$E$3</f>
        <v>0.45</v>
      </c>
      <c r="AZ89" s="129" t="str">
        <f t="shared" si="37"/>
        <v>Senegal</v>
      </c>
      <c r="BA89" s="37">
        <f>VLOOKUP(AA89,'Lookup Table'!$J$3:$K$27,2,0)</f>
        <v>1</v>
      </c>
      <c r="BB89" s="37">
        <f t="shared" si="38"/>
        <v>1</v>
      </c>
      <c r="BC89" s="37">
        <f t="shared" si="39"/>
        <v>1</v>
      </c>
      <c r="BD89" s="37">
        <f>IF(AND(K89&lt;'ECL Calculation'!$B$1,'Input Sheet'!W89="No"),3,IF(X89="Yes",2,1))</f>
        <v>3</v>
      </c>
      <c r="BE89" s="37">
        <f t="shared" si="40"/>
        <v>1</v>
      </c>
      <c r="BF89" s="37" t="str">
        <f t="shared" si="41"/>
        <v>Stage 3</v>
      </c>
      <c r="BG89" s="37" t="str">
        <f t="shared" si="42"/>
        <v>No</v>
      </c>
    </row>
    <row r="90" spans="1:59" x14ac:dyDescent="0.2">
      <c r="A90" s="35">
        <f t="shared" si="43"/>
        <v>88</v>
      </c>
      <c r="B90" s="33">
        <v>1088</v>
      </c>
      <c r="C90" s="33" t="s">
        <v>339</v>
      </c>
      <c r="D90" s="33" t="s">
        <v>806</v>
      </c>
      <c r="E90" s="33" t="s">
        <v>479</v>
      </c>
      <c r="F90" s="33" t="s">
        <v>542</v>
      </c>
      <c r="G90" s="117">
        <v>5</v>
      </c>
      <c r="H90" s="34">
        <v>32175</v>
      </c>
      <c r="I90" s="34">
        <v>32299</v>
      </c>
      <c r="J90" s="34">
        <v>32299</v>
      </c>
      <c r="K90" s="34">
        <v>39385</v>
      </c>
      <c r="L90" s="34">
        <v>34089</v>
      </c>
      <c r="M90" s="34">
        <v>32263</v>
      </c>
      <c r="N90" s="113">
        <v>15</v>
      </c>
      <c r="O90" s="200">
        <v>36556155.829999998</v>
      </c>
      <c r="P90" s="200">
        <v>36556155.829999998</v>
      </c>
      <c r="Q90" s="200">
        <v>0</v>
      </c>
      <c r="R90" s="201">
        <v>0</v>
      </c>
      <c r="S90" s="33" t="s">
        <v>22</v>
      </c>
      <c r="T90" s="33" t="s">
        <v>22</v>
      </c>
      <c r="U90" s="33" t="s">
        <v>203</v>
      </c>
      <c r="V90" s="33"/>
      <c r="W90" s="33" t="s">
        <v>210</v>
      </c>
      <c r="X90" s="33" t="s">
        <v>210</v>
      </c>
      <c r="Y90" s="33"/>
      <c r="Z90" s="33" t="s">
        <v>209</v>
      </c>
      <c r="AA90" s="35" t="str">
        <f>_xlfn.IFNA(VLOOKUP(E90,'Lookup Table'!$J$33:$K$176,2,0),"B3")</f>
        <v>B2</v>
      </c>
      <c r="AB90" s="35">
        <f>_xlfn.IFNA(VLOOKUP($AA90,'Rating Lookup'!$B$2:$I$27,8,0),15)</f>
        <v>15</v>
      </c>
      <c r="AC90" s="35" t="str">
        <f>_xlfn.IFNA(VLOOKUP(E90,'Lookup Table'!$M$33:$N$173,2,0),"B3")</f>
        <v>Baa3</v>
      </c>
      <c r="AD90" s="35">
        <f>_xlfn.IFNA(VLOOKUP($AC90,'Rating Lookup'!$B$2:$I$27,8,0),15)</f>
        <v>10</v>
      </c>
      <c r="AE90" s="35">
        <f t="shared" si="24"/>
        <v>5</v>
      </c>
      <c r="AG90" s="35" t="str">
        <f t="shared" si="25"/>
        <v>RURAL DEVELOPMENT</v>
      </c>
      <c r="AH90" s="35" t="str">
        <f t="shared" si="26"/>
        <v>Government Loan</v>
      </c>
      <c r="AI90" s="202">
        <f>'ECL Calculation'!$B$1</f>
        <v>43465</v>
      </c>
      <c r="AJ90" s="202">
        <f t="shared" si="27"/>
        <v>34089</v>
      </c>
      <c r="AK90" s="202">
        <f t="shared" si="28"/>
        <v>32263</v>
      </c>
      <c r="AL90" s="127">
        <f t="shared" si="29"/>
        <v>15</v>
      </c>
      <c r="AM90" s="192">
        <f>IF(AND(IF(ISBLANK(K90),EOMONTH(AJ90,AL90*12),K90)&lt;'ECL Calculation'!$B$1,SUM('Input Sheet'!Q90,'Input Sheet'!R90)&gt;0),EOMONTH('ECL Calculation'!$B$1,12*5),IF(ISBLANK(K90),EOMONTH(AJ90,AL90*12),K90))</f>
        <v>39385</v>
      </c>
      <c r="AN90" s="203">
        <f t="shared" si="30"/>
        <v>36556155.829999998</v>
      </c>
      <c r="AO90" s="203">
        <f t="shared" si="31"/>
        <v>36556155.829999998</v>
      </c>
      <c r="AP90" s="203">
        <f t="shared" si="32"/>
        <v>0</v>
      </c>
      <c r="AQ90" s="126">
        <f>VLOOKUP(U90,'Lookup Table'!$B$2:$C$10,2,0)</f>
        <v>1</v>
      </c>
      <c r="AR90" s="127">
        <f>VLOOKUP(S90,'Lookup Table'!$B$2:$C$9,2,0)</f>
        <v>2</v>
      </c>
      <c r="AS90" s="127">
        <f>VLOOKUP(T90,'Lookup Table'!$B$2:$C$9,2,0)</f>
        <v>2</v>
      </c>
      <c r="AT90" s="136">
        <f t="shared" si="33"/>
        <v>0</v>
      </c>
      <c r="AU90" s="128">
        <f t="shared" si="34"/>
        <v>0.05</v>
      </c>
      <c r="AV90" s="136">
        <f t="shared" si="35"/>
        <v>0</v>
      </c>
      <c r="AW90" s="37" t="str">
        <f t="shared" si="36"/>
        <v>B2</v>
      </c>
      <c r="AX90" s="128">
        <f>VLOOKUP(E90,'Lookup Table'!$B$12:$C$82,2,0)</f>
        <v>4.5999999999999999E-2</v>
      </c>
      <c r="AY90" s="128">
        <f>'Lookup Table'!$E$3</f>
        <v>0.45</v>
      </c>
      <c r="AZ90" s="129" t="str">
        <f t="shared" si="37"/>
        <v>Tunisia</v>
      </c>
      <c r="BA90" s="37">
        <f>VLOOKUP(AA90,'Lookup Table'!$J$3:$K$27,2,0)</f>
        <v>1</v>
      </c>
      <c r="BB90" s="37">
        <f t="shared" si="38"/>
        <v>2</v>
      </c>
      <c r="BC90" s="37">
        <f t="shared" si="39"/>
        <v>1</v>
      </c>
      <c r="BD90" s="37">
        <f>IF(AND(K90&lt;'ECL Calculation'!$B$1,'Input Sheet'!W90="No"),3,IF(X90="Yes",2,1))</f>
        <v>3</v>
      </c>
      <c r="BE90" s="37">
        <f t="shared" si="40"/>
        <v>1</v>
      </c>
      <c r="BF90" s="37" t="str">
        <f t="shared" si="41"/>
        <v>Stage 3</v>
      </c>
      <c r="BG90" s="37" t="str">
        <f t="shared" si="42"/>
        <v>No</v>
      </c>
    </row>
    <row r="91" spans="1:59" x14ac:dyDescent="0.2">
      <c r="A91" s="35">
        <f t="shared" si="43"/>
        <v>89</v>
      </c>
      <c r="B91" s="33">
        <v>1089</v>
      </c>
      <c r="C91" s="33" t="s">
        <v>340</v>
      </c>
      <c r="D91" s="33" t="s">
        <v>806</v>
      </c>
      <c r="E91" s="33" t="s">
        <v>24</v>
      </c>
      <c r="F91" s="33" t="s">
        <v>542</v>
      </c>
      <c r="G91" s="117">
        <v>4.5</v>
      </c>
      <c r="H91" s="34">
        <v>32544</v>
      </c>
      <c r="I91" s="34">
        <v>32593</v>
      </c>
      <c r="J91" s="34">
        <v>32593</v>
      </c>
      <c r="K91" s="34">
        <v>37194</v>
      </c>
      <c r="L91" s="34">
        <v>33724</v>
      </c>
      <c r="M91" s="34">
        <v>32628</v>
      </c>
      <c r="N91" s="113">
        <v>10</v>
      </c>
      <c r="O91" s="200">
        <v>40000000</v>
      </c>
      <c r="P91" s="200">
        <v>40000000</v>
      </c>
      <c r="Q91" s="200">
        <v>0</v>
      </c>
      <c r="R91" s="201">
        <v>0</v>
      </c>
      <c r="S91" s="33" t="s">
        <v>22</v>
      </c>
      <c r="T91" s="33" t="s">
        <v>22</v>
      </c>
      <c r="U91" s="33" t="s">
        <v>203</v>
      </c>
      <c r="V91" s="33"/>
      <c r="W91" s="33" t="s">
        <v>210</v>
      </c>
      <c r="X91" s="33" t="s">
        <v>210</v>
      </c>
      <c r="Y91" s="33"/>
      <c r="Z91" s="33" t="s">
        <v>209</v>
      </c>
      <c r="AA91" s="35" t="str">
        <f>_xlfn.IFNA(VLOOKUP(E91,'Lookup Table'!$J$33:$K$176,2,0),"B3")</f>
        <v>Ba1</v>
      </c>
      <c r="AB91" s="35">
        <f>_xlfn.IFNA(VLOOKUP($AA91,'Rating Lookup'!$B$2:$I$27,8,0),15)</f>
        <v>11</v>
      </c>
      <c r="AC91" s="35" t="str">
        <f>_xlfn.IFNA(VLOOKUP(E91,'Lookup Table'!$M$33:$N$173,2,0),"B3")</f>
        <v>A1</v>
      </c>
      <c r="AD91" s="35">
        <f>_xlfn.IFNA(VLOOKUP($AC91,'Rating Lookup'!$B$2:$I$27,8,0),15)</f>
        <v>5</v>
      </c>
      <c r="AE91" s="35">
        <f t="shared" si="24"/>
        <v>6</v>
      </c>
      <c r="AG91" s="35" t="str">
        <f t="shared" si="25"/>
        <v>ELECTRICAL STATION &amp;WATER</v>
      </c>
      <c r="AH91" s="35" t="str">
        <f t="shared" si="26"/>
        <v>Government Loan</v>
      </c>
      <c r="AI91" s="202">
        <f>'ECL Calculation'!$B$1</f>
        <v>43465</v>
      </c>
      <c r="AJ91" s="202">
        <f t="shared" si="27"/>
        <v>33724</v>
      </c>
      <c r="AK91" s="202">
        <f t="shared" si="28"/>
        <v>32628</v>
      </c>
      <c r="AL91" s="127">
        <f t="shared" si="29"/>
        <v>10</v>
      </c>
      <c r="AM91" s="192">
        <f>IF(AND(IF(ISBLANK(K91),EOMONTH(AJ91,AL91*12),K91)&lt;'ECL Calculation'!$B$1,SUM('Input Sheet'!Q91,'Input Sheet'!R91)&gt;0),EOMONTH('ECL Calculation'!$B$1,12*5),IF(ISBLANK(K91),EOMONTH(AJ91,AL91*12),K91))</f>
        <v>37194</v>
      </c>
      <c r="AN91" s="203">
        <f t="shared" si="30"/>
        <v>40000000</v>
      </c>
      <c r="AO91" s="203">
        <f t="shared" si="31"/>
        <v>40000000</v>
      </c>
      <c r="AP91" s="203">
        <f t="shared" si="32"/>
        <v>0</v>
      </c>
      <c r="AQ91" s="126">
        <f>VLOOKUP(U91,'Lookup Table'!$B$2:$C$10,2,0)</f>
        <v>1</v>
      </c>
      <c r="AR91" s="127">
        <f>VLOOKUP(S91,'Lookup Table'!$B$2:$C$9,2,0)</f>
        <v>2</v>
      </c>
      <c r="AS91" s="127">
        <f>VLOOKUP(T91,'Lookup Table'!$B$2:$C$9,2,0)</f>
        <v>2</v>
      </c>
      <c r="AT91" s="136">
        <f t="shared" si="33"/>
        <v>0</v>
      </c>
      <c r="AU91" s="128">
        <f t="shared" si="34"/>
        <v>4.4999999999999998E-2</v>
      </c>
      <c r="AV91" s="136">
        <f t="shared" si="35"/>
        <v>0</v>
      </c>
      <c r="AW91" s="37" t="str">
        <f t="shared" si="36"/>
        <v>Ba1</v>
      </c>
      <c r="AX91" s="128">
        <f>VLOOKUP(E91,'Lookup Table'!$B$12:$C$82,2,0)</f>
        <v>3.6818181818181819E-2</v>
      </c>
      <c r="AY91" s="128">
        <f>'Lookup Table'!$E$3</f>
        <v>0.45</v>
      </c>
      <c r="AZ91" s="129" t="str">
        <f t="shared" si="37"/>
        <v>Oman</v>
      </c>
      <c r="BA91" s="37">
        <f>VLOOKUP(AA91,'Lookup Table'!$J$3:$K$27,2,0)</f>
        <v>1</v>
      </c>
      <c r="BB91" s="37">
        <f t="shared" si="38"/>
        <v>2</v>
      </c>
      <c r="BC91" s="37">
        <f t="shared" si="39"/>
        <v>1</v>
      </c>
      <c r="BD91" s="37">
        <f>IF(AND(K91&lt;'ECL Calculation'!$B$1,'Input Sheet'!W91="No"),3,IF(X91="Yes",2,1))</f>
        <v>3</v>
      </c>
      <c r="BE91" s="37">
        <f t="shared" si="40"/>
        <v>1</v>
      </c>
      <c r="BF91" s="37" t="str">
        <f t="shared" si="41"/>
        <v>Stage 3</v>
      </c>
      <c r="BG91" s="37" t="str">
        <f t="shared" si="42"/>
        <v>No</v>
      </c>
    </row>
    <row r="92" spans="1:59" x14ac:dyDescent="0.2">
      <c r="A92" s="35">
        <f t="shared" si="43"/>
        <v>90</v>
      </c>
      <c r="B92" s="33">
        <v>1090</v>
      </c>
      <c r="C92" s="33" t="s">
        <v>341</v>
      </c>
      <c r="D92" s="33" t="s">
        <v>806</v>
      </c>
      <c r="E92" s="33" t="s">
        <v>231</v>
      </c>
      <c r="F92" s="33" t="s">
        <v>229</v>
      </c>
      <c r="G92" s="117">
        <v>3</v>
      </c>
      <c r="H92" s="34">
        <v>32833</v>
      </c>
      <c r="I92" s="34">
        <v>32983</v>
      </c>
      <c r="J92" s="34">
        <v>32983</v>
      </c>
      <c r="K92" s="34">
        <v>42673</v>
      </c>
      <c r="L92" s="34">
        <v>35915</v>
      </c>
      <c r="M92" s="34">
        <v>32993</v>
      </c>
      <c r="N92" s="113">
        <v>12</v>
      </c>
      <c r="O92" s="200">
        <v>262826772.64199999</v>
      </c>
      <c r="P92" s="200">
        <v>262826772.63999999</v>
      </c>
      <c r="Q92" s="200">
        <v>-0.02</v>
      </c>
      <c r="R92" s="201">
        <v>0</v>
      </c>
      <c r="S92" s="33" t="s">
        <v>22</v>
      </c>
      <c r="T92" s="33" t="s">
        <v>22</v>
      </c>
      <c r="U92" s="33" t="s">
        <v>203</v>
      </c>
      <c r="V92" s="33"/>
      <c r="W92" s="33" t="s">
        <v>210</v>
      </c>
      <c r="X92" s="33" t="s">
        <v>210</v>
      </c>
      <c r="Y92" s="33"/>
      <c r="Z92" s="33" t="s">
        <v>209</v>
      </c>
      <c r="AA92" s="35" t="str">
        <f>_xlfn.IFNA(VLOOKUP(E92,'Lookup Table'!$J$33:$K$176,2,0),"B3")</f>
        <v>B2</v>
      </c>
      <c r="AB92" s="35">
        <f>_xlfn.IFNA(VLOOKUP($AA92,'Rating Lookup'!$B$2:$I$27,8,0),15)</f>
        <v>15</v>
      </c>
      <c r="AC92" s="35" t="str">
        <f>_xlfn.IFNA(VLOOKUP(E92,'Lookup Table'!$M$33:$N$173,2,0),"B3")</f>
        <v>B2</v>
      </c>
      <c r="AD92" s="35">
        <f>_xlfn.IFNA(VLOOKUP($AC92,'Rating Lookup'!$B$2:$I$27,8,0),15)</f>
        <v>15</v>
      </c>
      <c r="AE92" s="35">
        <f t="shared" si="24"/>
        <v>0</v>
      </c>
      <c r="AG92" s="35" t="str">
        <f t="shared" si="25"/>
        <v>RECLAMATION LAND NOBARIA</v>
      </c>
      <c r="AH92" s="35" t="str">
        <f t="shared" si="26"/>
        <v>Government Loan</v>
      </c>
      <c r="AI92" s="202">
        <f>'ECL Calculation'!$B$1</f>
        <v>43465</v>
      </c>
      <c r="AJ92" s="202">
        <f t="shared" si="27"/>
        <v>35915</v>
      </c>
      <c r="AK92" s="202">
        <f t="shared" si="28"/>
        <v>32993</v>
      </c>
      <c r="AL92" s="127">
        <f t="shared" si="29"/>
        <v>12</v>
      </c>
      <c r="AM92" s="192">
        <f>IF(AND(IF(ISBLANK(K92),EOMONTH(AJ92,AL92*12),K92)&lt;'ECL Calculation'!$B$1,SUM('Input Sheet'!Q92,'Input Sheet'!R92)&gt;0),EOMONTH('ECL Calculation'!$B$1,12*5),IF(ISBLANK(K92),EOMONTH(AJ92,AL92*12),K92))</f>
        <v>42673</v>
      </c>
      <c r="AN92" s="203">
        <f t="shared" si="30"/>
        <v>262826772.64199999</v>
      </c>
      <c r="AO92" s="203">
        <f t="shared" si="31"/>
        <v>262826772.63999999</v>
      </c>
      <c r="AP92" s="203">
        <f t="shared" si="32"/>
        <v>2.0000040531158447E-3</v>
      </c>
      <c r="AQ92" s="126">
        <f>VLOOKUP(U92,'Lookup Table'!$B$2:$C$10,2,0)</f>
        <v>1</v>
      </c>
      <c r="AR92" s="127">
        <f>VLOOKUP(S92,'Lookup Table'!$B$2:$C$9,2,0)</f>
        <v>2</v>
      </c>
      <c r="AS92" s="127">
        <f>VLOOKUP(T92,'Lookup Table'!$B$2:$C$9,2,0)</f>
        <v>2</v>
      </c>
      <c r="AT92" s="136">
        <f t="shared" si="33"/>
        <v>-0.02</v>
      </c>
      <c r="AU92" s="128">
        <f t="shared" si="34"/>
        <v>0.03</v>
      </c>
      <c r="AV92" s="136">
        <f t="shared" si="35"/>
        <v>0</v>
      </c>
      <c r="AW92" s="37" t="str">
        <f t="shared" si="36"/>
        <v>B2</v>
      </c>
      <c r="AX92" s="128">
        <f>VLOOKUP(E92,'Lookup Table'!$B$12:$C$82,2,0)</f>
        <v>2.8999999999999998E-2</v>
      </c>
      <c r="AY92" s="128">
        <f>'Lookup Table'!$E$3</f>
        <v>0.45</v>
      </c>
      <c r="AZ92" s="129" t="str">
        <f t="shared" si="37"/>
        <v>Egypt</v>
      </c>
      <c r="BA92" s="37">
        <f>VLOOKUP(AA92,'Lookup Table'!$J$3:$K$27,2,0)</f>
        <v>1</v>
      </c>
      <c r="BB92" s="37">
        <f t="shared" si="38"/>
        <v>1</v>
      </c>
      <c r="BC92" s="37">
        <f t="shared" si="39"/>
        <v>1</v>
      </c>
      <c r="BD92" s="37">
        <f>IF(AND(K92&lt;'ECL Calculation'!$B$1,'Input Sheet'!W92="No"),3,IF(X92="Yes",2,1))</f>
        <v>3</v>
      </c>
      <c r="BE92" s="37">
        <f t="shared" si="40"/>
        <v>1</v>
      </c>
      <c r="BF92" s="37" t="str">
        <f t="shared" si="41"/>
        <v>Stage 3</v>
      </c>
      <c r="BG92" s="37" t="str">
        <f t="shared" si="42"/>
        <v>No</v>
      </c>
    </row>
    <row r="93" spans="1:59" x14ac:dyDescent="0.2">
      <c r="A93" s="35">
        <f t="shared" si="43"/>
        <v>91</v>
      </c>
      <c r="B93" s="33">
        <v>1091</v>
      </c>
      <c r="C93" s="33" t="s">
        <v>342</v>
      </c>
      <c r="D93" s="33" t="s">
        <v>806</v>
      </c>
      <c r="E93" s="33" t="s">
        <v>231</v>
      </c>
      <c r="F93" s="33" t="s">
        <v>542</v>
      </c>
      <c r="G93" s="117">
        <v>2</v>
      </c>
      <c r="H93" s="34">
        <v>33595</v>
      </c>
      <c r="I93" s="34">
        <v>33717</v>
      </c>
      <c r="J93" s="34">
        <v>33717</v>
      </c>
      <c r="K93" s="34">
        <v>42673</v>
      </c>
      <c r="L93" s="34">
        <v>37376</v>
      </c>
      <c r="M93" s="34">
        <v>34089</v>
      </c>
      <c r="N93" s="113">
        <v>15</v>
      </c>
      <c r="O93" s="200">
        <v>183550000</v>
      </c>
      <c r="P93" s="200">
        <v>183550000</v>
      </c>
      <c r="Q93" s="200">
        <v>0</v>
      </c>
      <c r="R93" s="201">
        <v>-369.45</v>
      </c>
      <c r="S93" s="33" t="s">
        <v>22</v>
      </c>
      <c r="T93" s="33" t="s">
        <v>22</v>
      </c>
      <c r="U93" s="33" t="s">
        <v>203</v>
      </c>
      <c r="V93" s="33"/>
      <c r="W93" s="33" t="s">
        <v>210</v>
      </c>
      <c r="X93" s="33" t="s">
        <v>210</v>
      </c>
      <c r="Y93" s="33"/>
      <c r="Z93" s="33" t="s">
        <v>209</v>
      </c>
      <c r="AA93" s="35" t="str">
        <f>_xlfn.IFNA(VLOOKUP(E93,'Lookup Table'!$J$33:$K$176,2,0),"B3")</f>
        <v>B2</v>
      </c>
      <c r="AB93" s="35">
        <f>_xlfn.IFNA(VLOOKUP($AA93,'Rating Lookup'!$B$2:$I$27,8,0),15)</f>
        <v>15</v>
      </c>
      <c r="AC93" s="35" t="str">
        <f>_xlfn.IFNA(VLOOKUP(E93,'Lookup Table'!$M$33:$N$173,2,0),"B3")</f>
        <v>B2</v>
      </c>
      <c r="AD93" s="35">
        <f>_xlfn.IFNA(VLOOKUP($AC93,'Rating Lookup'!$B$2:$I$27,8,0),15)</f>
        <v>15</v>
      </c>
      <c r="AE93" s="35">
        <f t="shared" si="24"/>
        <v>0</v>
      </c>
      <c r="AG93" s="35" t="str">
        <f t="shared" si="25"/>
        <v>SOCIAL FUND FOR DEVELOPMENT</v>
      </c>
      <c r="AH93" s="35" t="str">
        <f t="shared" si="26"/>
        <v>Government Loan</v>
      </c>
      <c r="AI93" s="202">
        <f>'ECL Calculation'!$B$1</f>
        <v>43465</v>
      </c>
      <c r="AJ93" s="202">
        <f t="shared" si="27"/>
        <v>37376</v>
      </c>
      <c r="AK93" s="202">
        <f t="shared" si="28"/>
        <v>34089</v>
      </c>
      <c r="AL93" s="127">
        <f t="shared" si="29"/>
        <v>15</v>
      </c>
      <c r="AM93" s="192">
        <f>IF(AND(IF(ISBLANK(K93),EOMONTH(AJ93,AL93*12),K93)&lt;'ECL Calculation'!$B$1,SUM('Input Sheet'!Q93,'Input Sheet'!R93)&gt;0),EOMONTH('ECL Calculation'!$B$1,12*5),IF(ISBLANK(K93),EOMONTH(AJ93,AL93*12),K93))</f>
        <v>42673</v>
      </c>
      <c r="AN93" s="203">
        <f t="shared" si="30"/>
        <v>183550000</v>
      </c>
      <c r="AO93" s="203">
        <f t="shared" si="31"/>
        <v>183550000</v>
      </c>
      <c r="AP93" s="203">
        <f t="shared" si="32"/>
        <v>0</v>
      </c>
      <c r="AQ93" s="126">
        <f>VLOOKUP(U93,'Lookup Table'!$B$2:$C$10,2,0)</f>
        <v>1</v>
      </c>
      <c r="AR93" s="127">
        <f>VLOOKUP(S93,'Lookup Table'!$B$2:$C$9,2,0)</f>
        <v>2</v>
      </c>
      <c r="AS93" s="127">
        <f>VLOOKUP(T93,'Lookup Table'!$B$2:$C$9,2,0)</f>
        <v>2</v>
      </c>
      <c r="AT93" s="136">
        <f t="shared" si="33"/>
        <v>0</v>
      </c>
      <c r="AU93" s="128">
        <f t="shared" si="34"/>
        <v>0.02</v>
      </c>
      <c r="AV93" s="136">
        <f t="shared" si="35"/>
        <v>-369.45</v>
      </c>
      <c r="AW93" s="37" t="str">
        <f t="shared" si="36"/>
        <v>B2</v>
      </c>
      <c r="AX93" s="128">
        <f>VLOOKUP(E93,'Lookup Table'!$B$12:$C$82,2,0)</f>
        <v>2.8999999999999998E-2</v>
      </c>
      <c r="AY93" s="128">
        <f>'Lookup Table'!$E$3</f>
        <v>0.45</v>
      </c>
      <c r="AZ93" s="129" t="str">
        <f t="shared" si="37"/>
        <v>Egypt</v>
      </c>
      <c r="BA93" s="37">
        <f>VLOOKUP(AA93,'Lookup Table'!$J$3:$K$27,2,0)</f>
        <v>1</v>
      </c>
      <c r="BB93" s="37">
        <f t="shared" si="38"/>
        <v>1</v>
      </c>
      <c r="BC93" s="37">
        <f t="shared" si="39"/>
        <v>1</v>
      </c>
      <c r="BD93" s="37">
        <f>IF(AND(K93&lt;'ECL Calculation'!$B$1,'Input Sheet'!W93="No"),3,IF(X93="Yes",2,1))</f>
        <v>3</v>
      </c>
      <c r="BE93" s="37">
        <f t="shared" si="40"/>
        <v>1</v>
      </c>
      <c r="BF93" s="37" t="str">
        <f t="shared" si="41"/>
        <v>Stage 3</v>
      </c>
      <c r="BG93" s="37" t="str">
        <f t="shared" si="42"/>
        <v>No</v>
      </c>
    </row>
    <row r="94" spans="1:59" x14ac:dyDescent="0.2">
      <c r="A94" s="35">
        <f t="shared" si="43"/>
        <v>92</v>
      </c>
      <c r="B94" s="33">
        <v>1092</v>
      </c>
      <c r="C94" s="33" t="s">
        <v>343</v>
      </c>
      <c r="D94" s="33" t="s">
        <v>806</v>
      </c>
      <c r="E94" s="33" t="s">
        <v>21</v>
      </c>
      <c r="F94" s="33" t="s">
        <v>542</v>
      </c>
      <c r="G94" s="117">
        <v>2</v>
      </c>
      <c r="H94" s="34">
        <v>34159</v>
      </c>
      <c r="I94" s="34">
        <v>34756</v>
      </c>
      <c r="J94" s="34">
        <v>34756</v>
      </c>
      <c r="K94" s="34">
        <v>39933</v>
      </c>
      <c r="L94" s="34">
        <v>36463</v>
      </c>
      <c r="M94" s="34">
        <v>35002</v>
      </c>
      <c r="N94" s="113">
        <v>10</v>
      </c>
      <c r="O94" s="200">
        <v>91825000</v>
      </c>
      <c r="P94" s="200">
        <v>91825000</v>
      </c>
      <c r="Q94" s="200">
        <v>0</v>
      </c>
      <c r="R94" s="201">
        <v>0</v>
      </c>
      <c r="S94" s="33" t="s">
        <v>22</v>
      </c>
      <c r="T94" s="33" t="s">
        <v>22</v>
      </c>
      <c r="U94" s="33" t="s">
        <v>203</v>
      </c>
      <c r="V94" s="33"/>
      <c r="W94" s="33" t="s">
        <v>210</v>
      </c>
      <c r="X94" s="33" t="s">
        <v>210</v>
      </c>
      <c r="Y94" s="33"/>
      <c r="Z94" s="33" t="s">
        <v>209</v>
      </c>
      <c r="AA94" s="35" t="str">
        <f>_xlfn.IFNA(VLOOKUP(E94,'Lookup Table'!$J$33:$K$176,2,0),"B3")</f>
        <v>Caa1</v>
      </c>
      <c r="AB94" s="35">
        <f>_xlfn.IFNA(VLOOKUP($AA94,'Rating Lookup'!$B$2:$I$27,8,0),15)</f>
        <v>17</v>
      </c>
      <c r="AC94" s="35" t="str">
        <f>_xlfn.IFNA(VLOOKUP(E94,'Lookup Table'!$M$33:$N$173,2,0),"B3")</f>
        <v>B1</v>
      </c>
      <c r="AD94" s="35">
        <f>_xlfn.IFNA(VLOOKUP($AC94,'Rating Lookup'!$B$2:$I$27,8,0),15)</f>
        <v>14</v>
      </c>
      <c r="AE94" s="35">
        <f t="shared" si="24"/>
        <v>3</v>
      </c>
      <c r="AG94" s="35" t="str">
        <f t="shared" si="25"/>
        <v>LEBANON HOUSES</v>
      </c>
      <c r="AH94" s="35" t="str">
        <f t="shared" si="26"/>
        <v>Government Loan</v>
      </c>
      <c r="AI94" s="202">
        <f>'ECL Calculation'!$B$1</f>
        <v>43465</v>
      </c>
      <c r="AJ94" s="202">
        <f t="shared" si="27"/>
        <v>36463</v>
      </c>
      <c r="AK94" s="202">
        <f t="shared" si="28"/>
        <v>35002</v>
      </c>
      <c r="AL94" s="127">
        <f t="shared" si="29"/>
        <v>10</v>
      </c>
      <c r="AM94" s="192">
        <f>IF(AND(IF(ISBLANK(K94),EOMONTH(AJ94,AL94*12),K94)&lt;'ECL Calculation'!$B$1,SUM('Input Sheet'!Q94,'Input Sheet'!R94)&gt;0),EOMONTH('ECL Calculation'!$B$1,12*5),IF(ISBLANK(K94),EOMONTH(AJ94,AL94*12),K94))</f>
        <v>39933</v>
      </c>
      <c r="AN94" s="203">
        <f t="shared" si="30"/>
        <v>91825000</v>
      </c>
      <c r="AO94" s="203">
        <f t="shared" si="31"/>
        <v>91825000</v>
      </c>
      <c r="AP94" s="203">
        <f t="shared" si="32"/>
        <v>0</v>
      </c>
      <c r="AQ94" s="126">
        <f>VLOOKUP(U94,'Lookup Table'!$B$2:$C$10,2,0)</f>
        <v>1</v>
      </c>
      <c r="AR94" s="127">
        <f>VLOOKUP(S94,'Lookup Table'!$B$2:$C$9,2,0)</f>
        <v>2</v>
      </c>
      <c r="AS94" s="127">
        <f>VLOOKUP(T94,'Lookup Table'!$B$2:$C$9,2,0)</f>
        <v>2</v>
      </c>
      <c r="AT94" s="136">
        <f t="shared" si="33"/>
        <v>0</v>
      </c>
      <c r="AU94" s="128">
        <f t="shared" si="34"/>
        <v>0.02</v>
      </c>
      <c r="AV94" s="136">
        <f t="shared" si="35"/>
        <v>0</v>
      </c>
      <c r="AW94" s="37" t="str">
        <f t="shared" si="36"/>
        <v>Caa1</v>
      </c>
      <c r="AX94" s="128">
        <f>VLOOKUP(E94,'Lookup Table'!$B$12:$C$82,2,0)</f>
        <v>3.2857142857142856E-2</v>
      </c>
      <c r="AY94" s="128">
        <f>'Lookup Table'!$E$3</f>
        <v>0.45</v>
      </c>
      <c r="AZ94" s="129" t="str">
        <f t="shared" si="37"/>
        <v>Lebanon</v>
      </c>
      <c r="BA94" s="37">
        <f>VLOOKUP(AA94,'Lookup Table'!$J$3:$K$27,2,0)</f>
        <v>1</v>
      </c>
      <c r="BB94" s="37">
        <f t="shared" si="38"/>
        <v>2</v>
      </c>
      <c r="BC94" s="37">
        <f t="shared" si="39"/>
        <v>1</v>
      </c>
      <c r="BD94" s="37">
        <f>IF(AND(K94&lt;'ECL Calculation'!$B$1,'Input Sheet'!W94="No"),3,IF(X94="Yes",2,1))</f>
        <v>3</v>
      </c>
      <c r="BE94" s="37">
        <f t="shared" si="40"/>
        <v>1</v>
      </c>
      <c r="BF94" s="37" t="str">
        <f t="shared" si="41"/>
        <v>Stage 3</v>
      </c>
      <c r="BG94" s="37" t="str">
        <f t="shared" si="42"/>
        <v>No</v>
      </c>
    </row>
    <row r="95" spans="1:59" x14ac:dyDescent="0.2">
      <c r="A95" s="35">
        <f t="shared" si="43"/>
        <v>93</v>
      </c>
      <c r="B95" s="33">
        <v>1093</v>
      </c>
      <c r="C95" s="33" t="s">
        <v>344</v>
      </c>
      <c r="D95" s="33" t="s">
        <v>806</v>
      </c>
      <c r="E95" s="33" t="s">
        <v>513</v>
      </c>
      <c r="F95" s="33" t="s">
        <v>542</v>
      </c>
      <c r="G95" s="117">
        <v>4</v>
      </c>
      <c r="H95" s="34">
        <v>34171</v>
      </c>
      <c r="I95" s="34">
        <v>34657</v>
      </c>
      <c r="J95" s="34">
        <v>34657</v>
      </c>
      <c r="K95" s="34">
        <v>42551</v>
      </c>
      <c r="L95" s="34">
        <v>37255</v>
      </c>
      <c r="M95" s="34">
        <v>36098</v>
      </c>
      <c r="N95" s="113">
        <v>7</v>
      </c>
      <c r="O95" s="200">
        <v>110190000</v>
      </c>
      <c r="P95" s="200">
        <v>110190000</v>
      </c>
      <c r="Q95" s="200">
        <v>0</v>
      </c>
      <c r="R95" s="201">
        <v>0</v>
      </c>
      <c r="S95" s="33" t="s">
        <v>22</v>
      </c>
      <c r="T95" s="33" t="s">
        <v>22</v>
      </c>
      <c r="U95" s="33" t="s">
        <v>203</v>
      </c>
      <c r="V95" s="33"/>
      <c r="W95" s="33" t="s">
        <v>210</v>
      </c>
      <c r="X95" s="33" t="s">
        <v>210</v>
      </c>
      <c r="Y95" s="33"/>
      <c r="Z95" s="33" t="s">
        <v>209</v>
      </c>
      <c r="AA95" s="35" t="str">
        <f>_xlfn.IFNA(VLOOKUP(E95,'Lookup Table'!$J$33:$K$176,2,0),"B3")</f>
        <v>B3</v>
      </c>
      <c r="AB95" s="35">
        <f>_xlfn.IFNA(VLOOKUP($AA95,'Rating Lookup'!$B$2:$I$27,8,0),15)</f>
        <v>16</v>
      </c>
      <c r="AC95" s="35" t="str">
        <f>_xlfn.IFNA(VLOOKUP(E95,'Lookup Table'!$M$33:$N$173,2,0),"B3")</f>
        <v>B3</v>
      </c>
      <c r="AD95" s="35">
        <f>_xlfn.IFNA(VLOOKUP($AC95,'Rating Lookup'!$B$2:$I$27,8,0),15)</f>
        <v>16</v>
      </c>
      <c r="AE95" s="35">
        <f t="shared" si="24"/>
        <v>0</v>
      </c>
      <c r="AG95" s="35" t="str">
        <f t="shared" si="25"/>
        <v>BANI HAROON DAM</v>
      </c>
      <c r="AH95" s="35" t="str">
        <f t="shared" si="26"/>
        <v>Government Loan</v>
      </c>
      <c r="AI95" s="202">
        <f>'ECL Calculation'!$B$1</f>
        <v>43465</v>
      </c>
      <c r="AJ95" s="202">
        <f t="shared" si="27"/>
        <v>37255</v>
      </c>
      <c r="AK95" s="202">
        <f t="shared" si="28"/>
        <v>36098</v>
      </c>
      <c r="AL95" s="127">
        <f t="shared" si="29"/>
        <v>7</v>
      </c>
      <c r="AM95" s="192">
        <f>IF(AND(IF(ISBLANK(K95),EOMONTH(AJ95,AL95*12),K95)&lt;'ECL Calculation'!$B$1,SUM('Input Sheet'!Q95,'Input Sheet'!R95)&gt;0),EOMONTH('ECL Calculation'!$B$1,12*5),IF(ISBLANK(K95),EOMONTH(AJ95,AL95*12),K95))</f>
        <v>42551</v>
      </c>
      <c r="AN95" s="203">
        <f t="shared" si="30"/>
        <v>110190000</v>
      </c>
      <c r="AO95" s="203">
        <f t="shared" si="31"/>
        <v>110190000</v>
      </c>
      <c r="AP95" s="203">
        <f t="shared" si="32"/>
        <v>0</v>
      </c>
      <c r="AQ95" s="126">
        <f>VLOOKUP(U95,'Lookup Table'!$B$2:$C$10,2,0)</f>
        <v>1</v>
      </c>
      <c r="AR95" s="127">
        <f>VLOOKUP(S95,'Lookup Table'!$B$2:$C$9,2,0)</f>
        <v>2</v>
      </c>
      <c r="AS95" s="127">
        <f>VLOOKUP(T95,'Lookup Table'!$B$2:$C$9,2,0)</f>
        <v>2</v>
      </c>
      <c r="AT95" s="136">
        <f t="shared" si="33"/>
        <v>0</v>
      </c>
      <c r="AU95" s="128">
        <f t="shared" si="34"/>
        <v>0.04</v>
      </c>
      <c r="AV95" s="136">
        <f t="shared" si="35"/>
        <v>0</v>
      </c>
      <c r="AW95" s="37" t="str">
        <f t="shared" si="36"/>
        <v>B3</v>
      </c>
      <c r="AX95" s="128">
        <f>VLOOKUP(E95,'Lookup Table'!$B$12:$C$82,2,0)</f>
        <v>3.7499999999999999E-2</v>
      </c>
      <c r="AY95" s="128">
        <f>'Lookup Table'!$E$3</f>
        <v>0.45</v>
      </c>
      <c r="AZ95" s="129" t="str">
        <f t="shared" si="37"/>
        <v>Algeria</v>
      </c>
      <c r="BA95" s="37">
        <f>VLOOKUP(AA95,'Lookup Table'!$J$3:$K$27,2,0)</f>
        <v>1</v>
      </c>
      <c r="BB95" s="37">
        <f t="shared" si="38"/>
        <v>1</v>
      </c>
      <c r="BC95" s="37">
        <f t="shared" si="39"/>
        <v>1</v>
      </c>
      <c r="BD95" s="37">
        <f>IF(AND(K95&lt;'ECL Calculation'!$B$1,'Input Sheet'!W95="No"),3,IF(X95="Yes",2,1))</f>
        <v>3</v>
      </c>
      <c r="BE95" s="37">
        <f t="shared" si="40"/>
        <v>1</v>
      </c>
      <c r="BF95" s="37" t="str">
        <f t="shared" si="41"/>
        <v>Stage 3</v>
      </c>
      <c r="BG95" s="37" t="str">
        <f t="shared" si="42"/>
        <v>No</v>
      </c>
    </row>
    <row r="96" spans="1:59" x14ac:dyDescent="0.2">
      <c r="A96" s="35">
        <f t="shared" si="43"/>
        <v>94</v>
      </c>
      <c r="B96" s="33">
        <v>1094</v>
      </c>
      <c r="C96" s="33" t="s">
        <v>345</v>
      </c>
      <c r="D96" s="33" t="s">
        <v>806</v>
      </c>
      <c r="E96" s="33" t="s">
        <v>482</v>
      </c>
      <c r="F96" s="33" t="s">
        <v>542</v>
      </c>
      <c r="G96" s="117">
        <v>2.5</v>
      </c>
      <c r="H96" s="34">
        <v>34533</v>
      </c>
      <c r="I96" s="34">
        <v>34609</v>
      </c>
      <c r="J96" s="34">
        <v>34609</v>
      </c>
      <c r="K96" s="34">
        <v>41759</v>
      </c>
      <c r="L96" s="34">
        <v>36463</v>
      </c>
      <c r="M96" s="34">
        <v>34637</v>
      </c>
      <c r="N96" s="113">
        <v>13</v>
      </c>
      <c r="O96" s="200">
        <v>53719150.439999998</v>
      </c>
      <c r="P96" s="200">
        <v>53719150.439999998</v>
      </c>
      <c r="Q96" s="200">
        <v>0</v>
      </c>
      <c r="R96" s="201">
        <v>0</v>
      </c>
      <c r="S96" s="33" t="s">
        <v>22</v>
      </c>
      <c r="T96" s="33" t="s">
        <v>22</v>
      </c>
      <c r="U96" s="33" t="s">
        <v>203</v>
      </c>
      <c r="V96" s="33"/>
      <c r="W96" s="33" t="s">
        <v>210</v>
      </c>
      <c r="X96" s="33" t="s">
        <v>210</v>
      </c>
      <c r="Y96" s="33"/>
      <c r="Z96" s="33" t="s">
        <v>209</v>
      </c>
      <c r="AA96" s="35" t="str">
        <f>_xlfn.IFNA(VLOOKUP(E96,'Lookup Table'!$J$33:$K$176,2,0),"B3")</f>
        <v>Ba3</v>
      </c>
      <c r="AB96" s="35">
        <f>_xlfn.IFNA(VLOOKUP($AA96,'Rating Lookup'!$B$2:$I$27,8,0),15)</f>
        <v>13</v>
      </c>
      <c r="AC96" s="35" t="str">
        <f>_xlfn.IFNA(VLOOKUP(E96,'Lookup Table'!$M$33:$N$173,2,0),"B3")</f>
        <v>Ba3</v>
      </c>
      <c r="AD96" s="35">
        <f>_xlfn.IFNA(VLOOKUP($AC96,'Rating Lookup'!$B$2:$I$27,8,0),15)</f>
        <v>13</v>
      </c>
      <c r="AE96" s="35">
        <f t="shared" si="24"/>
        <v>0</v>
      </c>
      <c r="AG96" s="35" t="str">
        <f t="shared" si="25"/>
        <v>TESTA DAM</v>
      </c>
      <c r="AH96" s="35" t="str">
        <f t="shared" si="26"/>
        <v>Government Loan</v>
      </c>
      <c r="AI96" s="202">
        <f>'ECL Calculation'!$B$1</f>
        <v>43465</v>
      </c>
      <c r="AJ96" s="202">
        <f t="shared" si="27"/>
        <v>36463</v>
      </c>
      <c r="AK96" s="202">
        <f t="shared" si="28"/>
        <v>34637</v>
      </c>
      <c r="AL96" s="127">
        <f t="shared" si="29"/>
        <v>13</v>
      </c>
      <c r="AM96" s="192">
        <f>IF(AND(IF(ISBLANK(K96),EOMONTH(AJ96,AL96*12),K96)&lt;'ECL Calculation'!$B$1,SUM('Input Sheet'!Q96,'Input Sheet'!R96)&gt;0),EOMONTH('ECL Calculation'!$B$1,12*5),IF(ISBLANK(K96),EOMONTH(AJ96,AL96*12),K96))</f>
        <v>41759</v>
      </c>
      <c r="AN96" s="203">
        <f t="shared" si="30"/>
        <v>53719150.439999998</v>
      </c>
      <c r="AO96" s="203">
        <f t="shared" si="31"/>
        <v>53719150.439999998</v>
      </c>
      <c r="AP96" s="203">
        <f t="shared" si="32"/>
        <v>0</v>
      </c>
      <c r="AQ96" s="126">
        <f>VLOOKUP(U96,'Lookup Table'!$B$2:$C$10,2,0)</f>
        <v>1</v>
      </c>
      <c r="AR96" s="127">
        <f>VLOOKUP(S96,'Lookup Table'!$B$2:$C$9,2,0)</f>
        <v>2</v>
      </c>
      <c r="AS96" s="127">
        <f>VLOOKUP(T96,'Lookup Table'!$B$2:$C$9,2,0)</f>
        <v>2</v>
      </c>
      <c r="AT96" s="136">
        <f t="shared" si="33"/>
        <v>0</v>
      </c>
      <c r="AU96" s="128">
        <f t="shared" si="34"/>
        <v>2.5000000000000001E-2</v>
      </c>
      <c r="AV96" s="136">
        <f t="shared" si="35"/>
        <v>0</v>
      </c>
      <c r="AW96" s="37" t="str">
        <f t="shared" si="36"/>
        <v>Ba3</v>
      </c>
      <c r="AX96" s="128">
        <f>VLOOKUP(E96,'Lookup Table'!$B$12:$C$82,2,0)</f>
        <v>3.3333333333333333E-2</v>
      </c>
      <c r="AY96" s="128">
        <f>'Lookup Table'!$E$3</f>
        <v>0.45</v>
      </c>
      <c r="AZ96" s="129" t="str">
        <f t="shared" si="37"/>
        <v>Bangladesh</v>
      </c>
      <c r="BA96" s="37">
        <f>VLOOKUP(AA96,'Lookup Table'!$J$3:$K$27,2,0)</f>
        <v>1</v>
      </c>
      <c r="BB96" s="37">
        <f t="shared" si="38"/>
        <v>1</v>
      </c>
      <c r="BC96" s="37">
        <f t="shared" si="39"/>
        <v>1</v>
      </c>
      <c r="BD96" s="37">
        <f>IF(AND(K96&lt;'ECL Calculation'!$B$1,'Input Sheet'!W96="No"),3,IF(X96="Yes",2,1))</f>
        <v>3</v>
      </c>
      <c r="BE96" s="37">
        <f t="shared" si="40"/>
        <v>1</v>
      </c>
      <c r="BF96" s="37" t="str">
        <f t="shared" si="41"/>
        <v>Stage 3</v>
      </c>
      <c r="BG96" s="37" t="str">
        <f t="shared" si="42"/>
        <v>No</v>
      </c>
    </row>
    <row r="97" spans="1:59" x14ac:dyDescent="0.2">
      <c r="A97" s="35">
        <f t="shared" si="43"/>
        <v>95</v>
      </c>
      <c r="B97" s="33">
        <v>1095</v>
      </c>
      <c r="C97" s="33" t="s">
        <v>346</v>
      </c>
      <c r="D97" s="33" t="s">
        <v>806</v>
      </c>
      <c r="E97" s="33" t="s">
        <v>24</v>
      </c>
      <c r="F97" s="33" t="s">
        <v>542</v>
      </c>
      <c r="G97" s="117">
        <v>3.5</v>
      </c>
      <c r="H97" s="34">
        <v>34801</v>
      </c>
      <c r="I97" s="34">
        <v>34846</v>
      </c>
      <c r="J97" s="34">
        <v>34846</v>
      </c>
      <c r="K97" s="34">
        <v>41212</v>
      </c>
      <c r="L97" s="34">
        <v>35915</v>
      </c>
      <c r="M97" s="34">
        <v>35002</v>
      </c>
      <c r="N97" s="113">
        <v>10</v>
      </c>
      <c r="O97" s="200">
        <v>67542745.370000005</v>
      </c>
      <c r="P97" s="200">
        <v>67542745.370000005</v>
      </c>
      <c r="Q97" s="200">
        <v>0</v>
      </c>
      <c r="R97" s="201">
        <v>0</v>
      </c>
      <c r="S97" s="33" t="s">
        <v>22</v>
      </c>
      <c r="T97" s="33" t="s">
        <v>22</v>
      </c>
      <c r="U97" s="33" t="s">
        <v>203</v>
      </c>
      <c r="V97" s="33"/>
      <c r="W97" s="33" t="s">
        <v>210</v>
      </c>
      <c r="X97" s="33" t="s">
        <v>210</v>
      </c>
      <c r="Y97" s="33"/>
      <c r="Z97" s="33" t="s">
        <v>209</v>
      </c>
      <c r="AA97" s="35" t="str">
        <f>_xlfn.IFNA(VLOOKUP(E97,'Lookup Table'!$J$33:$K$176,2,0),"B3")</f>
        <v>Ba1</v>
      </c>
      <c r="AB97" s="35">
        <f>_xlfn.IFNA(VLOOKUP($AA97,'Rating Lookup'!$B$2:$I$27,8,0),15)</f>
        <v>11</v>
      </c>
      <c r="AC97" s="35" t="str">
        <f>_xlfn.IFNA(VLOOKUP(E97,'Lookup Table'!$M$33:$N$173,2,0),"B3")</f>
        <v>A1</v>
      </c>
      <c r="AD97" s="35">
        <f>_xlfn.IFNA(VLOOKUP($AC97,'Rating Lookup'!$B$2:$I$27,8,0),15)</f>
        <v>5</v>
      </c>
      <c r="AE97" s="35">
        <f t="shared" si="24"/>
        <v>6</v>
      </c>
      <c r="AG97" s="35" t="str">
        <f t="shared" si="25"/>
        <v>ALRUSIAL NAZWA ROAD 1</v>
      </c>
      <c r="AH97" s="35" t="str">
        <f t="shared" si="26"/>
        <v>Government Loan</v>
      </c>
      <c r="AI97" s="202">
        <f>'ECL Calculation'!$B$1</f>
        <v>43465</v>
      </c>
      <c r="AJ97" s="202">
        <f t="shared" si="27"/>
        <v>35915</v>
      </c>
      <c r="AK97" s="202">
        <f t="shared" si="28"/>
        <v>35002</v>
      </c>
      <c r="AL97" s="127">
        <f t="shared" si="29"/>
        <v>10</v>
      </c>
      <c r="AM97" s="192">
        <f>IF(AND(IF(ISBLANK(K97),EOMONTH(AJ97,AL97*12),K97)&lt;'ECL Calculation'!$B$1,SUM('Input Sheet'!Q97,'Input Sheet'!R97)&gt;0),EOMONTH('ECL Calculation'!$B$1,12*5),IF(ISBLANK(K97),EOMONTH(AJ97,AL97*12),K97))</f>
        <v>41212</v>
      </c>
      <c r="AN97" s="203">
        <f t="shared" si="30"/>
        <v>67542745.370000005</v>
      </c>
      <c r="AO97" s="203">
        <f t="shared" si="31"/>
        <v>67542745.370000005</v>
      </c>
      <c r="AP97" s="203">
        <f t="shared" si="32"/>
        <v>0</v>
      </c>
      <c r="AQ97" s="126">
        <f>VLOOKUP(U97,'Lookup Table'!$B$2:$C$10,2,0)</f>
        <v>1</v>
      </c>
      <c r="AR97" s="127">
        <f>VLOOKUP(S97,'Lookup Table'!$B$2:$C$9,2,0)</f>
        <v>2</v>
      </c>
      <c r="AS97" s="127">
        <f>VLOOKUP(T97,'Lookup Table'!$B$2:$C$9,2,0)</f>
        <v>2</v>
      </c>
      <c r="AT97" s="136">
        <f t="shared" si="33"/>
        <v>0</v>
      </c>
      <c r="AU97" s="128">
        <f t="shared" si="34"/>
        <v>3.5000000000000003E-2</v>
      </c>
      <c r="AV97" s="136">
        <f t="shared" si="35"/>
        <v>0</v>
      </c>
      <c r="AW97" s="37" t="str">
        <f t="shared" si="36"/>
        <v>Ba1</v>
      </c>
      <c r="AX97" s="128">
        <f>VLOOKUP(E97,'Lookup Table'!$B$12:$C$82,2,0)</f>
        <v>3.6818181818181819E-2</v>
      </c>
      <c r="AY97" s="128">
        <f>'Lookup Table'!$E$3</f>
        <v>0.45</v>
      </c>
      <c r="AZ97" s="129" t="str">
        <f t="shared" si="37"/>
        <v>Oman</v>
      </c>
      <c r="BA97" s="37">
        <f>VLOOKUP(AA97,'Lookup Table'!$J$3:$K$27,2,0)</f>
        <v>1</v>
      </c>
      <c r="BB97" s="37">
        <f t="shared" si="38"/>
        <v>2</v>
      </c>
      <c r="BC97" s="37">
        <f t="shared" si="39"/>
        <v>1</v>
      </c>
      <c r="BD97" s="37">
        <f>IF(AND(K97&lt;'ECL Calculation'!$B$1,'Input Sheet'!W97="No"),3,IF(X97="Yes",2,1))</f>
        <v>3</v>
      </c>
      <c r="BE97" s="37">
        <f t="shared" si="40"/>
        <v>1</v>
      </c>
      <c r="BF97" s="37" t="str">
        <f t="shared" si="41"/>
        <v>Stage 3</v>
      </c>
      <c r="BG97" s="37" t="str">
        <f t="shared" si="42"/>
        <v>No</v>
      </c>
    </row>
    <row r="98" spans="1:59" x14ac:dyDescent="0.2">
      <c r="A98" s="35">
        <f t="shared" si="43"/>
        <v>96</v>
      </c>
      <c r="B98" s="33">
        <v>1096</v>
      </c>
      <c r="C98" s="33" t="s">
        <v>347</v>
      </c>
      <c r="D98" s="33" t="s">
        <v>806</v>
      </c>
      <c r="E98" s="33" t="s">
        <v>24</v>
      </c>
      <c r="F98" s="33" t="s">
        <v>542</v>
      </c>
      <c r="G98" s="117">
        <v>3</v>
      </c>
      <c r="H98" s="34">
        <v>34801</v>
      </c>
      <c r="I98" s="34">
        <v>34846</v>
      </c>
      <c r="J98" s="34">
        <v>34846</v>
      </c>
      <c r="K98" s="34">
        <v>41212</v>
      </c>
      <c r="L98" s="34">
        <v>35915</v>
      </c>
      <c r="M98" s="34">
        <v>35002</v>
      </c>
      <c r="N98" s="113">
        <v>10</v>
      </c>
      <c r="O98" s="200">
        <v>82855241.629999995</v>
      </c>
      <c r="P98" s="200">
        <v>82855241.629999995</v>
      </c>
      <c r="Q98" s="200">
        <v>0</v>
      </c>
      <c r="R98" s="201">
        <v>0</v>
      </c>
      <c r="S98" s="33" t="s">
        <v>22</v>
      </c>
      <c r="T98" s="33" t="s">
        <v>22</v>
      </c>
      <c r="U98" s="33" t="s">
        <v>203</v>
      </c>
      <c r="V98" s="33"/>
      <c r="W98" s="33" t="s">
        <v>210</v>
      </c>
      <c r="X98" s="33" t="s">
        <v>210</v>
      </c>
      <c r="Y98" s="33"/>
      <c r="Z98" s="33" t="s">
        <v>209</v>
      </c>
      <c r="AA98" s="35" t="str">
        <f>_xlfn.IFNA(VLOOKUP(E98,'Lookup Table'!$J$33:$K$176,2,0),"B3")</f>
        <v>Ba1</v>
      </c>
      <c r="AB98" s="35">
        <f>_xlfn.IFNA(VLOOKUP($AA98,'Rating Lookup'!$B$2:$I$27,8,0),15)</f>
        <v>11</v>
      </c>
      <c r="AC98" s="35" t="str">
        <f>_xlfn.IFNA(VLOOKUP(E98,'Lookup Table'!$M$33:$N$173,2,0),"B3")</f>
        <v>A1</v>
      </c>
      <c r="AD98" s="35">
        <f>_xlfn.IFNA(VLOOKUP($AC98,'Rating Lookup'!$B$2:$I$27,8,0),15)</f>
        <v>5</v>
      </c>
      <c r="AE98" s="35">
        <f t="shared" si="24"/>
        <v>6</v>
      </c>
      <c r="AG98" s="35" t="str">
        <f t="shared" si="25"/>
        <v>ELECTRICAL POWER GENERATION STATION IN AL GHABRAH 4</v>
      </c>
      <c r="AH98" s="35" t="str">
        <f t="shared" si="26"/>
        <v>Government Loan</v>
      </c>
      <c r="AI98" s="202">
        <f>'ECL Calculation'!$B$1</f>
        <v>43465</v>
      </c>
      <c r="AJ98" s="202">
        <f t="shared" si="27"/>
        <v>35915</v>
      </c>
      <c r="AK98" s="202">
        <f t="shared" si="28"/>
        <v>35002</v>
      </c>
      <c r="AL98" s="127">
        <f t="shared" si="29"/>
        <v>10</v>
      </c>
      <c r="AM98" s="192">
        <f>IF(AND(IF(ISBLANK(K98),EOMONTH(AJ98,AL98*12),K98)&lt;'ECL Calculation'!$B$1,SUM('Input Sheet'!Q98,'Input Sheet'!R98)&gt;0),EOMONTH('ECL Calculation'!$B$1,12*5),IF(ISBLANK(K98),EOMONTH(AJ98,AL98*12),K98))</f>
        <v>41212</v>
      </c>
      <c r="AN98" s="203">
        <f t="shared" si="30"/>
        <v>82855241.629999995</v>
      </c>
      <c r="AO98" s="203">
        <f t="shared" si="31"/>
        <v>82855241.629999995</v>
      </c>
      <c r="AP98" s="203">
        <f t="shared" si="32"/>
        <v>0</v>
      </c>
      <c r="AQ98" s="126">
        <f>VLOOKUP(U98,'Lookup Table'!$B$2:$C$10,2,0)</f>
        <v>1</v>
      </c>
      <c r="AR98" s="127">
        <f>VLOOKUP(S98,'Lookup Table'!$B$2:$C$9,2,0)</f>
        <v>2</v>
      </c>
      <c r="AS98" s="127">
        <f>VLOOKUP(T98,'Lookup Table'!$B$2:$C$9,2,0)</f>
        <v>2</v>
      </c>
      <c r="AT98" s="136">
        <f t="shared" si="33"/>
        <v>0</v>
      </c>
      <c r="AU98" s="128">
        <f t="shared" si="34"/>
        <v>0.03</v>
      </c>
      <c r="AV98" s="136">
        <f t="shared" si="35"/>
        <v>0</v>
      </c>
      <c r="AW98" s="37" t="str">
        <f t="shared" si="36"/>
        <v>Ba1</v>
      </c>
      <c r="AX98" s="128">
        <f>VLOOKUP(E98,'Lookup Table'!$B$12:$C$82,2,0)</f>
        <v>3.6818181818181819E-2</v>
      </c>
      <c r="AY98" s="128">
        <f>'Lookup Table'!$E$3</f>
        <v>0.45</v>
      </c>
      <c r="AZ98" s="129" t="str">
        <f t="shared" si="37"/>
        <v>Oman</v>
      </c>
      <c r="BA98" s="37">
        <f>VLOOKUP(AA98,'Lookup Table'!$J$3:$K$27,2,0)</f>
        <v>1</v>
      </c>
      <c r="BB98" s="37">
        <f t="shared" si="38"/>
        <v>2</v>
      </c>
      <c r="BC98" s="37">
        <f t="shared" si="39"/>
        <v>1</v>
      </c>
      <c r="BD98" s="37">
        <f>IF(AND(K98&lt;'ECL Calculation'!$B$1,'Input Sheet'!W98="No"),3,IF(X98="Yes",2,1))</f>
        <v>3</v>
      </c>
      <c r="BE98" s="37">
        <f t="shared" si="40"/>
        <v>1</v>
      </c>
      <c r="BF98" s="37" t="str">
        <f t="shared" si="41"/>
        <v>Stage 3</v>
      </c>
      <c r="BG98" s="37" t="str">
        <f t="shared" si="42"/>
        <v>No</v>
      </c>
    </row>
    <row r="99" spans="1:59" x14ac:dyDescent="0.2">
      <c r="A99" s="35">
        <f t="shared" si="43"/>
        <v>97</v>
      </c>
      <c r="B99" s="33">
        <v>1097</v>
      </c>
      <c r="C99" s="33" t="s">
        <v>348</v>
      </c>
      <c r="D99" s="33" t="s">
        <v>806</v>
      </c>
      <c r="E99" s="33" t="s">
        <v>514</v>
      </c>
      <c r="F99" s="33" t="s">
        <v>542</v>
      </c>
      <c r="G99" s="117">
        <v>3</v>
      </c>
      <c r="H99" s="34">
        <v>34884</v>
      </c>
      <c r="I99" s="34">
        <v>34923</v>
      </c>
      <c r="J99" s="34">
        <v>34923</v>
      </c>
      <c r="K99" s="34">
        <v>41942</v>
      </c>
      <c r="L99" s="34">
        <v>37741</v>
      </c>
      <c r="M99" s="34">
        <v>35002</v>
      </c>
      <c r="N99" s="113">
        <v>15</v>
      </c>
      <c r="O99" s="200">
        <v>91193689.349999994</v>
      </c>
      <c r="P99" s="200">
        <v>91193689.349999994</v>
      </c>
      <c r="Q99" s="200">
        <v>55844689.350000001</v>
      </c>
      <c r="R99" s="201">
        <v>18935975.329999998</v>
      </c>
      <c r="S99" s="33" t="s">
        <v>22</v>
      </c>
      <c r="T99" s="33" t="s">
        <v>22</v>
      </c>
      <c r="U99" s="33" t="s">
        <v>203</v>
      </c>
      <c r="V99" s="33"/>
      <c r="W99" s="33" t="s">
        <v>210</v>
      </c>
      <c r="X99" s="33" t="s">
        <v>209</v>
      </c>
      <c r="Y99" s="33"/>
      <c r="Z99" s="33" t="s">
        <v>209</v>
      </c>
      <c r="AA99" s="35" t="str">
        <f>_xlfn.IFNA(VLOOKUP(E99,'Lookup Table'!$J$33:$K$176,2,0),"B3")</f>
        <v>B3</v>
      </c>
      <c r="AB99" s="35">
        <f>_xlfn.IFNA(VLOOKUP($AA99,'Rating Lookup'!$B$2:$I$27,8,0),15)</f>
        <v>16</v>
      </c>
      <c r="AC99" s="35" t="str">
        <f>_xlfn.IFNA(VLOOKUP(E99,'Lookup Table'!$M$33:$N$173,2,0),"B3")</f>
        <v>B3</v>
      </c>
      <c r="AD99" s="35">
        <f>_xlfn.IFNA(VLOOKUP($AC99,'Rating Lookup'!$B$2:$I$27,8,0),15)</f>
        <v>16</v>
      </c>
      <c r="AE99" s="35">
        <f t="shared" si="24"/>
        <v>0</v>
      </c>
      <c r="AG99" s="35" t="str">
        <f t="shared" si="25"/>
        <v>ELECTRICAL POWER &amp; TRANSMISSION</v>
      </c>
      <c r="AH99" s="35" t="str">
        <f t="shared" si="26"/>
        <v>Government Loan</v>
      </c>
      <c r="AI99" s="202">
        <f>'ECL Calculation'!$B$1</f>
        <v>43465</v>
      </c>
      <c r="AJ99" s="202">
        <f t="shared" si="27"/>
        <v>37741</v>
      </c>
      <c r="AK99" s="202">
        <f t="shared" si="28"/>
        <v>35002</v>
      </c>
      <c r="AL99" s="127">
        <f t="shared" si="29"/>
        <v>15</v>
      </c>
      <c r="AM99" s="192">
        <f>IF(AND(IF(ISBLANK(K99),EOMONTH(AJ99,AL99*12),K99)&lt;'ECL Calculation'!$B$1,SUM('Input Sheet'!Q99,'Input Sheet'!R99)&gt;0),EOMONTH('ECL Calculation'!$B$1,12*5),IF(ISBLANK(K99),EOMONTH(AJ99,AL99*12),K99))</f>
        <v>45291</v>
      </c>
      <c r="AN99" s="203">
        <f t="shared" si="30"/>
        <v>91193689.349999994</v>
      </c>
      <c r="AO99" s="203">
        <f t="shared" si="31"/>
        <v>91193689.349999994</v>
      </c>
      <c r="AP99" s="203">
        <f t="shared" si="32"/>
        <v>0</v>
      </c>
      <c r="AQ99" s="126">
        <f>VLOOKUP(U99,'Lookup Table'!$B$2:$C$10,2,0)</f>
        <v>1</v>
      </c>
      <c r="AR99" s="127">
        <f>VLOOKUP(S99,'Lookup Table'!$B$2:$C$9,2,0)</f>
        <v>2</v>
      </c>
      <c r="AS99" s="127">
        <f>VLOOKUP(T99,'Lookup Table'!$B$2:$C$9,2,0)</f>
        <v>2</v>
      </c>
      <c r="AT99" s="136">
        <f t="shared" si="33"/>
        <v>55844689.350000001</v>
      </c>
      <c r="AU99" s="128">
        <f t="shared" si="34"/>
        <v>0.03</v>
      </c>
      <c r="AV99" s="136">
        <f t="shared" si="35"/>
        <v>18935975.329999998</v>
      </c>
      <c r="AW99" s="37" t="str">
        <f t="shared" si="36"/>
        <v>B3</v>
      </c>
      <c r="AX99" s="128">
        <f>VLOOKUP(E99,'Lookup Table'!$B$12:$C$82,2,0)</f>
        <v>2.5000000000000001E-2</v>
      </c>
      <c r="AY99" s="128">
        <f>'Lookup Table'!$E$3</f>
        <v>0.45</v>
      </c>
      <c r="AZ99" s="129" t="str">
        <f t="shared" si="37"/>
        <v>Eritrea</v>
      </c>
      <c r="BA99" s="37">
        <f>VLOOKUP(AA99,'Lookup Table'!$J$3:$K$27,2,0)</f>
        <v>1</v>
      </c>
      <c r="BB99" s="37">
        <f t="shared" si="38"/>
        <v>1</v>
      </c>
      <c r="BC99" s="37">
        <f t="shared" si="39"/>
        <v>1</v>
      </c>
      <c r="BD99" s="37">
        <f>IF(AND(K99&lt;'ECL Calculation'!$B$1,'Input Sheet'!W99="No"),3,IF(X99="Yes",2,1))</f>
        <v>3</v>
      </c>
      <c r="BE99" s="37">
        <f t="shared" si="40"/>
        <v>1</v>
      </c>
      <c r="BF99" s="37" t="str">
        <f t="shared" si="41"/>
        <v>Stage 3</v>
      </c>
      <c r="BG99" s="37" t="str">
        <f t="shared" si="42"/>
        <v>Yes</v>
      </c>
    </row>
    <row r="100" spans="1:59" x14ac:dyDescent="0.2">
      <c r="A100" s="35">
        <f t="shared" si="43"/>
        <v>98</v>
      </c>
      <c r="B100" s="33">
        <v>1098</v>
      </c>
      <c r="C100" s="33" t="s">
        <v>349</v>
      </c>
      <c r="D100" s="33" t="s">
        <v>806</v>
      </c>
      <c r="E100" s="33" t="s">
        <v>502</v>
      </c>
      <c r="F100" s="33" t="s">
        <v>542</v>
      </c>
      <c r="G100" s="117">
        <v>2.75</v>
      </c>
      <c r="H100" s="34">
        <v>35045</v>
      </c>
      <c r="I100" s="34">
        <v>35121</v>
      </c>
      <c r="J100" s="34">
        <v>35121</v>
      </c>
      <c r="K100" s="34">
        <v>39356</v>
      </c>
      <c r="L100" s="34">
        <v>35886</v>
      </c>
      <c r="M100" s="34">
        <v>35185</v>
      </c>
      <c r="N100" s="113">
        <v>10</v>
      </c>
      <c r="O100" s="200">
        <v>16315669.82</v>
      </c>
      <c r="P100" s="200">
        <v>16315669.82</v>
      </c>
      <c r="Q100" s="200">
        <v>7063419.8200000003</v>
      </c>
      <c r="R100" s="201">
        <v>32310.28</v>
      </c>
      <c r="S100" s="33" t="s">
        <v>22</v>
      </c>
      <c r="T100" s="33" t="s">
        <v>22</v>
      </c>
      <c r="U100" s="33" t="s">
        <v>203</v>
      </c>
      <c r="V100" s="33"/>
      <c r="W100" s="33" t="s">
        <v>209</v>
      </c>
      <c r="X100" s="33" t="s">
        <v>210</v>
      </c>
      <c r="Y100" s="33" t="s">
        <v>209</v>
      </c>
      <c r="Z100" s="33" t="s">
        <v>209</v>
      </c>
      <c r="AA100" s="35" t="str">
        <f>_xlfn.IFNA(VLOOKUP(E100,'Lookup Table'!$J$33:$K$176,2,0),"B3")</f>
        <v>B3</v>
      </c>
      <c r="AB100" s="35">
        <f>_xlfn.IFNA(VLOOKUP($AA100,'Rating Lookup'!$B$2:$I$27,8,0),15)</f>
        <v>16</v>
      </c>
      <c r="AC100" s="35">
        <f>_xlfn.IFNA(VLOOKUP(E100,'Lookup Table'!$M$33:$N$173,2,0),"B3")</f>
        <v>0</v>
      </c>
      <c r="AD100" s="35">
        <f>_xlfn.IFNA(VLOOKUP($AC100,'Rating Lookup'!$B$2:$I$27,8,0),15)</f>
        <v>15</v>
      </c>
      <c r="AE100" s="35">
        <f t="shared" si="24"/>
        <v>1</v>
      </c>
      <c r="AG100" s="35" t="str">
        <f t="shared" si="25"/>
        <v>INTEGRATED HEALTH PROJET</v>
      </c>
      <c r="AH100" s="35" t="str">
        <f t="shared" si="26"/>
        <v>Government Loan</v>
      </c>
      <c r="AI100" s="202">
        <f>'ECL Calculation'!$B$1</f>
        <v>43465</v>
      </c>
      <c r="AJ100" s="202">
        <f t="shared" si="27"/>
        <v>35886</v>
      </c>
      <c r="AK100" s="202">
        <f t="shared" si="28"/>
        <v>35185</v>
      </c>
      <c r="AL100" s="127">
        <f t="shared" si="29"/>
        <v>10</v>
      </c>
      <c r="AM100" s="192">
        <f>IF(AND(IF(ISBLANK(K100),EOMONTH(AJ100,AL100*12),K100)&lt;'ECL Calculation'!$B$1,SUM('Input Sheet'!Q100,'Input Sheet'!R100)&gt;0),EOMONTH('ECL Calculation'!$B$1,12*5),IF(ISBLANK(K100),EOMONTH(AJ100,AL100*12),K100))</f>
        <v>45291</v>
      </c>
      <c r="AN100" s="203">
        <f t="shared" si="30"/>
        <v>16315669.82</v>
      </c>
      <c r="AO100" s="203">
        <f t="shared" si="31"/>
        <v>16315669.82</v>
      </c>
      <c r="AP100" s="203">
        <f t="shared" si="32"/>
        <v>0</v>
      </c>
      <c r="AQ100" s="126">
        <f>VLOOKUP(U100,'Lookup Table'!$B$2:$C$10,2,0)</f>
        <v>1</v>
      </c>
      <c r="AR100" s="127">
        <f>VLOOKUP(S100,'Lookup Table'!$B$2:$C$9,2,0)</f>
        <v>2</v>
      </c>
      <c r="AS100" s="127">
        <f>VLOOKUP(T100,'Lookup Table'!$B$2:$C$9,2,0)</f>
        <v>2</v>
      </c>
      <c r="AT100" s="136">
        <f t="shared" si="33"/>
        <v>7063419.8200000003</v>
      </c>
      <c r="AU100" s="128">
        <f t="shared" si="34"/>
        <v>2.75E-2</v>
      </c>
      <c r="AV100" s="136">
        <f t="shared" si="35"/>
        <v>32310.28</v>
      </c>
      <c r="AW100" s="37" t="str">
        <f t="shared" si="36"/>
        <v>B3</v>
      </c>
      <c r="AX100" s="128">
        <f>VLOOKUP(E100,'Lookup Table'!$B$12:$C$82,2,0)</f>
        <v>3.7499999999999999E-2</v>
      </c>
      <c r="AY100" s="128">
        <f>'Lookup Table'!$E$3</f>
        <v>0.45</v>
      </c>
      <c r="AZ100" s="129" t="str">
        <f t="shared" si="37"/>
        <v>Seychelles</v>
      </c>
      <c r="BA100" s="37">
        <f>VLOOKUP(AA100,'Lookup Table'!$J$3:$K$27,2,0)</f>
        <v>1</v>
      </c>
      <c r="BB100" s="37">
        <f t="shared" si="38"/>
        <v>2</v>
      </c>
      <c r="BC100" s="37">
        <f t="shared" si="39"/>
        <v>2</v>
      </c>
      <c r="BD100" s="37">
        <f>IF(AND(K100&lt;'ECL Calculation'!$B$1,'Input Sheet'!W100="No"),3,IF(X100="Yes",2,1))</f>
        <v>1</v>
      </c>
      <c r="BE100" s="37">
        <f t="shared" si="40"/>
        <v>3</v>
      </c>
      <c r="BF100" s="37" t="str">
        <f t="shared" si="41"/>
        <v>Stage 3</v>
      </c>
      <c r="BG100" s="37" t="str">
        <f t="shared" si="42"/>
        <v>Yes</v>
      </c>
    </row>
    <row r="101" spans="1:59" x14ac:dyDescent="0.2">
      <c r="A101" s="35">
        <f t="shared" si="43"/>
        <v>99</v>
      </c>
      <c r="B101" s="33">
        <v>1099</v>
      </c>
      <c r="C101" s="33" t="s">
        <v>350</v>
      </c>
      <c r="D101" s="33" t="s">
        <v>806</v>
      </c>
      <c r="E101" s="33" t="s">
        <v>19</v>
      </c>
      <c r="F101" s="33" t="s">
        <v>542</v>
      </c>
      <c r="G101" s="117">
        <v>4</v>
      </c>
      <c r="H101" s="34">
        <v>35254</v>
      </c>
      <c r="I101" s="34">
        <v>35254</v>
      </c>
      <c r="J101" s="34">
        <v>35255</v>
      </c>
      <c r="K101" s="34">
        <v>39933</v>
      </c>
      <c r="L101" s="34">
        <v>36463</v>
      </c>
      <c r="M101" s="34">
        <v>35368</v>
      </c>
      <c r="N101" s="113">
        <v>10</v>
      </c>
      <c r="O101" s="200">
        <v>51136373.810000002</v>
      </c>
      <c r="P101" s="200">
        <v>51136373.810000002</v>
      </c>
      <c r="Q101" s="200">
        <v>0</v>
      </c>
      <c r="R101" s="201">
        <v>0</v>
      </c>
      <c r="S101" s="33" t="s">
        <v>22</v>
      </c>
      <c r="T101" s="33" t="s">
        <v>22</v>
      </c>
      <c r="U101" s="33" t="s">
        <v>203</v>
      </c>
      <c r="V101" s="33"/>
      <c r="W101" s="33" t="s">
        <v>210</v>
      </c>
      <c r="X101" s="33" t="s">
        <v>210</v>
      </c>
      <c r="Y101" s="33"/>
      <c r="Z101" s="33" t="s">
        <v>209</v>
      </c>
      <c r="AA101" s="35" t="str">
        <f>_xlfn.IFNA(VLOOKUP(E101,'Lookup Table'!$J$33:$K$176,2,0),"B3")</f>
        <v>B2</v>
      </c>
      <c r="AB101" s="35">
        <f>_xlfn.IFNA(VLOOKUP($AA101,'Rating Lookup'!$B$2:$I$27,8,0),15)</f>
        <v>15</v>
      </c>
      <c r="AC101" s="35" t="str">
        <f>_xlfn.IFNA(VLOOKUP(E101,'Lookup Table'!$M$33:$N$173,2,0),"B3")</f>
        <v>Baa1</v>
      </c>
      <c r="AD101" s="35">
        <f>_xlfn.IFNA(VLOOKUP($AC101,'Rating Lookup'!$B$2:$I$27,8,0),15)</f>
        <v>8</v>
      </c>
      <c r="AE101" s="35">
        <f t="shared" si="24"/>
        <v>7</v>
      </c>
      <c r="AG101" s="35" t="str">
        <f t="shared" si="25"/>
        <v>EXTENSION OF TRANSMISSION NET</v>
      </c>
      <c r="AH101" s="35" t="str">
        <f t="shared" si="26"/>
        <v>Government Loan</v>
      </c>
      <c r="AI101" s="202">
        <f>'ECL Calculation'!$B$1</f>
        <v>43465</v>
      </c>
      <c r="AJ101" s="202">
        <f t="shared" si="27"/>
        <v>36463</v>
      </c>
      <c r="AK101" s="202">
        <f t="shared" si="28"/>
        <v>35368</v>
      </c>
      <c r="AL101" s="127">
        <f t="shared" si="29"/>
        <v>10</v>
      </c>
      <c r="AM101" s="192">
        <f>IF(AND(IF(ISBLANK(K101),EOMONTH(AJ101,AL101*12),K101)&lt;'ECL Calculation'!$B$1,SUM('Input Sheet'!Q101,'Input Sheet'!R101)&gt;0),EOMONTH('ECL Calculation'!$B$1,12*5),IF(ISBLANK(K101),EOMONTH(AJ101,AL101*12),K101))</f>
        <v>39933</v>
      </c>
      <c r="AN101" s="203">
        <f t="shared" si="30"/>
        <v>51136373.810000002</v>
      </c>
      <c r="AO101" s="203">
        <f t="shared" si="31"/>
        <v>51136373.810000002</v>
      </c>
      <c r="AP101" s="203">
        <f t="shared" si="32"/>
        <v>0</v>
      </c>
      <c r="AQ101" s="126">
        <f>VLOOKUP(U101,'Lookup Table'!$B$2:$C$10,2,0)</f>
        <v>1</v>
      </c>
      <c r="AR101" s="127">
        <f>VLOOKUP(S101,'Lookup Table'!$B$2:$C$9,2,0)</f>
        <v>2</v>
      </c>
      <c r="AS101" s="127">
        <f>VLOOKUP(T101,'Lookup Table'!$B$2:$C$9,2,0)</f>
        <v>2</v>
      </c>
      <c r="AT101" s="136">
        <f t="shared" si="33"/>
        <v>0</v>
      </c>
      <c r="AU101" s="128">
        <f t="shared" si="34"/>
        <v>0.04</v>
      </c>
      <c r="AV101" s="136">
        <f t="shared" si="35"/>
        <v>0</v>
      </c>
      <c r="AW101" s="37" t="str">
        <f t="shared" si="36"/>
        <v>B2</v>
      </c>
      <c r="AX101" s="128">
        <f>VLOOKUP(E101,'Lookup Table'!$B$12:$C$82,2,0)</f>
        <v>3.6111111111111115E-2</v>
      </c>
      <c r="AY101" s="128">
        <f>'Lookup Table'!$E$3</f>
        <v>0.45</v>
      </c>
      <c r="AZ101" s="129" t="str">
        <f t="shared" si="37"/>
        <v>Bahrain</v>
      </c>
      <c r="BA101" s="37">
        <f>VLOOKUP(AA101,'Lookup Table'!$J$3:$K$27,2,0)</f>
        <v>1</v>
      </c>
      <c r="BB101" s="37">
        <f t="shared" si="38"/>
        <v>2</v>
      </c>
      <c r="BC101" s="37">
        <f t="shared" si="39"/>
        <v>1</v>
      </c>
      <c r="BD101" s="37">
        <f>IF(AND(K101&lt;'ECL Calculation'!$B$1,'Input Sheet'!W101="No"),3,IF(X101="Yes",2,1))</f>
        <v>3</v>
      </c>
      <c r="BE101" s="37">
        <f t="shared" si="40"/>
        <v>1</v>
      </c>
      <c r="BF101" s="37" t="str">
        <f t="shared" si="41"/>
        <v>Stage 3</v>
      </c>
      <c r="BG101" s="37" t="str">
        <f t="shared" si="42"/>
        <v>No</v>
      </c>
    </row>
    <row r="102" spans="1:59" x14ac:dyDescent="0.2">
      <c r="A102" s="35">
        <f t="shared" si="43"/>
        <v>100</v>
      </c>
      <c r="B102" s="33">
        <v>1100</v>
      </c>
      <c r="C102" s="33" t="s">
        <v>267</v>
      </c>
      <c r="D102" s="33" t="s">
        <v>806</v>
      </c>
      <c r="E102" s="33" t="s">
        <v>19</v>
      </c>
      <c r="F102" s="33" t="s">
        <v>542</v>
      </c>
      <c r="G102" s="117">
        <v>4</v>
      </c>
      <c r="H102" s="34">
        <v>35254</v>
      </c>
      <c r="I102" s="34">
        <v>35254</v>
      </c>
      <c r="J102" s="34">
        <v>35254</v>
      </c>
      <c r="K102" s="34">
        <v>39751</v>
      </c>
      <c r="L102" s="34">
        <v>37924</v>
      </c>
      <c r="M102" s="34">
        <v>35368</v>
      </c>
      <c r="N102" s="113">
        <v>9</v>
      </c>
      <c r="O102" s="200">
        <v>57472959.109999999</v>
      </c>
      <c r="P102" s="200">
        <v>57472959.109999999</v>
      </c>
      <c r="Q102" s="200">
        <v>0</v>
      </c>
      <c r="R102" s="201">
        <v>0</v>
      </c>
      <c r="S102" s="33" t="s">
        <v>22</v>
      </c>
      <c r="T102" s="33" t="s">
        <v>22</v>
      </c>
      <c r="U102" s="33" t="s">
        <v>203</v>
      </c>
      <c r="V102" s="33"/>
      <c r="W102" s="33" t="s">
        <v>210</v>
      </c>
      <c r="X102" s="33" t="s">
        <v>210</v>
      </c>
      <c r="Y102" s="33"/>
      <c r="Z102" s="33" t="s">
        <v>209</v>
      </c>
      <c r="AA102" s="35" t="str">
        <f>_xlfn.IFNA(VLOOKUP(E102,'Lookup Table'!$J$33:$K$176,2,0),"B3")</f>
        <v>B2</v>
      </c>
      <c r="AB102" s="35">
        <f>_xlfn.IFNA(VLOOKUP($AA102,'Rating Lookup'!$B$2:$I$27,8,0),15)</f>
        <v>15</v>
      </c>
      <c r="AC102" s="35" t="str">
        <f>_xlfn.IFNA(VLOOKUP(E102,'Lookup Table'!$M$33:$N$173,2,0),"B3")</f>
        <v>Baa1</v>
      </c>
      <c r="AD102" s="35">
        <f>_xlfn.IFNA(VLOOKUP($AC102,'Rating Lookup'!$B$2:$I$27,8,0),15)</f>
        <v>8</v>
      </c>
      <c r="AE102" s="35">
        <f t="shared" si="24"/>
        <v>7</v>
      </c>
      <c r="AG102" s="35" t="str">
        <f t="shared" si="25"/>
        <v>SITRA P&amp;W STATION</v>
      </c>
      <c r="AH102" s="35" t="str">
        <f t="shared" si="26"/>
        <v>Government Loan</v>
      </c>
      <c r="AI102" s="202">
        <f>'ECL Calculation'!$B$1</f>
        <v>43465</v>
      </c>
      <c r="AJ102" s="202">
        <f t="shared" si="27"/>
        <v>37924</v>
      </c>
      <c r="AK102" s="202">
        <f t="shared" si="28"/>
        <v>35368</v>
      </c>
      <c r="AL102" s="127">
        <f t="shared" si="29"/>
        <v>9</v>
      </c>
      <c r="AM102" s="192">
        <f>IF(AND(IF(ISBLANK(K102),EOMONTH(AJ102,AL102*12),K102)&lt;'ECL Calculation'!$B$1,SUM('Input Sheet'!Q102,'Input Sheet'!R102)&gt;0),EOMONTH('ECL Calculation'!$B$1,12*5),IF(ISBLANK(K102),EOMONTH(AJ102,AL102*12),K102))</f>
        <v>39751</v>
      </c>
      <c r="AN102" s="203">
        <f t="shared" si="30"/>
        <v>57472959.109999999</v>
      </c>
      <c r="AO102" s="203">
        <f t="shared" si="31"/>
        <v>57472959.109999999</v>
      </c>
      <c r="AP102" s="203">
        <f t="shared" si="32"/>
        <v>0</v>
      </c>
      <c r="AQ102" s="126">
        <f>VLOOKUP(U102,'Lookup Table'!$B$2:$C$10,2,0)</f>
        <v>1</v>
      </c>
      <c r="AR102" s="127">
        <f>VLOOKUP(S102,'Lookup Table'!$B$2:$C$9,2,0)</f>
        <v>2</v>
      </c>
      <c r="AS102" s="127">
        <f>VLOOKUP(T102,'Lookup Table'!$B$2:$C$9,2,0)</f>
        <v>2</v>
      </c>
      <c r="AT102" s="136">
        <f t="shared" si="33"/>
        <v>0</v>
      </c>
      <c r="AU102" s="128">
        <f t="shared" si="34"/>
        <v>0.04</v>
      </c>
      <c r="AV102" s="136">
        <f t="shared" si="35"/>
        <v>0</v>
      </c>
      <c r="AW102" s="37" t="str">
        <f t="shared" si="36"/>
        <v>B2</v>
      </c>
      <c r="AX102" s="128">
        <f>VLOOKUP(E102,'Lookup Table'!$B$12:$C$82,2,0)</f>
        <v>3.6111111111111115E-2</v>
      </c>
      <c r="AY102" s="128">
        <f>'Lookup Table'!$E$3</f>
        <v>0.45</v>
      </c>
      <c r="AZ102" s="129" t="str">
        <f t="shared" si="37"/>
        <v>Bahrain</v>
      </c>
      <c r="BA102" s="37">
        <f>VLOOKUP(AA102,'Lookup Table'!$J$3:$K$27,2,0)</f>
        <v>1</v>
      </c>
      <c r="BB102" s="37">
        <f t="shared" si="38"/>
        <v>2</v>
      </c>
      <c r="BC102" s="37">
        <f t="shared" si="39"/>
        <v>1</v>
      </c>
      <c r="BD102" s="37">
        <f>IF(AND(K102&lt;'ECL Calculation'!$B$1,'Input Sheet'!W102="No"),3,IF(X102="Yes",2,1))</f>
        <v>3</v>
      </c>
      <c r="BE102" s="37">
        <f t="shared" si="40"/>
        <v>1</v>
      </c>
      <c r="BF102" s="37" t="str">
        <f t="shared" si="41"/>
        <v>Stage 3</v>
      </c>
      <c r="BG102" s="37" t="str">
        <f t="shared" si="42"/>
        <v>No</v>
      </c>
    </row>
    <row r="103" spans="1:59" x14ac:dyDescent="0.2">
      <c r="A103" s="35">
        <f t="shared" si="43"/>
        <v>101</v>
      </c>
      <c r="B103" s="33">
        <v>1101</v>
      </c>
      <c r="C103" s="33" t="s">
        <v>342</v>
      </c>
      <c r="D103" s="33" t="s">
        <v>806</v>
      </c>
      <c r="E103" s="33" t="s">
        <v>231</v>
      </c>
      <c r="F103" s="33" t="s">
        <v>542</v>
      </c>
      <c r="G103" s="117">
        <v>2</v>
      </c>
      <c r="H103" s="34">
        <v>35507</v>
      </c>
      <c r="I103" s="34">
        <v>35618</v>
      </c>
      <c r="J103" s="34">
        <v>35618</v>
      </c>
      <c r="K103" s="34">
        <v>44499</v>
      </c>
      <c r="L103" s="34">
        <v>39202</v>
      </c>
      <c r="M103" s="34">
        <v>35550</v>
      </c>
      <c r="N103" s="113">
        <v>15</v>
      </c>
      <c r="O103" s="200">
        <v>36730000</v>
      </c>
      <c r="P103" s="200">
        <v>36730000</v>
      </c>
      <c r="Q103" s="200">
        <v>7354000</v>
      </c>
      <c r="R103" s="201">
        <v>24446.35</v>
      </c>
      <c r="S103" s="33" t="s">
        <v>22</v>
      </c>
      <c r="T103" s="33" t="s">
        <v>22</v>
      </c>
      <c r="U103" s="33" t="s">
        <v>203</v>
      </c>
      <c r="V103" s="33"/>
      <c r="W103" s="33" t="s">
        <v>210</v>
      </c>
      <c r="X103" s="33" t="s">
        <v>210</v>
      </c>
      <c r="Y103" s="33"/>
      <c r="Z103" s="33" t="s">
        <v>209</v>
      </c>
      <c r="AA103" s="35" t="str">
        <f>_xlfn.IFNA(VLOOKUP(E103,'Lookup Table'!$J$33:$K$176,2,0),"B3")</f>
        <v>B2</v>
      </c>
      <c r="AB103" s="35">
        <f>_xlfn.IFNA(VLOOKUP($AA103,'Rating Lookup'!$B$2:$I$27,8,0),15)</f>
        <v>15</v>
      </c>
      <c r="AC103" s="35" t="str">
        <f>_xlfn.IFNA(VLOOKUP(E103,'Lookup Table'!$M$33:$N$173,2,0),"B3")</f>
        <v>B2</v>
      </c>
      <c r="AD103" s="35">
        <f>_xlfn.IFNA(VLOOKUP($AC103,'Rating Lookup'!$B$2:$I$27,8,0),15)</f>
        <v>15</v>
      </c>
      <c r="AE103" s="35">
        <f t="shared" si="24"/>
        <v>0</v>
      </c>
      <c r="AG103" s="35" t="str">
        <f t="shared" si="25"/>
        <v>SOCIAL FUND FOR DEVELOPMENT</v>
      </c>
      <c r="AH103" s="35" t="str">
        <f t="shared" si="26"/>
        <v>Government Loan</v>
      </c>
      <c r="AI103" s="202">
        <f>'ECL Calculation'!$B$1</f>
        <v>43465</v>
      </c>
      <c r="AJ103" s="202">
        <f t="shared" si="27"/>
        <v>39202</v>
      </c>
      <c r="AK103" s="202">
        <f t="shared" si="28"/>
        <v>35550</v>
      </c>
      <c r="AL103" s="127">
        <f t="shared" si="29"/>
        <v>15</v>
      </c>
      <c r="AM103" s="192">
        <f>IF(AND(IF(ISBLANK(K103),EOMONTH(AJ103,AL103*12),K103)&lt;'ECL Calculation'!$B$1,SUM('Input Sheet'!Q103,'Input Sheet'!R103)&gt;0),EOMONTH('ECL Calculation'!$B$1,12*5),IF(ISBLANK(K103),EOMONTH(AJ103,AL103*12),K103))</f>
        <v>44499</v>
      </c>
      <c r="AN103" s="203">
        <f t="shared" si="30"/>
        <v>36730000</v>
      </c>
      <c r="AO103" s="203">
        <f t="shared" si="31"/>
        <v>36730000</v>
      </c>
      <c r="AP103" s="203">
        <f t="shared" si="32"/>
        <v>0</v>
      </c>
      <c r="AQ103" s="126">
        <f>VLOOKUP(U103,'Lookup Table'!$B$2:$C$10,2,0)</f>
        <v>1</v>
      </c>
      <c r="AR103" s="127">
        <f>VLOOKUP(S103,'Lookup Table'!$B$2:$C$9,2,0)</f>
        <v>2</v>
      </c>
      <c r="AS103" s="127">
        <f>VLOOKUP(T103,'Lookup Table'!$B$2:$C$9,2,0)</f>
        <v>2</v>
      </c>
      <c r="AT103" s="136">
        <f t="shared" si="33"/>
        <v>7354000</v>
      </c>
      <c r="AU103" s="128">
        <f t="shared" si="34"/>
        <v>0.02</v>
      </c>
      <c r="AV103" s="136">
        <f t="shared" si="35"/>
        <v>24446.35</v>
      </c>
      <c r="AW103" s="37" t="str">
        <f t="shared" si="36"/>
        <v>B2</v>
      </c>
      <c r="AX103" s="128">
        <f>VLOOKUP(E103,'Lookup Table'!$B$12:$C$82,2,0)</f>
        <v>2.8999999999999998E-2</v>
      </c>
      <c r="AY103" s="128">
        <f>'Lookup Table'!$E$3</f>
        <v>0.45</v>
      </c>
      <c r="AZ103" s="129" t="str">
        <f t="shared" si="37"/>
        <v>Egypt</v>
      </c>
      <c r="BA103" s="37">
        <f>VLOOKUP(AA103,'Lookup Table'!$J$3:$K$27,2,0)</f>
        <v>1</v>
      </c>
      <c r="BB103" s="37">
        <f t="shared" si="38"/>
        <v>1</v>
      </c>
      <c r="BC103" s="37">
        <f t="shared" si="39"/>
        <v>1</v>
      </c>
      <c r="BD103" s="37">
        <f>IF(AND(K103&lt;'ECL Calculation'!$B$1,'Input Sheet'!W103="No"),3,IF(X103="Yes",2,1))</f>
        <v>1</v>
      </c>
      <c r="BE103" s="37">
        <f t="shared" si="40"/>
        <v>1</v>
      </c>
      <c r="BF103" s="37" t="str">
        <f t="shared" si="41"/>
        <v>Stage 1</v>
      </c>
      <c r="BG103" s="37" t="str">
        <f t="shared" si="42"/>
        <v>Yes</v>
      </c>
    </row>
    <row r="104" spans="1:59" x14ac:dyDescent="0.2">
      <c r="A104" s="35">
        <f t="shared" si="43"/>
        <v>102</v>
      </c>
      <c r="B104" s="33">
        <v>1102</v>
      </c>
      <c r="C104" s="33" t="s">
        <v>351</v>
      </c>
      <c r="D104" s="33" t="s">
        <v>806</v>
      </c>
      <c r="E104" s="33" t="s">
        <v>515</v>
      </c>
      <c r="F104" s="33" t="s">
        <v>542</v>
      </c>
      <c r="G104" s="117">
        <v>3.5</v>
      </c>
      <c r="H104" s="34">
        <v>36071</v>
      </c>
      <c r="I104" s="34">
        <v>36373</v>
      </c>
      <c r="J104" s="34">
        <v>36373</v>
      </c>
      <c r="K104" s="34">
        <v>43403</v>
      </c>
      <c r="L104" s="34">
        <v>39385</v>
      </c>
      <c r="M104" s="34">
        <v>36280</v>
      </c>
      <c r="N104" s="113">
        <v>15</v>
      </c>
      <c r="O104" s="200">
        <v>16163044.539999999</v>
      </c>
      <c r="P104" s="200">
        <v>16163044.539999999</v>
      </c>
      <c r="Q104" s="200">
        <v>251044.54</v>
      </c>
      <c r="R104" s="201">
        <v>129952.92</v>
      </c>
      <c r="S104" s="33" t="s">
        <v>22</v>
      </c>
      <c r="T104" s="33" t="s">
        <v>22</v>
      </c>
      <c r="U104" s="33" t="s">
        <v>203</v>
      </c>
      <c r="V104" s="33"/>
      <c r="W104" s="33" t="s">
        <v>210</v>
      </c>
      <c r="X104" s="33" t="s">
        <v>210</v>
      </c>
      <c r="Y104" s="33"/>
      <c r="Z104" s="33" t="s">
        <v>209</v>
      </c>
      <c r="AA104" s="35" t="str">
        <f>_xlfn.IFNA(VLOOKUP(E104,'Lookup Table'!$J$33:$K$176,2,0),"B3")</f>
        <v>B3</v>
      </c>
      <c r="AB104" s="35">
        <f>_xlfn.IFNA(VLOOKUP($AA104,'Rating Lookup'!$B$2:$I$27,8,0),15)</f>
        <v>16</v>
      </c>
      <c r="AC104" s="35">
        <f>_xlfn.IFNA(VLOOKUP(E104,'Lookup Table'!$M$33:$N$173,2,0),"B3")</f>
        <v>0</v>
      </c>
      <c r="AD104" s="35">
        <f>_xlfn.IFNA(VLOOKUP($AC104,'Rating Lookup'!$B$2:$I$27,8,0),15)</f>
        <v>15</v>
      </c>
      <c r="AE104" s="35">
        <f t="shared" si="24"/>
        <v>1</v>
      </c>
      <c r="AG104" s="35" t="str">
        <f t="shared" si="25"/>
        <v>THE SMALL DAMS PROJECT IN SAMANDINI</v>
      </c>
      <c r="AH104" s="35" t="str">
        <f t="shared" si="26"/>
        <v>Government Loan</v>
      </c>
      <c r="AI104" s="202">
        <f>'ECL Calculation'!$B$1</f>
        <v>43465</v>
      </c>
      <c r="AJ104" s="202">
        <f t="shared" si="27"/>
        <v>39385</v>
      </c>
      <c r="AK104" s="202">
        <f t="shared" si="28"/>
        <v>36280</v>
      </c>
      <c r="AL104" s="127">
        <f t="shared" si="29"/>
        <v>15</v>
      </c>
      <c r="AM104" s="192">
        <f>IF(AND(IF(ISBLANK(K104),EOMONTH(AJ104,AL104*12),K104)&lt;'ECL Calculation'!$B$1,SUM('Input Sheet'!Q104,'Input Sheet'!R104)&gt;0),EOMONTH('ECL Calculation'!$B$1,12*5),IF(ISBLANK(K104),EOMONTH(AJ104,AL104*12),K104))</f>
        <v>45291</v>
      </c>
      <c r="AN104" s="203">
        <f t="shared" si="30"/>
        <v>16163044.539999999</v>
      </c>
      <c r="AO104" s="203">
        <f t="shared" si="31"/>
        <v>16163044.539999999</v>
      </c>
      <c r="AP104" s="203">
        <f t="shared" si="32"/>
        <v>0</v>
      </c>
      <c r="AQ104" s="126">
        <f>VLOOKUP(U104,'Lookup Table'!$B$2:$C$10,2,0)</f>
        <v>1</v>
      </c>
      <c r="AR104" s="127">
        <f>VLOOKUP(S104,'Lookup Table'!$B$2:$C$9,2,0)</f>
        <v>2</v>
      </c>
      <c r="AS104" s="127">
        <f>VLOOKUP(T104,'Lookup Table'!$B$2:$C$9,2,0)</f>
        <v>2</v>
      </c>
      <c r="AT104" s="136">
        <f t="shared" si="33"/>
        <v>251044.54</v>
      </c>
      <c r="AU104" s="128">
        <f t="shared" si="34"/>
        <v>3.5000000000000003E-2</v>
      </c>
      <c r="AV104" s="136">
        <f t="shared" si="35"/>
        <v>129952.92</v>
      </c>
      <c r="AW104" s="37" t="str">
        <f t="shared" si="36"/>
        <v>B3</v>
      </c>
      <c r="AX104" s="128">
        <f>VLOOKUP(E104,'Lookup Table'!$B$12:$C$82,2,0)</f>
        <v>2.75E-2</v>
      </c>
      <c r="AY104" s="128">
        <f>'Lookup Table'!$E$3</f>
        <v>0.45</v>
      </c>
      <c r="AZ104" s="129" t="str">
        <f t="shared" si="37"/>
        <v>Burkina Faso</v>
      </c>
      <c r="BA104" s="37">
        <f>VLOOKUP(AA104,'Lookup Table'!$J$3:$K$27,2,0)</f>
        <v>1</v>
      </c>
      <c r="BB104" s="37">
        <f t="shared" si="38"/>
        <v>2</v>
      </c>
      <c r="BC104" s="37">
        <f t="shared" si="39"/>
        <v>1</v>
      </c>
      <c r="BD104" s="37">
        <f>IF(AND(K104&lt;'ECL Calculation'!$B$1,'Input Sheet'!W104="No"),3,IF(X104="Yes",2,1))</f>
        <v>3</v>
      </c>
      <c r="BE104" s="37">
        <f t="shared" si="40"/>
        <v>1</v>
      </c>
      <c r="BF104" s="37" t="str">
        <f t="shared" si="41"/>
        <v>Stage 3</v>
      </c>
      <c r="BG104" s="37" t="str">
        <f t="shared" si="42"/>
        <v>Yes</v>
      </c>
    </row>
    <row r="105" spans="1:59" x14ac:dyDescent="0.2">
      <c r="A105" s="35">
        <f t="shared" si="43"/>
        <v>103</v>
      </c>
      <c r="B105" s="33">
        <v>1103</v>
      </c>
      <c r="C105" s="33" t="s">
        <v>352</v>
      </c>
      <c r="D105" s="33" t="s">
        <v>806</v>
      </c>
      <c r="E105" s="33" t="s">
        <v>24</v>
      </c>
      <c r="F105" s="33" t="s">
        <v>542</v>
      </c>
      <c r="G105" s="117">
        <v>3.5</v>
      </c>
      <c r="H105" s="34">
        <v>35452</v>
      </c>
      <c r="I105" s="34">
        <v>35513</v>
      </c>
      <c r="J105" s="34">
        <v>35513</v>
      </c>
      <c r="K105" s="34">
        <v>41942</v>
      </c>
      <c r="L105" s="34">
        <v>36646</v>
      </c>
      <c r="M105" s="34">
        <v>35550</v>
      </c>
      <c r="N105" s="113">
        <v>8</v>
      </c>
      <c r="O105" s="200">
        <v>67659346.109999999</v>
      </c>
      <c r="P105" s="200">
        <v>67659346.109999999</v>
      </c>
      <c r="Q105" s="200">
        <v>0</v>
      </c>
      <c r="R105" s="201">
        <v>0</v>
      </c>
      <c r="S105" s="33" t="s">
        <v>22</v>
      </c>
      <c r="T105" s="33" t="s">
        <v>22</v>
      </c>
      <c r="U105" s="33" t="s">
        <v>203</v>
      </c>
      <c r="V105" s="33"/>
      <c r="W105" s="33" t="s">
        <v>210</v>
      </c>
      <c r="X105" s="33" t="s">
        <v>210</v>
      </c>
      <c r="Y105" s="33"/>
      <c r="Z105" s="33" t="s">
        <v>209</v>
      </c>
      <c r="AA105" s="35" t="str">
        <f>_xlfn.IFNA(VLOOKUP(E105,'Lookup Table'!$J$33:$K$176,2,0),"B3")</f>
        <v>Ba1</v>
      </c>
      <c r="AB105" s="35">
        <f>_xlfn.IFNA(VLOOKUP($AA105,'Rating Lookup'!$B$2:$I$27,8,0),15)</f>
        <v>11</v>
      </c>
      <c r="AC105" s="35" t="str">
        <f>_xlfn.IFNA(VLOOKUP(E105,'Lookup Table'!$M$33:$N$173,2,0),"B3")</f>
        <v>A1</v>
      </c>
      <c r="AD105" s="35">
        <f>_xlfn.IFNA(VLOOKUP($AC105,'Rating Lookup'!$B$2:$I$27,8,0),15)</f>
        <v>5</v>
      </c>
      <c r="AE105" s="35">
        <f t="shared" si="24"/>
        <v>6</v>
      </c>
      <c r="AG105" s="35" t="str">
        <f t="shared" si="25"/>
        <v>FISHING PORT IN SOUR</v>
      </c>
      <c r="AH105" s="35" t="str">
        <f t="shared" si="26"/>
        <v>Government Loan</v>
      </c>
      <c r="AI105" s="202">
        <f>'ECL Calculation'!$B$1</f>
        <v>43465</v>
      </c>
      <c r="AJ105" s="202">
        <f t="shared" si="27"/>
        <v>36646</v>
      </c>
      <c r="AK105" s="202">
        <f t="shared" si="28"/>
        <v>35550</v>
      </c>
      <c r="AL105" s="127">
        <f t="shared" si="29"/>
        <v>8</v>
      </c>
      <c r="AM105" s="192">
        <f>IF(AND(IF(ISBLANK(K105),EOMONTH(AJ105,AL105*12),K105)&lt;'ECL Calculation'!$B$1,SUM('Input Sheet'!Q105,'Input Sheet'!R105)&gt;0),EOMONTH('ECL Calculation'!$B$1,12*5),IF(ISBLANK(K105),EOMONTH(AJ105,AL105*12),K105))</f>
        <v>41942</v>
      </c>
      <c r="AN105" s="203">
        <f t="shared" si="30"/>
        <v>67659346.109999999</v>
      </c>
      <c r="AO105" s="203">
        <f t="shared" si="31"/>
        <v>67659346.109999999</v>
      </c>
      <c r="AP105" s="203">
        <f t="shared" si="32"/>
        <v>0</v>
      </c>
      <c r="AQ105" s="126">
        <f>VLOOKUP(U105,'Lookup Table'!$B$2:$C$10,2,0)</f>
        <v>1</v>
      </c>
      <c r="AR105" s="127">
        <f>VLOOKUP(S105,'Lookup Table'!$B$2:$C$9,2,0)</f>
        <v>2</v>
      </c>
      <c r="AS105" s="127">
        <f>VLOOKUP(T105,'Lookup Table'!$B$2:$C$9,2,0)</f>
        <v>2</v>
      </c>
      <c r="AT105" s="136">
        <f t="shared" si="33"/>
        <v>0</v>
      </c>
      <c r="AU105" s="128">
        <f t="shared" si="34"/>
        <v>3.5000000000000003E-2</v>
      </c>
      <c r="AV105" s="136">
        <f t="shared" si="35"/>
        <v>0</v>
      </c>
      <c r="AW105" s="37" t="str">
        <f t="shared" si="36"/>
        <v>Ba1</v>
      </c>
      <c r="AX105" s="128">
        <f>VLOOKUP(E105,'Lookup Table'!$B$12:$C$82,2,0)</f>
        <v>3.6818181818181819E-2</v>
      </c>
      <c r="AY105" s="128">
        <f>'Lookup Table'!$E$3</f>
        <v>0.45</v>
      </c>
      <c r="AZ105" s="129" t="str">
        <f t="shared" si="37"/>
        <v>Oman</v>
      </c>
      <c r="BA105" s="37">
        <f>VLOOKUP(AA105,'Lookup Table'!$J$3:$K$27,2,0)</f>
        <v>1</v>
      </c>
      <c r="BB105" s="37">
        <f t="shared" si="38"/>
        <v>2</v>
      </c>
      <c r="BC105" s="37">
        <f t="shared" si="39"/>
        <v>1</v>
      </c>
      <c r="BD105" s="37">
        <f>IF(AND(K105&lt;'ECL Calculation'!$B$1,'Input Sheet'!W105="No"),3,IF(X105="Yes",2,1))</f>
        <v>3</v>
      </c>
      <c r="BE105" s="37">
        <f t="shared" si="40"/>
        <v>1</v>
      </c>
      <c r="BF105" s="37" t="str">
        <f t="shared" si="41"/>
        <v>Stage 3</v>
      </c>
      <c r="BG105" s="37" t="str">
        <f t="shared" si="42"/>
        <v>No</v>
      </c>
    </row>
    <row r="106" spans="1:59" x14ac:dyDescent="0.2">
      <c r="A106" s="35">
        <f t="shared" si="43"/>
        <v>104</v>
      </c>
      <c r="B106" s="33">
        <v>1104</v>
      </c>
      <c r="C106" s="33" t="s">
        <v>353</v>
      </c>
      <c r="D106" s="33" t="s">
        <v>806</v>
      </c>
      <c r="E106" s="33" t="s">
        <v>513</v>
      </c>
      <c r="F106" s="33" t="s">
        <v>542</v>
      </c>
      <c r="G106" s="117">
        <v>4</v>
      </c>
      <c r="H106" s="34">
        <v>35542</v>
      </c>
      <c r="I106" s="34">
        <v>35645</v>
      </c>
      <c r="J106" s="34">
        <v>35645</v>
      </c>
      <c r="K106" s="34">
        <v>42307</v>
      </c>
      <c r="L106" s="34">
        <v>37559</v>
      </c>
      <c r="M106" s="34">
        <v>36646</v>
      </c>
      <c r="N106" s="113">
        <v>7</v>
      </c>
      <c r="O106" s="200">
        <v>42043787.960000001</v>
      </c>
      <c r="P106" s="200">
        <v>42043787.960000001</v>
      </c>
      <c r="Q106" s="200">
        <v>0</v>
      </c>
      <c r="R106" s="201">
        <v>0</v>
      </c>
      <c r="S106" s="33" t="s">
        <v>22</v>
      </c>
      <c r="T106" s="33" t="s">
        <v>22</v>
      </c>
      <c r="U106" s="33" t="s">
        <v>203</v>
      </c>
      <c r="V106" s="33"/>
      <c r="W106" s="33" t="s">
        <v>210</v>
      </c>
      <c r="X106" s="33" t="s">
        <v>210</v>
      </c>
      <c r="Y106" s="33"/>
      <c r="Z106" s="33" t="s">
        <v>209</v>
      </c>
      <c r="AA106" s="35" t="str">
        <f>_xlfn.IFNA(VLOOKUP(E106,'Lookup Table'!$J$33:$K$176,2,0),"B3")</f>
        <v>B3</v>
      </c>
      <c r="AB106" s="35">
        <f>_xlfn.IFNA(VLOOKUP($AA106,'Rating Lookup'!$B$2:$I$27,8,0),15)</f>
        <v>16</v>
      </c>
      <c r="AC106" s="35" t="str">
        <f>_xlfn.IFNA(VLOOKUP(E106,'Lookup Table'!$M$33:$N$173,2,0),"B3")</f>
        <v>B3</v>
      </c>
      <c r="AD106" s="35">
        <f>_xlfn.IFNA(VLOOKUP($AC106,'Rating Lookup'!$B$2:$I$27,8,0),15)</f>
        <v>16</v>
      </c>
      <c r="AE106" s="35">
        <f t="shared" si="24"/>
        <v>0</v>
      </c>
      <c r="AG106" s="35" t="str">
        <f t="shared" si="25"/>
        <v>SOCIAL HOUSING</v>
      </c>
      <c r="AH106" s="35" t="str">
        <f t="shared" si="26"/>
        <v>Government Loan</v>
      </c>
      <c r="AI106" s="202">
        <f>'ECL Calculation'!$B$1</f>
        <v>43465</v>
      </c>
      <c r="AJ106" s="202">
        <f t="shared" si="27"/>
        <v>37559</v>
      </c>
      <c r="AK106" s="202">
        <f t="shared" si="28"/>
        <v>36646</v>
      </c>
      <c r="AL106" s="127">
        <f t="shared" si="29"/>
        <v>7</v>
      </c>
      <c r="AM106" s="192">
        <f>IF(AND(IF(ISBLANK(K106),EOMONTH(AJ106,AL106*12),K106)&lt;'ECL Calculation'!$B$1,SUM('Input Sheet'!Q106,'Input Sheet'!R106)&gt;0),EOMONTH('ECL Calculation'!$B$1,12*5),IF(ISBLANK(K106),EOMONTH(AJ106,AL106*12),K106))</f>
        <v>42307</v>
      </c>
      <c r="AN106" s="203">
        <f t="shared" si="30"/>
        <v>42043787.960000001</v>
      </c>
      <c r="AO106" s="203">
        <f t="shared" si="31"/>
        <v>42043787.960000001</v>
      </c>
      <c r="AP106" s="203">
        <f t="shared" si="32"/>
        <v>0</v>
      </c>
      <c r="AQ106" s="126">
        <f>VLOOKUP(U106,'Lookup Table'!$B$2:$C$10,2,0)</f>
        <v>1</v>
      </c>
      <c r="AR106" s="127">
        <f>VLOOKUP(S106,'Lookup Table'!$B$2:$C$9,2,0)</f>
        <v>2</v>
      </c>
      <c r="AS106" s="127">
        <f>VLOOKUP(T106,'Lookup Table'!$B$2:$C$9,2,0)</f>
        <v>2</v>
      </c>
      <c r="AT106" s="136">
        <f t="shared" si="33"/>
        <v>0</v>
      </c>
      <c r="AU106" s="128">
        <f t="shared" si="34"/>
        <v>0.04</v>
      </c>
      <c r="AV106" s="136">
        <f t="shared" si="35"/>
        <v>0</v>
      </c>
      <c r="AW106" s="37" t="str">
        <f t="shared" si="36"/>
        <v>B3</v>
      </c>
      <c r="AX106" s="128">
        <f>VLOOKUP(E106,'Lookup Table'!$B$12:$C$82,2,0)</f>
        <v>3.7499999999999999E-2</v>
      </c>
      <c r="AY106" s="128">
        <f>'Lookup Table'!$E$3</f>
        <v>0.45</v>
      </c>
      <c r="AZ106" s="129" t="str">
        <f t="shared" si="37"/>
        <v>Algeria</v>
      </c>
      <c r="BA106" s="37">
        <f>VLOOKUP(AA106,'Lookup Table'!$J$3:$K$27,2,0)</f>
        <v>1</v>
      </c>
      <c r="BB106" s="37">
        <f t="shared" si="38"/>
        <v>1</v>
      </c>
      <c r="BC106" s="37">
        <f t="shared" si="39"/>
        <v>1</v>
      </c>
      <c r="BD106" s="37">
        <f>IF(AND(K106&lt;'ECL Calculation'!$B$1,'Input Sheet'!W106="No"),3,IF(X106="Yes",2,1))</f>
        <v>3</v>
      </c>
      <c r="BE106" s="37">
        <f t="shared" si="40"/>
        <v>1</v>
      </c>
      <c r="BF106" s="37" t="str">
        <f t="shared" si="41"/>
        <v>Stage 3</v>
      </c>
      <c r="BG106" s="37" t="str">
        <f t="shared" si="42"/>
        <v>No</v>
      </c>
    </row>
    <row r="107" spans="1:59" x14ac:dyDescent="0.2">
      <c r="A107" s="35">
        <f t="shared" si="43"/>
        <v>105</v>
      </c>
      <c r="B107" s="33">
        <v>1105</v>
      </c>
      <c r="C107" s="33" t="s">
        <v>354</v>
      </c>
      <c r="D107" s="33" t="s">
        <v>806</v>
      </c>
      <c r="E107" s="33" t="s">
        <v>479</v>
      </c>
      <c r="F107" s="33" t="s">
        <v>542</v>
      </c>
      <c r="G107" s="117">
        <v>5</v>
      </c>
      <c r="H107" s="34">
        <v>35763</v>
      </c>
      <c r="I107" s="34">
        <v>35890</v>
      </c>
      <c r="J107" s="34">
        <v>35890</v>
      </c>
      <c r="K107" s="34">
        <v>43038</v>
      </c>
      <c r="L107" s="34">
        <v>37741</v>
      </c>
      <c r="M107" s="34">
        <v>35915</v>
      </c>
      <c r="N107" s="113">
        <v>12</v>
      </c>
      <c r="O107" s="200">
        <v>29105464.969999999</v>
      </c>
      <c r="P107" s="200">
        <v>29105464.969999999</v>
      </c>
      <c r="Q107" s="200">
        <v>0</v>
      </c>
      <c r="R107" s="201">
        <v>0</v>
      </c>
      <c r="S107" s="33" t="s">
        <v>22</v>
      </c>
      <c r="T107" s="33" t="s">
        <v>22</v>
      </c>
      <c r="U107" s="33" t="s">
        <v>203</v>
      </c>
      <c r="V107" s="33"/>
      <c r="W107" s="33" t="s">
        <v>210</v>
      </c>
      <c r="X107" s="33" t="s">
        <v>210</v>
      </c>
      <c r="Y107" s="33"/>
      <c r="Z107" s="33" t="s">
        <v>209</v>
      </c>
      <c r="AA107" s="35" t="str">
        <f>_xlfn.IFNA(VLOOKUP(E107,'Lookup Table'!$J$33:$K$176,2,0),"B3")</f>
        <v>B2</v>
      </c>
      <c r="AB107" s="35">
        <f>_xlfn.IFNA(VLOOKUP($AA107,'Rating Lookup'!$B$2:$I$27,8,0),15)</f>
        <v>15</v>
      </c>
      <c r="AC107" s="35" t="str">
        <f>_xlfn.IFNA(VLOOKUP(E107,'Lookup Table'!$M$33:$N$173,2,0),"B3")</f>
        <v>Baa3</v>
      </c>
      <c r="AD107" s="35">
        <f>_xlfn.IFNA(VLOOKUP($AC107,'Rating Lookup'!$B$2:$I$27,8,0),15)</f>
        <v>10</v>
      </c>
      <c r="AE107" s="35">
        <f t="shared" si="24"/>
        <v>5</v>
      </c>
      <c r="AG107" s="35" t="str">
        <f t="shared" si="25"/>
        <v>WADI AL RAMEL</v>
      </c>
      <c r="AH107" s="35" t="str">
        <f t="shared" si="26"/>
        <v>Government Loan</v>
      </c>
      <c r="AI107" s="202">
        <f>'ECL Calculation'!$B$1</f>
        <v>43465</v>
      </c>
      <c r="AJ107" s="202">
        <f t="shared" si="27"/>
        <v>37741</v>
      </c>
      <c r="AK107" s="202">
        <f t="shared" si="28"/>
        <v>35915</v>
      </c>
      <c r="AL107" s="127">
        <f t="shared" si="29"/>
        <v>12</v>
      </c>
      <c r="AM107" s="192">
        <f>IF(AND(IF(ISBLANK(K107),EOMONTH(AJ107,AL107*12),K107)&lt;'ECL Calculation'!$B$1,SUM('Input Sheet'!Q107,'Input Sheet'!R107)&gt;0),EOMONTH('ECL Calculation'!$B$1,12*5),IF(ISBLANK(K107),EOMONTH(AJ107,AL107*12),K107))</f>
        <v>43038</v>
      </c>
      <c r="AN107" s="203">
        <f t="shared" si="30"/>
        <v>29105464.969999999</v>
      </c>
      <c r="AO107" s="203">
        <f t="shared" si="31"/>
        <v>29105464.969999999</v>
      </c>
      <c r="AP107" s="203">
        <f t="shared" si="32"/>
        <v>0</v>
      </c>
      <c r="AQ107" s="126">
        <f>VLOOKUP(U107,'Lookup Table'!$B$2:$C$10,2,0)</f>
        <v>1</v>
      </c>
      <c r="AR107" s="127">
        <f>VLOOKUP(S107,'Lookup Table'!$B$2:$C$9,2,0)</f>
        <v>2</v>
      </c>
      <c r="AS107" s="127">
        <f>VLOOKUP(T107,'Lookup Table'!$B$2:$C$9,2,0)</f>
        <v>2</v>
      </c>
      <c r="AT107" s="136">
        <f t="shared" si="33"/>
        <v>0</v>
      </c>
      <c r="AU107" s="128">
        <f t="shared" si="34"/>
        <v>0.05</v>
      </c>
      <c r="AV107" s="136">
        <f t="shared" si="35"/>
        <v>0</v>
      </c>
      <c r="AW107" s="37" t="str">
        <f t="shared" si="36"/>
        <v>B2</v>
      </c>
      <c r="AX107" s="128">
        <f>VLOOKUP(E107,'Lookup Table'!$B$12:$C$82,2,0)</f>
        <v>4.5999999999999999E-2</v>
      </c>
      <c r="AY107" s="128">
        <f>'Lookup Table'!$E$3</f>
        <v>0.45</v>
      </c>
      <c r="AZ107" s="129" t="str">
        <f t="shared" si="37"/>
        <v>Tunisia</v>
      </c>
      <c r="BA107" s="37">
        <f>VLOOKUP(AA107,'Lookup Table'!$J$3:$K$27,2,0)</f>
        <v>1</v>
      </c>
      <c r="BB107" s="37">
        <f t="shared" si="38"/>
        <v>2</v>
      </c>
      <c r="BC107" s="37">
        <f t="shared" si="39"/>
        <v>1</v>
      </c>
      <c r="BD107" s="37">
        <f>IF(AND(K107&lt;'ECL Calculation'!$B$1,'Input Sheet'!W107="No"),3,IF(X107="Yes",2,1))</f>
        <v>3</v>
      </c>
      <c r="BE107" s="37">
        <f t="shared" si="40"/>
        <v>1</v>
      </c>
      <c r="BF107" s="37" t="str">
        <f t="shared" si="41"/>
        <v>Stage 3</v>
      </c>
      <c r="BG107" s="37" t="str">
        <f t="shared" si="42"/>
        <v>No</v>
      </c>
    </row>
    <row r="108" spans="1:59" x14ac:dyDescent="0.2">
      <c r="A108" s="35">
        <f t="shared" si="43"/>
        <v>106</v>
      </c>
      <c r="B108" s="33">
        <v>1106</v>
      </c>
      <c r="C108" s="33" t="s">
        <v>355</v>
      </c>
      <c r="D108" s="33" t="s">
        <v>806</v>
      </c>
      <c r="E108" s="33" t="s">
        <v>476</v>
      </c>
      <c r="F108" s="33" t="s">
        <v>542</v>
      </c>
      <c r="G108" s="117">
        <v>4</v>
      </c>
      <c r="H108" s="34">
        <v>35933</v>
      </c>
      <c r="I108" s="34">
        <v>36055</v>
      </c>
      <c r="J108" s="34">
        <v>36055</v>
      </c>
      <c r="K108" s="34">
        <v>43038</v>
      </c>
      <c r="L108" s="34">
        <v>37741</v>
      </c>
      <c r="M108" s="34">
        <v>36280</v>
      </c>
      <c r="N108" s="113">
        <v>15</v>
      </c>
      <c r="O108" s="200">
        <v>367297608.13999999</v>
      </c>
      <c r="P108" s="200">
        <v>367297608.13999999</v>
      </c>
      <c r="Q108" s="200">
        <v>146923608.13999999</v>
      </c>
      <c r="R108" s="201">
        <v>42607821</v>
      </c>
      <c r="S108" s="33" t="s">
        <v>22</v>
      </c>
      <c r="T108" s="33" t="s">
        <v>22</v>
      </c>
      <c r="U108" s="33" t="s">
        <v>203</v>
      </c>
      <c r="V108" s="33"/>
      <c r="W108" s="33" t="s">
        <v>210</v>
      </c>
      <c r="X108" s="33" t="s">
        <v>209</v>
      </c>
      <c r="Y108" s="33" t="s">
        <v>209</v>
      </c>
      <c r="Z108" s="33" t="s">
        <v>209</v>
      </c>
      <c r="AA108" s="35" t="str">
        <f>_xlfn.IFNA(VLOOKUP(E108,'Lookup Table'!$J$33:$K$176,2,0),"B3")</f>
        <v>B3</v>
      </c>
      <c r="AB108" s="35">
        <f>_xlfn.IFNA(VLOOKUP($AA108,'Rating Lookup'!$B$2:$I$27,8,0),15)</f>
        <v>16</v>
      </c>
      <c r="AC108" s="35" t="str">
        <f>_xlfn.IFNA(VLOOKUP(E108,'Lookup Table'!$M$33:$N$173,2,0),"B3")</f>
        <v>B3</v>
      </c>
      <c r="AD108" s="35">
        <f>_xlfn.IFNA(VLOOKUP($AC108,'Rating Lookup'!$B$2:$I$27,8,0),15)</f>
        <v>16</v>
      </c>
      <c r="AE108" s="35">
        <f t="shared" si="24"/>
        <v>0</v>
      </c>
      <c r="AG108" s="35" t="str">
        <f t="shared" si="25"/>
        <v>TELECOMMUNICATIONS</v>
      </c>
      <c r="AH108" s="35" t="str">
        <f t="shared" si="26"/>
        <v>Government Loan</v>
      </c>
      <c r="AI108" s="202">
        <f>'ECL Calculation'!$B$1</f>
        <v>43465</v>
      </c>
      <c r="AJ108" s="202">
        <f t="shared" si="27"/>
        <v>37741</v>
      </c>
      <c r="AK108" s="202">
        <f t="shared" si="28"/>
        <v>36280</v>
      </c>
      <c r="AL108" s="127">
        <f t="shared" si="29"/>
        <v>15</v>
      </c>
      <c r="AM108" s="192">
        <f>IF(AND(IF(ISBLANK(K108),EOMONTH(AJ108,AL108*12),K108)&lt;'ECL Calculation'!$B$1,SUM('Input Sheet'!Q108,'Input Sheet'!R108)&gt;0),EOMONTH('ECL Calculation'!$B$1,12*5),IF(ISBLANK(K108),EOMONTH(AJ108,AL108*12),K108))</f>
        <v>45291</v>
      </c>
      <c r="AN108" s="203">
        <f t="shared" si="30"/>
        <v>367297608.13999999</v>
      </c>
      <c r="AO108" s="203">
        <f t="shared" si="31"/>
        <v>367297608.13999999</v>
      </c>
      <c r="AP108" s="203">
        <f t="shared" si="32"/>
        <v>0</v>
      </c>
      <c r="AQ108" s="126">
        <f>VLOOKUP(U108,'Lookup Table'!$B$2:$C$10,2,0)</f>
        <v>1</v>
      </c>
      <c r="AR108" s="127">
        <f>VLOOKUP(S108,'Lookup Table'!$B$2:$C$9,2,0)</f>
        <v>2</v>
      </c>
      <c r="AS108" s="127">
        <f>VLOOKUP(T108,'Lookup Table'!$B$2:$C$9,2,0)</f>
        <v>2</v>
      </c>
      <c r="AT108" s="136">
        <f t="shared" si="33"/>
        <v>146923608.13999999</v>
      </c>
      <c r="AU108" s="128">
        <f t="shared" si="34"/>
        <v>0.04</v>
      </c>
      <c r="AV108" s="136">
        <f t="shared" si="35"/>
        <v>42607821</v>
      </c>
      <c r="AW108" s="37" t="str">
        <f t="shared" si="36"/>
        <v>B3</v>
      </c>
      <c r="AX108" s="128">
        <f>VLOOKUP(E108,'Lookup Table'!$B$12:$C$82,2,0)</f>
        <v>3.6666666666666667E-2</v>
      </c>
      <c r="AY108" s="128">
        <f>'Lookup Table'!$E$3</f>
        <v>0.45</v>
      </c>
      <c r="AZ108" s="129" t="str">
        <f t="shared" si="37"/>
        <v>Syrian Arab Republic</v>
      </c>
      <c r="BA108" s="37">
        <f>VLOOKUP(AA108,'Lookup Table'!$J$3:$K$27,2,0)</f>
        <v>1</v>
      </c>
      <c r="BB108" s="37">
        <f t="shared" si="38"/>
        <v>1</v>
      </c>
      <c r="BC108" s="37">
        <f t="shared" si="39"/>
        <v>1</v>
      </c>
      <c r="BD108" s="37">
        <f>IF(AND(K108&lt;'ECL Calculation'!$B$1,'Input Sheet'!W108="No"),3,IF(X108="Yes",2,1))</f>
        <v>3</v>
      </c>
      <c r="BE108" s="37">
        <f t="shared" si="40"/>
        <v>3</v>
      </c>
      <c r="BF108" s="37" t="str">
        <f t="shared" si="41"/>
        <v>Stage 3</v>
      </c>
      <c r="BG108" s="37" t="str">
        <f t="shared" si="42"/>
        <v>Yes</v>
      </c>
    </row>
    <row r="109" spans="1:59" x14ac:dyDescent="0.2">
      <c r="A109" s="35">
        <f t="shared" si="43"/>
        <v>107</v>
      </c>
      <c r="B109" s="33">
        <v>1107</v>
      </c>
      <c r="C109" s="33" t="s">
        <v>356</v>
      </c>
      <c r="D109" s="33" t="s">
        <v>806</v>
      </c>
      <c r="E109" s="33" t="s">
        <v>24</v>
      </c>
      <c r="F109" s="33" t="s">
        <v>542</v>
      </c>
      <c r="G109" s="117">
        <v>3.5</v>
      </c>
      <c r="H109" s="34">
        <v>36035</v>
      </c>
      <c r="I109" s="34">
        <v>36100</v>
      </c>
      <c r="J109" s="34">
        <v>36100</v>
      </c>
      <c r="K109" s="34">
        <v>42490</v>
      </c>
      <c r="L109" s="34">
        <v>37194</v>
      </c>
      <c r="M109" s="34">
        <v>36463</v>
      </c>
      <c r="N109" s="113">
        <v>6</v>
      </c>
      <c r="O109" s="200">
        <v>206942165.74000001</v>
      </c>
      <c r="P109" s="200">
        <v>206942165.74000001</v>
      </c>
      <c r="Q109" s="200">
        <v>0</v>
      </c>
      <c r="R109" s="201">
        <v>0</v>
      </c>
      <c r="S109" s="33" t="s">
        <v>22</v>
      </c>
      <c r="T109" s="33" t="s">
        <v>22</v>
      </c>
      <c r="U109" s="33" t="s">
        <v>203</v>
      </c>
      <c r="V109" s="33"/>
      <c r="W109" s="33" t="s">
        <v>210</v>
      </c>
      <c r="X109" s="33" t="s">
        <v>210</v>
      </c>
      <c r="Y109" s="33"/>
      <c r="Z109" s="33" t="s">
        <v>209</v>
      </c>
      <c r="AA109" s="35" t="str">
        <f>_xlfn.IFNA(VLOOKUP(E109,'Lookup Table'!$J$33:$K$176,2,0),"B3")</f>
        <v>Ba1</v>
      </c>
      <c r="AB109" s="35">
        <f>_xlfn.IFNA(VLOOKUP($AA109,'Rating Lookup'!$B$2:$I$27,8,0),15)</f>
        <v>11</v>
      </c>
      <c r="AC109" s="35" t="str">
        <f>_xlfn.IFNA(VLOOKUP(E109,'Lookup Table'!$M$33:$N$173,2,0),"B3")</f>
        <v>A1</v>
      </c>
      <c r="AD109" s="35">
        <f>_xlfn.IFNA(VLOOKUP($AC109,'Rating Lookup'!$B$2:$I$27,8,0),15)</f>
        <v>5</v>
      </c>
      <c r="AE109" s="35">
        <f t="shared" si="24"/>
        <v>6</v>
      </c>
      <c r="AG109" s="35" t="str">
        <f t="shared" si="25"/>
        <v>NET OF NEW ROADS</v>
      </c>
      <c r="AH109" s="35" t="str">
        <f t="shared" si="26"/>
        <v>Government Loan</v>
      </c>
      <c r="AI109" s="202">
        <f>'ECL Calculation'!$B$1</f>
        <v>43465</v>
      </c>
      <c r="AJ109" s="202">
        <f t="shared" si="27"/>
        <v>37194</v>
      </c>
      <c r="AK109" s="202">
        <f t="shared" si="28"/>
        <v>36463</v>
      </c>
      <c r="AL109" s="127">
        <f t="shared" si="29"/>
        <v>6</v>
      </c>
      <c r="AM109" s="192">
        <f>IF(AND(IF(ISBLANK(K109),EOMONTH(AJ109,AL109*12),K109)&lt;'ECL Calculation'!$B$1,SUM('Input Sheet'!Q109,'Input Sheet'!R109)&gt;0),EOMONTH('ECL Calculation'!$B$1,12*5),IF(ISBLANK(K109),EOMONTH(AJ109,AL109*12),K109))</f>
        <v>42490</v>
      </c>
      <c r="AN109" s="203">
        <f t="shared" si="30"/>
        <v>206942165.74000001</v>
      </c>
      <c r="AO109" s="203">
        <f t="shared" si="31"/>
        <v>206942165.74000001</v>
      </c>
      <c r="AP109" s="203">
        <f t="shared" si="32"/>
        <v>0</v>
      </c>
      <c r="AQ109" s="126">
        <f>VLOOKUP(U109,'Lookup Table'!$B$2:$C$10,2,0)</f>
        <v>1</v>
      </c>
      <c r="AR109" s="127">
        <f>VLOOKUP(S109,'Lookup Table'!$B$2:$C$9,2,0)</f>
        <v>2</v>
      </c>
      <c r="AS109" s="127">
        <f>VLOOKUP(T109,'Lookup Table'!$B$2:$C$9,2,0)</f>
        <v>2</v>
      </c>
      <c r="AT109" s="136">
        <f t="shared" si="33"/>
        <v>0</v>
      </c>
      <c r="AU109" s="128">
        <f t="shared" si="34"/>
        <v>3.5000000000000003E-2</v>
      </c>
      <c r="AV109" s="136">
        <f t="shared" si="35"/>
        <v>0</v>
      </c>
      <c r="AW109" s="37" t="str">
        <f t="shared" si="36"/>
        <v>Ba1</v>
      </c>
      <c r="AX109" s="128">
        <f>VLOOKUP(E109,'Lookup Table'!$B$12:$C$82,2,0)</f>
        <v>3.6818181818181819E-2</v>
      </c>
      <c r="AY109" s="128">
        <f>'Lookup Table'!$E$3</f>
        <v>0.45</v>
      </c>
      <c r="AZ109" s="129" t="str">
        <f t="shared" si="37"/>
        <v>Oman</v>
      </c>
      <c r="BA109" s="37">
        <f>VLOOKUP(AA109,'Lookup Table'!$J$3:$K$27,2,0)</f>
        <v>1</v>
      </c>
      <c r="BB109" s="37">
        <f t="shared" si="38"/>
        <v>2</v>
      </c>
      <c r="BC109" s="37">
        <f t="shared" si="39"/>
        <v>1</v>
      </c>
      <c r="BD109" s="37">
        <f>IF(AND(K109&lt;'ECL Calculation'!$B$1,'Input Sheet'!W109="No"),3,IF(X109="Yes",2,1))</f>
        <v>3</v>
      </c>
      <c r="BE109" s="37">
        <f t="shared" si="40"/>
        <v>1</v>
      </c>
      <c r="BF109" s="37" t="str">
        <f t="shared" si="41"/>
        <v>Stage 3</v>
      </c>
      <c r="BG109" s="37" t="str">
        <f t="shared" si="42"/>
        <v>No</v>
      </c>
    </row>
    <row r="110" spans="1:59" x14ac:dyDescent="0.2">
      <c r="A110" s="35">
        <f t="shared" si="43"/>
        <v>108</v>
      </c>
      <c r="B110" s="33">
        <v>1108</v>
      </c>
      <c r="C110" s="33" t="s">
        <v>357</v>
      </c>
      <c r="D110" s="33" t="s">
        <v>806</v>
      </c>
      <c r="E110" s="33" t="s">
        <v>502</v>
      </c>
      <c r="F110" s="33" t="s">
        <v>542</v>
      </c>
      <c r="G110" s="117">
        <v>2.75</v>
      </c>
      <c r="H110" s="34">
        <v>36159</v>
      </c>
      <c r="I110" s="34">
        <v>36243</v>
      </c>
      <c r="J110" s="34">
        <v>36243</v>
      </c>
      <c r="K110" s="34">
        <v>40452</v>
      </c>
      <c r="L110" s="34">
        <v>36982</v>
      </c>
      <c r="M110" s="34">
        <v>36280</v>
      </c>
      <c r="N110" s="113">
        <v>10</v>
      </c>
      <c r="O110" s="200">
        <v>15176228.16</v>
      </c>
      <c r="P110" s="200">
        <v>15176228.16</v>
      </c>
      <c r="Q110" s="200">
        <v>9920228.1600000001</v>
      </c>
      <c r="R110" s="201">
        <v>80157.570000000007</v>
      </c>
      <c r="S110" s="33" t="s">
        <v>22</v>
      </c>
      <c r="T110" s="33" t="s">
        <v>22</v>
      </c>
      <c r="U110" s="33" t="s">
        <v>203</v>
      </c>
      <c r="V110" s="33"/>
      <c r="W110" s="33" t="s">
        <v>209</v>
      </c>
      <c r="X110" s="33" t="s">
        <v>210</v>
      </c>
      <c r="Y110" s="33" t="s">
        <v>209</v>
      </c>
      <c r="Z110" s="33" t="s">
        <v>209</v>
      </c>
      <c r="AA110" s="35" t="str">
        <f>_xlfn.IFNA(VLOOKUP(E110,'Lookup Table'!$J$33:$K$176,2,0),"B3")</f>
        <v>B3</v>
      </c>
      <c r="AB110" s="35">
        <f>_xlfn.IFNA(VLOOKUP($AA110,'Rating Lookup'!$B$2:$I$27,8,0),15)</f>
        <v>16</v>
      </c>
      <c r="AC110" s="35">
        <f>_xlfn.IFNA(VLOOKUP(E110,'Lookup Table'!$M$33:$N$173,2,0),"B3")</f>
        <v>0</v>
      </c>
      <c r="AD110" s="35">
        <f>_xlfn.IFNA(VLOOKUP($AC110,'Rating Lookup'!$B$2:$I$27,8,0),15)</f>
        <v>15</v>
      </c>
      <c r="AE110" s="35">
        <f t="shared" si="24"/>
        <v>1</v>
      </c>
      <c r="AG110" s="35" t="str">
        <f t="shared" si="25"/>
        <v>DREDGING &amp; LAND RECLAMATION</v>
      </c>
      <c r="AH110" s="35" t="str">
        <f t="shared" si="26"/>
        <v>Government Loan</v>
      </c>
      <c r="AI110" s="202">
        <f>'ECL Calculation'!$B$1</f>
        <v>43465</v>
      </c>
      <c r="AJ110" s="202">
        <f t="shared" si="27"/>
        <v>36982</v>
      </c>
      <c r="AK110" s="202">
        <f t="shared" si="28"/>
        <v>36280</v>
      </c>
      <c r="AL110" s="127">
        <f t="shared" si="29"/>
        <v>10</v>
      </c>
      <c r="AM110" s="192">
        <f>IF(AND(IF(ISBLANK(K110),EOMONTH(AJ110,AL110*12),K110)&lt;'ECL Calculation'!$B$1,SUM('Input Sheet'!Q110,'Input Sheet'!R110)&gt;0),EOMONTH('ECL Calculation'!$B$1,12*5),IF(ISBLANK(K110),EOMONTH(AJ110,AL110*12),K110))</f>
        <v>45291</v>
      </c>
      <c r="AN110" s="203">
        <f t="shared" si="30"/>
        <v>15176228.16</v>
      </c>
      <c r="AO110" s="203">
        <f t="shared" si="31"/>
        <v>15176228.16</v>
      </c>
      <c r="AP110" s="203">
        <f t="shared" si="32"/>
        <v>0</v>
      </c>
      <c r="AQ110" s="126">
        <f>VLOOKUP(U110,'Lookup Table'!$B$2:$C$10,2,0)</f>
        <v>1</v>
      </c>
      <c r="AR110" s="127">
        <f>VLOOKUP(S110,'Lookup Table'!$B$2:$C$9,2,0)</f>
        <v>2</v>
      </c>
      <c r="AS110" s="127">
        <f>VLOOKUP(T110,'Lookup Table'!$B$2:$C$9,2,0)</f>
        <v>2</v>
      </c>
      <c r="AT110" s="136">
        <f t="shared" si="33"/>
        <v>9920228.1600000001</v>
      </c>
      <c r="AU110" s="128">
        <f t="shared" si="34"/>
        <v>2.75E-2</v>
      </c>
      <c r="AV110" s="136">
        <f t="shared" si="35"/>
        <v>80157.570000000007</v>
      </c>
      <c r="AW110" s="37" t="str">
        <f t="shared" si="36"/>
        <v>B3</v>
      </c>
      <c r="AX110" s="128">
        <f>VLOOKUP(E110,'Lookup Table'!$B$12:$C$82,2,0)</f>
        <v>3.7499999999999999E-2</v>
      </c>
      <c r="AY110" s="128">
        <f>'Lookup Table'!$E$3</f>
        <v>0.45</v>
      </c>
      <c r="AZ110" s="129" t="str">
        <f t="shared" si="37"/>
        <v>Seychelles</v>
      </c>
      <c r="BA110" s="37">
        <f>VLOOKUP(AA110,'Lookup Table'!$J$3:$K$27,2,0)</f>
        <v>1</v>
      </c>
      <c r="BB110" s="37">
        <f t="shared" si="38"/>
        <v>2</v>
      </c>
      <c r="BC110" s="37">
        <f t="shared" si="39"/>
        <v>2</v>
      </c>
      <c r="BD110" s="37">
        <f>IF(AND(K110&lt;'ECL Calculation'!$B$1,'Input Sheet'!W110="No"),3,IF(X110="Yes",2,1))</f>
        <v>1</v>
      </c>
      <c r="BE110" s="37">
        <f t="shared" si="40"/>
        <v>3</v>
      </c>
      <c r="BF110" s="37" t="str">
        <f t="shared" si="41"/>
        <v>Stage 3</v>
      </c>
      <c r="BG110" s="37" t="str">
        <f t="shared" si="42"/>
        <v>Yes</v>
      </c>
    </row>
    <row r="111" spans="1:59" x14ac:dyDescent="0.2">
      <c r="A111" s="35">
        <f t="shared" si="43"/>
        <v>109</v>
      </c>
      <c r="B111" s="33">
        <v>1109</v>
      </c>
      <c r="C111" s="33" t="s">
        <v>358</v>
      </c>
      <c r="D111" s="33" t="s">
        <v>806</v>
      </c>
      <c r="E111" s="33" t="s">
        <v>516</v>
      </c>
      <c r="F111" s="33" t="s">
        <v>229</v>
      </c>
      <c r="G111" s="117">
        <v>2.5</v>
      </c>
      <c r="H111" s="34">
        <v>36190</v>
      </c>
      <c r="I111" s="34">
        <v>36221</v>
      </c>
      <c r="J111" s="34">
        <v>36221</v>
      </c>
      <c r="K111" s="34">
        <v>43403</v>
      </c>
      <c r="L111" s="34">
        <v>38107</v>
      </c>
      <c r="M111" s="34">
        <v>36280</v>
      </c>
      <c r="N111" s="113">
        <v>3</v>
      </c>
      <c r="O111" s="200">
        <v>42834526</v>
      </c>
      <c r="P111" s="200">
        <v>42834526</v>
      </c>
      <c r="Q111" s="200">
        <v>0</v>
      </c>
      <c r="R111" s="201">
        <v>0</v>
      </c>
      <c r="S111" s="33" t="s">
        <v>22</v>
      </c>
      <c r="T111" s="33" t="s">
        <v>22</v>
      </c>
      <c r="U111" s="33" t="s">
        <v>203</v>
      </c>
      <c r="V111" s="33"/>
      <c r="W111" s="33" t="s">
        <v>210</v>
      </c>
      <c r="X111" s="33" t="s">
        <v>210</v>
      </c>
      <c r="Y111" s="33"/>
      <c r="Z111" s="33" t="s">
        <v>209</v>
      </c>
      <c r="AA111" s="35" t="str">
        <f>_xlfn.IFNA(VLOOKUP(E111,'Lookup Table'!$J$33:$K$176,2,0),"B3")</f>
        <v>B3</v>
      </c>
      <c r="AB111" s="35">
        <f>_xlfn.IFNA(VLOOKUP($AA111,'Rating Lookup'!$B$2:$I$27,8,0),15)</f>
        <v>16</v>
      </c>
      <c r="AC111" s="35" t="str">
        <f>_xlfn.IFNA(VLOOKUP(E111,'Lookup Table'!$M$33:$N$173,2,0),"B3")</f>
        <v>B3</v>
      </c>
      <c r="AD111" s="35">
        <f>_xlfn.IFNA(VLOOKUP($AC111,'Rating Lookup'!$B$2:$I$27,8,0),15)</f>
        <v>16</v>
      </c>
      <c r="AE111" s="35">
        <f t="shared" si="24"/>
        <v>0</v>
      </c>
      <c r="AG111" s="35" t="str">
        <f t="shared" si="25"/>
        <v>HEALTH PROJECTS</v>
      </c>
      <c r="AH111" s="35" t="str">
        <f t="shared" si="26"/>
        <v>Government Loan</v>
      </c>
      <c r="AI111" s="202">
        <f>'ECL Calculation'!$B$1</f>
        <v>43465</v>
      </c>
      <c r="AJ111" s="202">
        <f t="shared" si="27"/>
        <v>38107</v>
      </c>
      <c r="AK111" s="202">
        <f t="shared" si="28"/>
        <v>36280</v>
      </c>
      <c r="AL111" s="127">
        <f t="shared" si="29"/>
        <v>3</v>
      </c>
      <c r="AM111" s="192">
        <f>IF(AND(IF(ISBLANK(K111),EOMONTH(AJ111,AL111*12),K111)&lt;'ECL Calculation'!$B$1,SUM('Input Sheet'!Q111,'Input Sheet'!R111)&gt;0),EOMONTH('ECL Calculation'!$B$1,12*5),IF(ISBLANK(K111),EOMONTH(AJ111,AL111*12),K111))</f>
        <v>43403</v>
      </c>
      <c r="AN111" s="203">
        <f t="shared" si="30"/>
        <v>42834526</v>
      </c>
      <c r="AO111" s="203">
        <f t="shared" si="31"/>
        <v>42834526</v>
      </c>
      <c r="AP111" s="203">
        <f t="shared" si="32"/>
        <v>0</v>
      </c>
      <c r="AQ111" s="126">
        <f>VLOOKUP(U111,'Lookup Table'!$B$2:$C$10,2,0)</f>
        <v>1</v>
      </c>
      <c r="AR111" s="127">
        <f>VLOOKUP(S111,'Lookup Table'!$B$2:$C$9,2,0)</f>
        <v>2</v>
      </c>
      <c r="AS111" s="127">
        <f>VLOOKUP(T111,'Lookup Table'!$B$2:$C$9,2,0)</f>
        <v>2</v>
      </c>
      <c r="AT111" s="136">
        <f t="shared" si="33"/>
        <v>0</v>
      </c>
      <c r="AU111" s="128">
        <f t="shared" si="34"/>
        <v>2.5000000000000001E-2</v>
      </c>
      <c r="AV111" s="136">
        <f t="shared" si="35"/>
        <v>0</v>
      </c>
      <c r="AW111" s="37" t="str">
        <f t="shared" si="36"/>
        <v>B3</v>
      </c>
      <c r="AX111" s="128">
        <f>VLOOKUP(E111,'Lookup Table'!$B$12:$C$82,2,0)</f>
        <v>2.5000000000000001E-2</v>
      </c>
      <c r="AY111" s="128">
        <f>'Lookup Table'!$E$3</f>
        <v>0.45</v>
      </c>
      <c r="AZ111" s="129" t="str">
        <f t="shared" si="37"/>
        <v>Turkmenistan</v>
      </c>
      <c r="BA111" s="37">
        <f>VLOOKUP(AA111,'Lookup Table'!$J$3:$K$27,2,0)</f>
        <v>1</v>
      </c>
      <c r="BB111" s="37">
        <f t="shared" si="38"/>
        <v>1</v>
      </c>
      <c r="BC111" s="37">
        <f t="shared" si="39"/>
        <v>1</v>
      </c>
      <c r="BD111" s="37">
        <f>IF(AND(K111&lt;'ECL Calculation'!$B$1,'Input Sheet'!W111="No"),3,IF(X111="Yes",2,1))</f>
        <v>3</v>
      </c>
      <c r="BE111" s="37">
        <f t="shared" si="40"/>
        <v>1</v>
      </c>
      <c r="BF111" s="37" t="str">
        <f t="shared" si="41"/>
        <v>Stage 3</v>
      </c>
      <c r="BG111" s="37" t="str">
        <f t="shared" si="42"/>
        <v>No</v>
      </c>
    </row>
    <row r="112" spans="1:59" x14ac:dyDescent="0.2">
      <c r="A112" s="35">
        <f t="shared" si="43"/>
        <v>110</v>
      </c>
      <c r="B112" s="33">
        <v>1110</v>
      </c>
      <c r="C112" s="33" t="s">
        <v>359</v>
      </c>
      <c r="D112" s="33" t="s">
        <v>806</v>
      </c>
      <c r="E112" s="33" t="s">
        <v>513</v>
      </c>
      <c r="F112" s="33" t="s">
        <v>542</v>
      </c>
      <c r="G112" s="117">
        <v>4</v>
      </c>
      <c r="H112" s="34">
        <v>36390</v>
      </c>
      <c r="I112" s="34">
        <v>36529</v>
      </c>
      <c r="J112" s="34">
        <v>36529</v>
      </c>
      <c r="K112" s="34">
        <v>41759</v>
      </c>
      <c r="L112" s="34">
        <v>37924</v>
      </c>
      <c r="M112" s="34">
        <v>36646</v>
      </c>
      <c r="N112" s="113">
        <v>9</v>
      </c>
      <c r="O112" s="200">
        <v>55596386.68</v>
      </c>
      <c r="P112" s="200">
        <v>55596386.68</v>
      </c>
      <c r="Q112" s="200">
        <v>0</v>
      </c>
      <c r="R112" s="201">
        <v>0</v>
      </c>
      <c r="S112" s="33" t="s">
        <v>22</v>
      </c>
      <c r="T112" s="33" t="s">
        <v>22</v>
      </c>
      <c r="U112" s="33" t="s">
        <v>203</v>
      </c>
      <c r="V112" s="33"/>
      <c r="W112" s="33" t="s">
        <v>210</v>
      </c>
      <c r="X112" s="33" t="s">
        <v>210</v>
      </c>
      <c r="Y112" s="33"/>
      <c r="Z112" s="33" t="s">
        <v>209</v>
      </c>
      <c r="AA112" s="35" t="str">
        <f>_xlfn.IFNA(VLOOKUP(E112,'Lookup Table'!$J$33:$K$176,2,0),"B3")</f>
        <v>B3</v>
      </c>
      <c r="AB112" s="35">
        <f>_xlfn.IFNA(VLOOKUP($AA112,'Rating Lookup'!$B$2:$I$27,8,0),15)</f>
        <v>16</v>
      </c>
      <c r="AC112" s="35" t="str">
        <f>_xlfn.IFNA(VLOOKUP(E112,'Lookup Table'!$M$33:$N$173,2,0),"B3")</f>
        <v>B3</v>
      </c>
      <c r="AD112" s="35">
        <f>_xlfn.IFNA(VLOOKUP($AC112,'Rating Lookup'!$B$2:$I$27,8,0),15)</f>
        <v>16</v>
      </c>
      <c r="AE112" s="35">
        <f t="shared" si="24"/>
        <v>0</v>
      </c>
      <c r="AG112" s="35" t="str">
        <f t="shared" si="25"/>
        <v>GENERATION POWER IN ALHAMAH</v>
      </c>
      <c r="AH112" s="35" t="str">
        <f t="shared" si="26"/>
        <v>Government Loan</v>
      </c>
      <c r="AI112" s="202">
        <f>'ECL Calculation'!$B$1</f>
        <v>43465</v>
      </c>
      <c r="AJ112" s="202">
        <f t="shared" si="27"/>
        <v>37924</v>
      </c>
      <c r="AK112" s="202">
        <f t="shared" si="28"/>
        <v>36646</v>
      </c>
      <c r="AL112" s="127">
        <f t="shared" si="29"/>
        <v>9</v>
      </c>
      <c r="AM112" s="192">
        <f>IF(AND(IF(ISBLANK(K112),EOMONTH(AJ112,AL112*12),K112)&lt;'ECL Calculation'!$B$1,SUM('Input Sheet'!Q112,'Input Sheet'!R112)&gt;0),EOMONTH('ECL Calculation'!$B$1,12*5),IF(ISBLANK(K112),EOMONTH(AJ112,AL112*12),K112))</f>
        <v>41759</v>
      </c>
      <c r="AN112" s="203">
        <f t="shared" si="30"/>
        <v>55596386.68</v>
      </c>
      <c r="AO112" s="203">
        <f t="shared" si="31"/>
        <v>55596386.68</v>
      </c>
      <c r="AP112" s="203">
        <f t="shared" si="32"/>
        <v>0</v>
      </c>
      <c r="AQ112" s="126">
        <f>VLOOKUP(U112,'Lookup Table'!$B$2:$C$10,2,0)</f>
        <v>1</v>
      </c>
      <c r="AR112" s="127">
        <f>VLOOKUP(S112,'Lookup Table'!$B$2:$C$9,2,0)</f>
        <v>2</v>
      </c>
      <c r="AS112" s="127">
        <f>VLOOKUP(T112,'Lookup Table'!$B$2:$C$9,2,0)</f>
        <v>2</v>
      </c>
      <c r="AT112" s="136">
        <f t="shared" si="33"/>
        <v>0</v>
      </c>
      <c r="AU112" s="128">
        <f t="shared" si="34"/>
        <v>0.04</v>
      </c>
      <c r="AV112" s="136">
        <f t="shared" si="35"/>
        <v>0</v>
      </c>
      <c r="AW112" s="37" t="str">
        <f t="shared" si="36"/>
        <v>B3</v>
      </c>
      <c r="AX112" s="128">
        <f>VLOOKUP(E112,'Lookup Table'!$B$12:$C$82,2,0)</f>
        <v>3.7499999999999999E-2</v>
      </c>
      <c r="AY112" s="128">
        <f>'Lookup Table'!$E$3</f>
        <v>0.45</v>
      </c>
      <c r="AZ112" s="129" t="str">
        <f t="shared" si="37"/>
        <v>Algeria</v>
      </c>
      <c r="BA112" s="37">
        <f>VLOOKUP(AA112,'Lookup Table'!$J$3:$K$27,2,0)</f>
        <v>1</v>
      </c>
      <c r="BB112" s="37">
        <f t="shared" si="38"/>
        <v>1</v>
      </c>
      <c r="BC112" s="37">
        <f t="shared" si="39"/>
        <v>1</v>
      </c>
      <c r="BD112" s="37">
        <f>IF(AND(K112&lt;'ECL Calculation'!$B$1,'Input Sheet'!W112="No"),3,IF(X112="Yes",2,1))</f>
        <v>3</v>
      </c>
      <c r="BE112" s="37">
        <f t="shared" si="40"/>
        <v>1</v>
      </c>
      <c r="BF112" s="37" t="str">
        <f t="shared" si="41"/>
        <v>Stage 3</v>
      </c>
      <c r="BG112" s="37" t="str">
        <f t="shared" si="42"/>
        <v>No</v>
      </c>
    </row>
    <row r="113" spans="1:59" x14ac:dyDescent="0.2">
      <c r="A113" s="35">
        <f t="shared" si="43"/>
        <v>111</v>
      </c>
      <c r="B113" s="33">
        <v>1111</v>
      </c>
      <c r="C113" s="33" t="s">
        <v>360</v>
      </c>
      <c r="D113" s="33" t="s">
        <v>806</v>
      </c>
      <c r="E113" s="33" t="s">
        <v>476</v>
      </c>
      <c r="F113" s="33" t="s">
        <v>542</v>
      </c>
      <c r="G113" s="117">
        <v>3.5</v>
      </c>
      <c r="H113" s="34">
        <v>36465</v>
      </c>
      <c r="I113" s="34">
        <v>36759</v>
      </c>
      <c r="J113" s="34">
        <v>36759</v>
      </c>
      <c r="K113" s="34">
        <v>43768</v>
      </c>
      <c r="L113" s="34">
        <v>38472</v>
      </c>
      <c r="M113" s="34">
        <v>36646</v>
      </c>
      <c r="N113" s="113">
        <v>15</v>
      </c>
      <c r="O113" s="200">
        <v>109963901.52</v>
      </c>
      <c r="P113" s="200">
        <v>109963901.52</v>
      </c>
      <c r="Q113" s="200">
        <v>58541901.520000003</v>
      </c>
      <c r="R113" s="201">
        <v>16935066.32</v>
      </c>
      <c r="S113" s="33" t="s">
        <v>22</v>
      </c>
      <c r="T113" s="33" t="s">
        <v>22</v>
      </c>
      <c r="U113" s="33" t="s">
        <v>203</v>
      </c>
      <c r="V113" s="33"/>
      <c r="W113" s="33" t="s">
        <v>210</v>
      </c>
      <c r="X113" s="33" t="s">
        <v>209</v>
      </c>
      <c r="Y113" s="33" t="s">
        <v>209</v>
      </c>
      <c r="Z113" s="33" t="s">
        <v>209</v>
      </c>
      <c r="AA113" s="35" t="str">
        <f>_xlfn.IFNA(VLOOKUP(E113,'Lookup Table'!$J$33:$K$176,2,0),"B3")</f>
        <v>B3</v>
      </c>
      <c r="AB113" s="35">
        <f>_xlfn.IFNA(VLOOKUP($AA113,'Rating Lookup'!$B$2:$I$27,8,0),15)</f>
        <v>16</v>
      </c>
      <c r="AC113" s="35" t="str">
        <f>_xlfn.IFNA(VLOOKUP(E113,'Lookup Table'!$M$33:$N$173,2,0),"B3")</f>
        <v>B3</v>
      </c>
      <c r="AD113" s="35">
        <f>_xlfn.IFNA(VLOOKUP($AC113,'Rating Lookup'!$B$2:$I$27,8,0),15)</f>
        <v>16</v>
      </c>
      <c r="AE113" s="35">
        <f t="shared" si="24"/>
        <v>0</v>
      </c>
      <c r="AG113" s="35" t="str">
        <f t="shared" si="25"/>
        <v>AL-ZARGA SPRING- EDLEP</v>
      </c>
      <c r="AH113" s="35" t="str">
        <f t="shared" si="26"/>
        <v>Government Loan</v>
      </c>
      <c r="AI113" s="202">
        <f>'ECL Calculation'!$B$1</f>
        <v>43465</v>
      </c>
      <c r="AJ113" s="202">
        <f t="shared" si="27"/>
        <v>38472</v>
      </c>
      <c r="AK113" s="202">
        <f t="shared" si="28"/>
        <v>36646</v>
      </c>
      <c r="AL113" s="127">
        <f t="shared" si="29"/>
        <v>15</v>
      </c>
      <c r="AM113" s="192">
        <f>IF(AND(IF(ISBLANK(K113),EOMONTH(AJ113,AL113*12),K113)&lt;'ECL Calculation'!$B$1,SUM('Input Sheet'!Q113,'Input Sheet'!R113)&gt;0),EOMONTH('ECL Calculation'!$B$1,12*5),IF(ISBLANK(K113),EOMONTH(AJ113,AL113*12),K113))</f>
        <v>43768</v>
      </c>
      <c r="AN113" s="203">
        <f t="shared" si="30"/>
        <v>109963901.52</v>
      </c>
      <c r="AO113" s="203">
        <f t="shared" si="31"/>
        <v>109963901.52</v>
      </c>
      <c r="AP113" s="203">
        <f t="shared" si="32"/>
        <v>0</v>
      </c>
      <c r="AQ113" s="126">
        <f>VLOOKUP(U113,'Lookup Table'!$B$2:$C$10,2,0)</f>
        <v>1</v>
      </c>
      <c r="AR113" s="127">
        <f>VLOOKUP(S113,'Lookup Table'!$B$2:$C$9,2,0)</f>
        <v>2</v>
      </c>
      <c r="AS113" s="127">
        <f>VLOOKUP(T113,'Lookup Table'!$B$2:$C$9,2,0)</f>
        <v>2</v>
      </c>
      <c r="AT113" s="136">
        <f t="shared" si="33"/>
        <v>58541901.520000003</v>
      </c>
      <c r="AU113" s="128">
        <f t="shared" si="34"/>
        <v>3.5000000000000003E-2</v>
      </c>
      <c r="AV113" s="136">
        <f t="shared" si="35"/>
        <v>16935066.32</v>
      </c>
      <c r="AW113" s="37" t="str">
        <f t="shared" si="36"/>
        <v>B3</v>
      </c>
      <c r="AX113" s="128">
        <f>VLOOKUP(E113,'Lookup Table'!$B$12:$C$82,2,0)</f>
        <v>3.6666666666666667E-2</v>
      </c>
      <c r="AY113" s="128">
        <f>'Lookup Table'!$E$3</f>
        <v>0.45</v>
      </c>
      <c r="AZ113" s="129" t="str">
        <f t="shared" si="37"/>
        <v>Syrian Arab Republic</v>
      </c>
      <c r="BA113" s="37">
        <f>VLOOKUP(AA113,'Lookup Table'!$J$3:$K$27,2,0)</f>
        <v>1</v>
      </c>
      <c r="BB113" s="37">
        <f t="shared" si="38"/>
        <v>1</v>
      </c>
      <c r="BC113" s="37">
        <f t="shared" si="39"/>
        <v>1</v>
      </c>
      <c r="BD113" s="37">
        <f>IF(AND(K113&lt;'ECL Calculation'!$B$1,'Input Sheet'!W113="No"),3,IF(X113="Yes",2,1))</f>
        <v>2</v>
      </c>
      <c r="BE113" s="37">
        <f t="shared" si="40"/>
        <v>3</v>
      </c>
      <c r="BF113" s="37" t="str">
        <f t="shared" si="41"/>
        <v>Stage 3</v>
      </c>
      <c r="BG113" s="37" t="str">
        <f t="shared" si="42"/>
        <v>Yes</v>
      </c>
    </row>
    <row r="114" spans="1:59" x14ac:dyDescent="0.2">
      <c r="A114" s="35">
        <f t="shared" si="43"/>
        <v>112</v>
      </c>
      <c r="B114" s="33">
        <v>1112</v>
      </c>
      <c r="C114" s="33" t="s">
        <v>361</v>
      </c>
      <c r="D114" s="33" t="s">
        <v>806</v>
      </c>
      <c r="E114" s="33" t="s">
        <v>476</v>
      </c>
      <c r="F114" s="33" t="s">
        <v>542</v>
      </c>
      <c r="G114" s="117">
        <v>3.5</v>
      </c>
      <c r="H114" s="34">
        <v>36465</v>
      </c>
      <c r="I114" s="34">
        <v>36759</v>
      </c>
      <c r="J114" s="34">
        <v>36759</v>
      </c>
      <c r="K114" s="34">
        <v>43768</v>
      </c>
      <c r="L114" s="34">
        <v>38472</v>
      </c>
      <c r="M114" s="34">
        <v>36646</v>
      </c>
      <c r="N114" s="113">
        <v>15</v>
      </c>
      <c r="O114" s="200">
        <v>66113999.990000002</v>
      </c>
      <c r="P114" s="200">
        <v>66113999.990000002</v>
      </c>
      <c r="Q114" s="200">
        <v>33771999.990000002</v>
      </c>
      <c r="R114" s="201">
        <v>9879301.6799999997</v>
      </c>
      <c r="S114" s="33" t="s">
        <v>22</v>
      </c>
      <c r="T114" s="33" t="s">
        <v>22</v>
      </c>
      <c r="U114" s="33" t="s">
        <v>203</v>
      </c>
      <c r="V114" s="33"/>
      <c r="W114" s="33" t="s">
        <v>210</v>
      </c>
      <c r="X114" s="33" t="s">
        <v>209</v>
      </c>
      <c r="Y114" s="33" t="s">
        <v>209</v>
      </c>
      <c r="Z114" s="33" t="s">
        <v>209</v>
      </c>
      <c r="AA114" s="35" t="str">
        <f>_xlfn.IFNA(VLOOKUP(E114,'Lookup Table'!$J$33:$K$176,2,0),"B3")</f>
        <v>B3</v>
      </c>
      <c r="AB114" s="35">
        <f>_xlfn.IFNA(VLOOKUP($AA114,'Rating Lookup'!$B$2:$I$27,8,0),15)</f>
        <v>16</v>
      </c>
      <c r="AC114" s="35" t="str">
        <f>_xlfn.IFNA(VLOOKUP(E114,'Lookup Table'!$M$33:$N$173,2,0),"B3")</f>
        <v>B3</v>
      </c>
      <c r="AD114" s="35">
        <f>_xlfn.IFNA(VLOOKUP($AC114,'Rating Lookup'!$B$2:$I$27,8,0),15)</f>
        <v>16</v>
      </c>
      <c r="AE114" s="35">
        <f t="shared" si="24"/>
        <v>0</v>
      </c>
      <c r="AG114" s="35" t="str">
        <f t="shared" si="25"/>
        <v>TRANSMISSION STATIONS</v>
      </c>
      <c r="AH114" s="35" t="str">
        <f t="shared" si="26"/>
        <v>Government Loan</v>
      </c>
      <c r="AI114" s="202">
        <f>'ECL Calculation'!$B$1</f>
        <v>43465</v>
      </c>
      <c r="AJ114" s="202">
        <f t="shared" si="27"/>
        <v>38472</v>
      </c>
      <c r="AK114" s="202">
        <f t="shared" si="28"/>
        <v>36646</v>
      </c>
      <c r="AL114" s="127">
        <f t="shared" si="29"/>
        <v>15</v>
      </c>
      <c r="AM114" s="192">
        <f>IF(AND(IF(ISBLANK(K114),EOMONTH(AJ114,AL114*12),K114)&lt;'ECL Calculation'!$B$1,SUM('Input Sheet'!Q114,'Input Sheet'!R114)&gt;0),EOMONTH('ECL Calculation'!$B$1,12*5),IF(ISBLANK(K114),EOMONTH(AJ114,AL114*12),K114))</f>
        <v>43768</v>
      </c>
      <c r="AN114" s="203">
        <f t="shared" si="30"/>
        <v>66113999.990000002</v>
      </c>
      <c r="AO114" s="203">
        <f t="shared" si="31"/>
        <v>66113999.990000002</v>
      </c>
      <c r="AP114" s="203">
        <f t="shared" si="32"/>
        <v>0</v>
      </c>
      <c r="AQ114" s="126">
        <f>VLOOKUP(U114,'Lookup Table'!$B$2:$C$10,2,0)</f>
        <v>1</v>
      </c>
      <c r="AR114" s="127">
        <f>VLOOKUP(S114,'Lookup Table'!$B$2:$C$9,2,0)</f>
        <v>2</v>
      </c>
      <c r="AS114" s="127">
        <f>VLOOKUP(T114,'Lookup Table'!$B$2:$C$9,2,0)</f>
        <v>2</v>
      </c>
      <c r="AT114" s="136">
        <f t="shared" si="33"/>
        <v>33771999.990000002</v>
      </c>
      <c r="AU114" s="128">
        <f t="shared" si="34"/>
        <v>3.5000000000000003E-2</v>
      </c>
      <c r="AV114" s="136">
        <f t="shared" si="35"/>
        <v>9879301.6799999997</v>
      </c>
      <c r="AW114" s="37" t="str">
        <f t="shared" si="36"/>
        <v>B3</v>
      </c>
      <c r="AX114" s="128">
        <f>VLOOKUP(E114,'Lookup Table'!$B$12:$C$82,2,0)</f>
        <v>3.6666666666666667E-2</v>
      </c>
      <c r="AY114" s="128">
        <f>'Lookup Table'!$E$3</f>
        <v>0.45</v>
      </c>
      <c r="AZ114" s="129" t="str">
        <f t="shared" si="37"/>
        <v>Syrian Arab Republic</v>
      </c>
      <c r="BA114" s="37">
        <f>VLOOKUP(AA114,'Lookup Table'!$J$3:$K$27,2,0)</f>
        <v>1</v>
      </c>
      <c r="BB114" s="37">
        <f t="shared" si="38"/>
        <v>1</v>
      </c>
      <c r="BC114" s="37">
        <f t="shared" si="39"/>
        <v>1</v>
      </c>
      <c r="BD114" s="37">
        <f>IF(AND(K114&lt;'ECL Calculation'!$B$1,'Input Sheet'!W114="No"),3,IF(X114="Yes",2,1))</f>
        <v>2</v>
      </c>
      <c r="BE114" s="37">
        <f t="shared" si="40"/>
        <v>3</v>
      </c>
      <c r="BF114" s="37" t="str">
        <f t="shared" si="41"/>
        <v>Stage 3</v>
      </c>
      <c r="BG114" s="37" t="str">
        <f t="shared" si="42"/>
        <v>Yes</v>
      </c>
    </row>
    <row r="115" spans="1:59" x14ac:dyDescent="0.2">
      <c r="A115" s="35">
        <f t="shared" si="43"/>
        <v>113</v>
      </c>
      <c r="B115" s="33">
        <v>1113</v>
      </c>
      <c r="C115" s="33" t="s">
        <v>362</v>
      </c>
      <c r="D115" s="33" t="s">
        <v>806</v>
      </c>
      <c r="E115" s="33" t="s">
        <v>476</v>
      </c>
      <c r="F115" s="33" t="s">
        <v>542</v>
      </c>
      <c r="G115" s="117">
        <v>3.5</v>
      </c>
      <c r="H115" s="34">
        <v>36465</v>
      </c>
      <c r="I115" s="34">
        <v>36759</v>
      </c>
      <c r="J115" s="34">
        <v>36759</v>
      </c>
      <c r="K115" s="34">
        <v>43768</v>
      </c>
      <c r="L115" s="34">
        <v>38472</v>
      </c>
      <c r="M115" s="34">
        <v>36646</v>
      </c>
      <c r="N115" s="113">
        <v>15</v>
      </c>
      <c r="O115" s="200">
        <v>0</v>
      </c>
      <c r="P115" s="200">
        <v>0</v>
      </c>
      <c r="Q115" s="200">
        <v>0</v>
      </c>
      <c r="R115" s="201">
        <v>0</v>
      </c>
      <c r="S115" s="33" t="s">
        <v>22</v>
      </c>
      <c r="T115" s="33" t="s">
        <v>22</v>
      </c>
      <c r="U115" s="33" t="s">
        <v>203</v>
      </c>
      <c r="V115" s="33"/>
      <c r="W115" s="33" t="s">
        <v>210</v>
      </c>
      <c r="X115" s="33" t="s">
        <v>210</v>
      </c>
      <c r="Y115" s="33" t="s">
        <v>209</v>
      </c>
      <c r="Z115" s="33" t="s">
        <v>209</v>
      </c>
      <c r="AA115" s="35" t="str">
        <f>_xlfn.IFNA(VLOOKUP(E115,'Lookup Table'!$J$33:$K$176,2,0),"B3")</f>
        <v>B3</v>
      </c>
      <c r="AB115" s="35">
        <f>_xlfn.IFNA(VLOOKUP($AA115,'Rating Lookup'!$B$2:$I$27,8,0),15)</f>
        <v>16</v>
      </c>
      <c r="AC115" s="35" t="str">
        <f>_xlfn.IFNA(VLOOKUP(E115,'Lookup Table'!$M$33:$N$173,2,0),"B3")</f>
        <v>B3</v>
      </c>
      <c r="AD115" s="35">
        <f>_xlfn.IFNA(VLOOKUP($AC115,'Rating Lookup'!$B$2:$I$27,8,0),15)</f>
        <v>16</v>
      </c>
      <c r="AE115" s="35">
        <f t="shared" si="24"/>
        <v>0</v>
      </c>
      <c r="AG115" s="35" t="str">
        <f t="shared" si="25"/>
        <v>TARTOUS MIX SPINNING FACTORY</v>
      </c>
      <c r="AH115" s="35" t="str">
        <f t="shared" si="26"/>
        <v>Government Loan</v>
      </c>
      <c r="AI115" s="202">
        <f>'ECL Calculation'!$B$1</f>
        <v>43465</v>
      </c>
      <c r="AJ115" s="202">
        <f t="shared" si="27"/>
        <v>38472</v>
      </c>
      <c r="AK115" s="202">
        <f t="shared" si="28"/>
        <v>36646</v>
      </c>
      <c r="AL115" s="127">
        <f t="shared" si="29"/>
        <v>15</v>
      </c>
      <c r="AM115" s="192">
        <f>IF(AND(IF(ISBLANK(K115),EOMONTH(AJ115,AL115*12),K115)&lt;'ECL Calculation'!$B$1,SUM('Input Sheet'!Q115,'Input Sheet'!R115)&gt;0),EOMONTH('ECL Calculation'!$B$1,12*5),IF(ISBLANK(K115),EOMONTH(AJ115,AL115*12),K115))</f>
        <v>43768</v>
      </c>
      <c r="AN115" s="203">
        <f t="shared" si="30"/>
        <v>0</v>
      </c>
      <c r="AO115" s="203">
        <f t="shared" si="31"/>
        <v>0</v>
      </c>
      <c r="AP115" s="203">
        <f t="shared" si="32"/>
        <v>0</v>
      </c>
      <c r="AQ115" s="126">
        <f>VLOOKUP(U115,'Lookup Table'!$B$2:$C$10,2,0)</f>
        <v>1</v>
      </c>
      <c r="AR115" s="127">
        <f>VLOOKUP(S115,'Lookup Table'!$B$2:$C$9,2,0)</f>
        <v>2</v>
      </c>
      <c r="AS115" s="127">
        <f>VLOOKUP(T115,'Lookup Table'!$B$2:$C$9,2,0)</f>
        <v>2</v>
      </c>
      <c r="AT115" s="136">
        <f t="shared" si="33"/>
        <v>0</v>
      </c>
      <c r="AU115" s="128">
        <f t="shared" si="34"/>
        <v>3.5000000000000003E-2</v>
      </c>
      <c r="AV115" s="136">
        <f t="shared" si="35"/>
        <v>0</v>
      </c>
      <c r="AW115" s="37" t="str">
        <f t="shared" si="36"/>
        <v>B3</v>
      </c>
      <c r="AX115" s="128">
        <f>VLOOKUP(E115,'Lookup Table'!$B$12:$C$82,2,0)</f>
        <v>3.6666666666666667E-2</v>
      </c>
      <c r="AY115" s="128">
        <f>'Lookup Table'!$E$3</f>
        <v>0.45</v>
      </c>
      <c r="AZ115" s="129" t="str">
        <f t="shared" si="37"/>
        <v>Syrian Arab Republic</v>
      </c>
      <c r="BA115" s="37">
        <f>VLOOKUP(AA115,'Lookup Table'!$J$3:$K$27,2,0)</f>
        <v>1</v>
      </c>
      <c r="BB115" s="37">
        <f t="shared" si="38"/>
        <v>1</v>
      </c>
      <c r="BC115" s="37">
        <f t="shared" si="39"/>
        <v>1</v>
      </c>
      <c r="BD115" s="37">
        <f>IF(AND(K115&lt;'ECL Calculation'!$B$1,'Input Sheet'!W115="No"),3,IF(X115="Yes",2,1))</f>
        <v>1</v>
      </c>
      <c r="BE115" s="37">
        <f t="shared" si="40"/>
        <v>3</v>
      </c>
      <c r="BF115" s="37" t="str">
        <f t="shared" si="41"/>
        <v>Stage 3</v>
      </c>
      <c r="BG115" s="37" t="str">
        <f t="shared" si="42"/>
        <v>No</v>
      </c>
    </row>
    <row r="116" spans="1:59" x14ac:dyDescent="0.2">
      <c r="A116" s="35">
        <f t="shared" si="43"/>
        <v>114</v>
      </c>
      <c r="B116" s="33">
        <v>1114</v>
      </c>
      <c r="C116" s="33" t="s">
        <v>363</v>
      </c>
      <c r="D116" s="33" t="s">
        <v>806</v>
      </c>
      <c r="E116" s="33" t="s">
        <v>476</v>
      </c>
      <c r="F116" s="33" t="s">
        <v>542</v>
      </c>
      <c r="G116" s="117">
        <v>3.5</v>
      </c>
      <c r="H116" s="34">
        <v>36465</v>
      </c>
      <c r="I116" s="34">
        <v>36759</v>
      </c>
      <c r="J116" s="34">
        <v>36759</v>
      </c>
      <c r="K116" s="34">
        <v>43768</v>
      </c>
      <c r="L116" s="34">
        <v>38472</v>
      </c>
      <c r="M116" s="34">
        <v>36646</v>
      </c>
      <c r="N116" s="113">
        <v>15</v>
      </c>
      <c r="O116" s="200">
        <v>0</v>
      </c>
      <c r="P116" s="200">
        <v>0</v>
      </c>
      <c r="Q116" s="200">
        <v>0</v>
      </c>
      <c r="R116" s="201">
        <v>0</v>
      </c>
      <c r="S116" s="33" t="s">
        <v>22</v>
      </c>
      <c r="T116" s="33" t="s">
        <v>22</v>
      </c>
      <c r="U116" s="33" t="s">
        <v>203</v>
      </c>
      <c r="V116" s="33"/>
      <c r="W116" s="33" t="s">
        <v>210</v>
      </c>
      <c r="X116" s="33" t="s">
        <v>210</v>
      </c>
      <c r="Y116" s="33" t="s">
        <v>209</v>
      </c>
      <c r="Z116" s="33" t="s">
        <v>209</v>
      </c>
      <c r="AA116" s="35" t="str">
        <f>_xlfn.IFNA(VLOOKUP(E116,'Lookup Table'!$J$33:$K$176,2,0),"B3")</f>
        <v>B3</v>
      </c>
      <c r="AB116" s="35">
        <f>_xlfn.IFNA(VLOOKUP($AA116,'Rating Lookup'!$B$2:$I$27,8,0),15)</f>
        <v>16</v>
      </c>
      <c r="AC116" s="35" t="str">
        <f>_xlfn.IFNA(VLOOKUP(E116,'Lookup Table'!$M$33:$N$173,2,0),"B3")</f>
        <v>B3</v>
      </c>
      <c r="AD116" s="35">
        <f>_xlfn.IFNA(VLOOKUP($AC116,'Rating Lookup'!$B$2:$I$27,8,0),15)</f>
        <v>16</v>
      </c>
      <c r="AE116" s="35">
        <f t="shared" si="24"/>
        <v>0</v>
      </c>
      <c r="AG116" s="35" t="str">
        <f t="shared" si="25"/>
        <v>COMPOSED TURN IN TUSHRIN STATION</v>
      </c>
      <c r="AH116" s="35" t="str">
        <f t="shared" si="26"/>
        <v>Government Loan</v>
      </c>
      <c r="AI116" s="202">
        <f>'ECL Calculation'!$B$1</f>
        <v>43465</v>
      </c>
      <c r="AJ116" s="202">
        <f t="shared" si="27"/>
        <v>38472</v>
      </c>
      <c r="AK116" s="202">
        <f t="shared" si="28"/>
        <v>36646</v>
      </c>
      <c r="AL116" s="127">
        <f t="shared" si="29"/>
        <v>15</v>
      </c>
      <c r="AM116" s="192">
        <f>IF(AND(IF(ISBLANK(K116),EOMONTH(AJ116,AL116*12),K116)&lt;'ECL Calculation'!$B$1,SUM('Input Sheet'!Q116,'Input Sheet'!R116)&gt;0),EOMONTH('ECL Calculation'!$B$1,12*5),IF(ISBLANK(K116),EOMONTH(AJ116,AL116*12),K116))</f>
        <v>43768</v>
      </c>
      <c r="AN116" s="203">
        <f t="shared" si="30"/>
        <v>0</v>
      </c>
      <c r="AO116" s="203">
        <f t="shared" si="31"/>
        <v>0</v>
      </c>
      <c r="AP116" s="203">
        <f t="shared" si="32"/>
        <v>0</v>
      </c>
      <c r="AQ116" s="126">
        <f>VLOOKUP(U116,'Lookup Table'!$B$2:$C$10,2,0)</f>
        <v>1</v>
      </c>
      <c r="AR116" s="127">
        <f>VLOOKUP(S116,'Lookup Table'!$B$2:$C$9,2,0)</f>
        <v>2</v>
      </c>
      <c r="AS116" s="127">
        <f>VLOOKUP(T116,'Lookup Table'!$B$2:$C$9,2,0)</f>
        <v>2</v>
      </c>
      <c r="AT116" s="136">
        <f t="shared" si="33"/>
        <v>0</v>
      </c>
      <c r="AU116" s="128">
        <f t="shared" si="34"/>
        <v>3.5000000000000003E-2</v>
      </c>
      <c r="AV116" s="136">
        <f t="shared" si="35"/>
        <v>0</v>
      </c>
      <c r="AW116" s="37" t="str">
        <f t="shared" si="36"/>
        <v>B3</v>
      </c>
      <c r="AX116" s="128">
        <f>VLOOKUP(E116,'Lookup Table'!$B$12:$C$82,2,0)</f>
        <v>3.6666666666666667E-2</v>
      </c>
      <c r="AY116" s="128">
        <f>'Lookup Table'!$E$3</f>
        <v>0.45</v>
      </c>
      <c r="AZ116" s="129" t="str">
        <f t="shared" si="37"/>
        <v>Syrian Arab Republic</v>
      </c>
      <c r="BA116" s="37">
        <f>VLOOKUP(AA116,'Lookup Table'!$J$3:$K$27,2,0)</f>
        <v>1</v>
      </c>
      <c r="BB116" s="37">
        <f t="shared" si="38"/>
        <v>1</v>
      </c>
      <c r="BC116" s="37">
        <f t="shared" si="39"/>
        <v>1</v>
      </c>
      <c r="BD116" s="37">
        <f>IF(AND(K116&lt;'ECL Calculation'!$B$1,'Input Sheet'!W116="No"),3,IF(X116="Yes",2,1))</f>
        <v>1</v>
      </c>
      <c r="BE116" s="37">
        <f t="shared" si="40"/>
        <v>3</v>
      </c>
      <c r="BF116" s="37" t="str">
        <f t="shared" si="41"/>
        <v>Stage 3</v>
      </c>
      <c r="BG116" s="37" t="str">
        <f t="shared" si="42"/>
        <v>No</v>
      </c>
    </row>
    <row r="117" spans="1:59" x14ac:dyDescent="0.2">
      <c r="A117" s="35">
        <f t="shared" si="43"/>
        <v>115</v>
      </c>
      <c r="B117" s="33">
        <v>1115</v>
      </c>
      <c r="C117" s="33" t="s">
        <v>364</v>
      </c>
      <c r="D117" s="33" t="s">
        <v>806</v>
      </c>
      <c r="E117" s="33" t="s">
        <v>477</v>
      </c>
      <c r="F117" s="33" t="s">
        <v>542</v>
      </c>
      <c r="G117" s="117">
        <v>3.5</v>
      </c>
      <c r="H117" s="34">
        <v>36688</v>
      </c>
      <c r="I117" s="34">
        <v>36724</v>
      </c>
      <c r="J117" s="34">
        <v>36724</v>
      </c>
      <c r="K117" s="34">
        <v>44316</v>
      </c>
      <c r="L117" s="34">
        <v>39020</v>
      </c>
      <c r="M117" s="34">
        <v>36829</v>
      </c>
      <c r="N117" s="113">
        <v>15</v>
      </c>
      <c r="O117" s="200">
        <v>18365000</v>
      </c>
      <c r="P117" s="200">
        <v>18365000</v>
      </c>
      <c r="Q117" s="200">
        <v>3065000</v>
      </c>
      <c r="R117" s="201">
        <v>17819.28</v>
      </c>
      <c r="S117" s="33" t="s">
        <v>22</v>
      </c>
      <c r="T117" s="33" t="s">
        <v>22</v>
      </c>
      <c r="U117" s="33" t="s">
        <v>203</v>
      </c>
      <c r="V117" s="33"/>
      <c r="W117" s="33" t="s">
        <v>210</v>
      </c>
      <c r="X117" s="33" t="s">
        <v>210</v>
      </c>
      <c r="Y117" s="33"/>
      <c r="Z117" s="33" t="s">
        <v>209</v>
      </c>
      <c r="AA117" s="35" t="str">
        <f>_xlfn.IFNA(VLOOKUP(E117,'Lookup Table'!$J$33:$K$176,2,0),"B3")</f>
        <v>B1</v>
      </c>
      <c r="AB117" s="35">
        <f>_xlfn.IFNA(VLOOKUP($AA117,'Rating Lookup'!$B$2:$I$27,8,0),15)</f>
        <v>14</v>
      </c>
      <c r="AC117" s="35" t="str">
        <f>_xlfn.IFNA(VLOOKUP(E117,'Lookup Table'!$M$33:$N$173,2,0),"B3")</f>
        <v>Ba2</v>
      </c>
      <c r="AD117" s="35">
        <f>_xlfn.IFNA(VLOOKUP($AC117,'Rating Lookup'!$B$2:$I$27,8,0),15)</f>
        <v>12</v>
      </c>
      <c r="AE117" s="35">
        <f t="shared" si="24"/>
        <v>2</v>
      </c>
      <c r="AG117" s="35" t="str">
        <f t="shared" si="25"/>
        <v>YARMOK VALLEY DEVELOPMENT</v>
      </c>
      <c r="AH117" s="35" t="str">
        <f t="shared" si="26"/>
        <v>Government Loan</v>
      </c>
      <c r="AI117" s="202">
        <f>'ECL Calculation'!$B$1</f>
        <v>43465</v>
      </c>
      <c r="AJ117" s="202">
        <f t="shared" si="27"/>
        <v>39020</v>
      </c>
      <c r="AK117" s="202">
        <f t="shared" si="28"/>
        <v>36829</v>
      </c>
      <c r="AL117" s="127">
        <f t="shared" si="29"/>
        <v>15</v>
      </c>
      <c r="AM117" s="192">
        <f>IF(AND(IF(ISBLANK(K117),EOMONTH(AJ117,AL117*12),K117)&lt;'ECL Calculation'!$B$1,SUM('Input Sheet'!Q117,'Input Sheet'!R117)&gt;0),EOMONTH('ECL Calculation'!$B$1,12*5),IF(ISBLANK(K117),EOMONTH(AJ117,AL117*12),K117))</f>
        <v>44316</v>
      </c>
      <c r="AN117" s="203">
        <f t="shared" si="30"/>
        <v>18365000</v>
      </c>
      <c r="AO117" s="203">
        <f t="shared" si="31"/>
        <v>18365000</v>
      </c>
      <c r="AP117" s="203">
        <f t="shared" si="32"/>
        <v>0</v>
      </c>
      <c r="AQ117" s="126">
        <f>VLOOKUP(U117,'Lookup Table'!$B$2:$C$10,2,0)</f>
        <v>1</v>
      </c>
      <c r="AR117" s="127">
        <f>VLOOKUP(S117,'Lookup Table'!$B$2:$C$9,2,0)</f>
        <v>2</v>
      </c>
      <c r="AS117" s="127">
        <f>VLOOKUP(T117,'Lookup Table'!$B$2:$C$9,2,0)</f>
        <v>2</v>
      </c>
      <c r="AT117" s="136">
        <f t="shared" si="33"/>
        <v>3065000</v>
      </c>
      <c r="AU117" s="128">
        <f t="shared" si="34"/>
        <v>3.5000000000000003E-2</v>
      </c>
      <c r="AV117" s="136">
        <f t="shared" si="35"/>
        <v>17819.28</v>
      </c>
      <c r="AW117" s="37" t="str">
        <f t="shared" si="36"/>
        <v>B1</v>
      </c>
      <c r="AX117" s="128">
        <f>VLOOKUP(E117,'Lookup Table'!$B$12:$C$82,2,0)</f>
        <v>3.5909090909090911E-2</v>
      </c>
      <c r="AY117" s="128">
        <f>'Lookup Table'!$E$3</f>
        <v>0.45</v>
      </c>
      <c r="AZ117" s="129" t="str">
        <f t="shared" si="37"/>
        <v>Jordan</v>
      </c>
      <c r="BA117" s="37">
        <f>VLOOKUP(AA117,'Lookup Table'!$J$3:$K$27,2,0)</f>
        <v>1</v>
      </c>
      <c r="BB117" s="37">
        <f t="shared" si="38"/>
        <v>2</v>
      </c>
      <c r="BC117" s="37">
        <f t="shared" si="39"/>
        <v>1</v>
      </c>
      <c r="BD117" s="37">
        <f>IF(AND(K117&lt;'ECL Calculation'!$B$1,'Input Sheet'!W117="No"),3,IF(X117="Yes",2,1))</f>
        <v>1</v>
      </c>
      <c r="BE117" s="37">
        <f t="shared" si="40"/>
        <v>1</v>
      </c>
      <c r="BF117" s="37" t="str">
        <f t="shared" si="41"/>
        <v>Stage 2</v>
      </c>
      <c r="BG117" s="37" t="str">
        <f t="shared" si="42"/>
        <v>Yes</v>
      </c>
    </row>
    <row r="118" spans="1:59" x14ac:dyDescent="0.2">
      <c r="A118" s="35">
        <f t="shared" si="43"/>
        <v>116</v>
      </c>
      <c r="B118" s="33">
        <v>1116</v>
      </c>
      <c r="C118" s="33" t="s">
        <v>365</v>
      </c>
      <c r="D118" s="33" t="s">
        <v>806</v>
      </c>
      <c r="E118" s="33" t="s">
        <v>477</v>
      </c>
      <c r="F118" s="33" t="s">
        <v>542</v>
      </c>
      <c r="G118" s="117">
        <v>3.5</v>
      </c>
      <c r="H118" s="34">
        <v>36688</v>
      </c>
      <c r="I118" s="34">
        <v>36724</v>
      </c>
      <c r="J118" s="34">
        <v>36724</v>
      </c>
      <c r="K118" s="34">
        <v>44316</v>
      </c>
      <c r="L118" s="34">
        <v>39020</v>
      </c>
      <c r="M118" s="34">
        <v>36829</v>
      </c>
      <c r="N118" s="113">
        <v>14</v>
      </c>
      <c r="O118" s="200">
        <v>53042568.479999997</v>
      </c>
      <c r="P118" s="200">
        <v>53042568.479999997</v>
      </c>
      <c r="Q118" s="200">
        <v>7142568.4800000004</v>
      </c>
      <c r="R118" s="201">
        <v>41486.22</v>
      </c>
      <c r="S118" s="33" t="s">
        <v>22</v>
      </c>
      <c r="T118" s="33" t="s">
        <v>22</v>
      </c>
      <c r="U118" s="33" t="s">
        <v>203</v>
      </c>
      <c r="V118" s="33"/>
      <c r="W118" s="33" t="s">
        <v>210</v>
      </c>
      <c r="X118" s="33" t="s">
        <v>210</v>
      </c>
      <c r="Y118" s="33"/>
      <c r="Z118" s="33" t="s">
        <v>209</v>
      </c>
      <c r="AA118" s="35" t="str">
        <f>_xlfn.IFNA(VLOOKUP(E118,'Lookup Table'!$J$33:$K$176,2,0),"B3")</f>
        <v>B1</v>
      </c>
      <c r="AB118" s="35">
        <f>_xlfn.IFNA(VLOOKUP($AA118,'Rating Lookup'!$B$2:$I$27,8,0),15)</f>
        <v>14</v>
      </c>
      <c r="AC118" s="35" t="str">
        <f>_xlfn.IFNA(VLOOKUP(E118,'Lookup Table'!$M$33:$N$173,2,0),"B3")</f>
        <v>Ba2</v>
      </c>
      <c r="AD118" s="35">
        <f>_xlfn.IFNA(VLOOKUP($AC118,'Rating Lookup'!$B$2:$I$27,8,0),15)</f>
        <v>12</v>
      </c>
      <c r="AE118" s="35">
        <f t="shared" si="24"/>
        <v>2</v>
      </c>
      <c r="AG118" s="35" t="str">
        <f t="shared" si="25"/>
        <v>INTEGRATED SOUTHERN GHURS DEVELOPMENT</v>
      </c>
      <c r="AH118" s="35" t="str">
        <f t="shared" si="26"/>
        <v>Government Loan</v>
      </c>
      <c r="AI118" s="202">
        <f>'ECL Calculation'!$B$1</f>
        <v>43465</v>
      </c>
      <c r="AJ118" s="202">
        <f t="shared" si="27"/>
        <v>39020</v>
      </c>
      <c r="AK118" s="202">
        <f t="shared" si="28"/>
        <v>36829</v>
      </c>
      <c r="AL118" s="127">
        <f t="shared" si="29"/>
        <v>14</v>
      </c>
      <c r="AM118" s="192">
        <f>IF(AND(IF(ISBLANK(K118),EOMONTH(AJ118,AL118*12),K118)&lt;'ECL Calculation'!$B$1,SUM('Input Sheet'!Q118,'Input Sheet'!R118)&gt;0),EOMONTH('ECL Calculation'!$B$1,12*5),IF(ISBLANK(K118),EOMONTH(AJ118,AL118*12),K118))</f>
        <v>44316</v>
      </c>
      <c r="AN118" s="203">
        <f t="shared" si="30"/>
        <v>53042568.479999997</v>
      </c>
      <c r="AO118" s="203">
        <f t="shared" si="31"/>
        <v>53042568.479999997</v>
      </c>
      <c r="AP118" s="203">
        <f t="shared" si="32"/>
        <v>0</v>
      </c>
      <c r="AQ118" s="126">
        <f>VLOOKUP(U118,'Lookup Table'!$B$2:$C$10,2,0)</f>
        <v>1</v>
      </c>
      <c r="AR118" s="127">
        <f>VLOOKUP(S118,'Lookup Table'!$B$2:$C$9,2,0)</f>
        <v>2</v>
      </c>
      <c r="AS118" s="127">
        <f>VLOOKUP(T118,'Lookup Table'!$B$2:$C$9,2,0)</f>
        <v>2</v>
      </c>
      <c r="AT118" s="136">
        <f t="shared" si="33"/>
        <v>7142568.4800000004</v>
      </c>
      <c r="AU118" s="128">
        <f t="shared" si="34"/>
        <v>3.5000000000000003E-2</v>
      </c>
      <c r="AV118" s="136">
        <f t="shared" si="35"/>
        <v>41486.22</v>
      </c>
      <c r="AW118" s="37" t="str">
        <f t="shared" si="36"/>
        <v>B1</v>
      </c>
      <c r="AX118" s="128">
        <f>VLOOKUP(E118,'Lookup Table'!$B$12:$C$82,2,0)</f>
        <v>3.5909090909090911E-2</v>
      </c>
      <c r="AY118" s="128">
        <f>'Lookup Table'!$E$3</f>
        <v>0.45</v>
      </c>
      <c r="AZ118" s="129" t="str">
        <f t="shared" si="37"/>
        <v>Jordan</v>
      </c>
      <c r="BA118" s="37">
        <f>VLOOKUP(AA118,'Lookup Table'!$J$3:$K$27,2,0)</f>
        <v>1</v>
      </c>
      <c r="BB118" s="37">
        <f t="shared" si="38"/>
        <v>2</v>
      </c>
      <c r="BC118" s="37">
        <f t="shared" si="39"/>
        <v>1</v>
      </c>
      <c r="BD118" s="37">
        <f>IF(AND(K118&lt;'ECL Calculation'!$B$1,'Input Sheet'!W118="No"),3,IF(X118="Yes",2,1))</f>
        <v>1</v>
      </c>
      <c r="BE118" s="37">
        <f t="shared" si="40"/>
        <v>1</v>
      </c>
      <c r="BF118" s="37" t="str">
        <f t="shared" si="41"/>
        <v>Stage 2</v>
      </c>
      <c r="BG118" s="37" t="str">
        <f t="shared" si="42"/>
        <v>Yes</v>
      </c>
    </row>
    <row r="119" spans="1:59" x14ac:dyDescent="0.2">
      <c r="A119" s="35">
        <f t="shared" si="43"/>
        <v>117</v>
      </c>
      <c r="B119" s="33">
        <v>1117</v>
      </c>
      <c r="C119" s="33" t="s">
        <v>366</v>
      </c>
      <c r="D119" s="33" t="s">
        <v>806</v>
      </c>
      <c r="E119" s="33" t="s">
        <v>19</v>
      </c>
      <c r="F119" s="33" t="s">
        <v>542</v>
      </c>
      <c r="G119" s="117">
        <v>3.5</v>
      </c>
      <c r="H119" s="34">
        <v>36852</v>
      </c>
      <c r="I119" s="34">
        <v>37006</v>
      </c>
      <c r="J119" s="34">
        <v>37006</v>
      </c>
      <c r="K119" s="34">
        <v>42307</v>
      </c>
      <c r="L119" s="34">
        <v>38837</v>
      </c>
      <c r="M119" s="34">
        <v>37011</v>
      </c>
      <c r="N119" s="113">
        <v>10</v>
      </c>
      <c r="O119" s="200">
        <v>367300000</v>
      </c>
      <c r="P119" s="200">
        <v>367300000</v>
      </c>
      <c r="Q119" s="200">
        <v>0</v>
      </c>
      <c r="R119" s="201">
        <v>0</v>
      </c>
      <c r="S119" s="33" t="s">
        <v>22</v>
      </c>
      <c r="T119" s="33" t="s">
        <v>22</v>
      </c>
      <c r="U119" s="33" t="s">
        <v>203</v>
      </c>
      <c r="V119" s="33"/>
      <c r="W119" s="33" t="s">
        <v>210</v>
      </c>
      <c r="X119" s="33" t="s">
        <v>210</v>
      </c>
      <c r="Y119" s="33"/>
      <c r="Z119" s="33" t="s">
        <v>209</v>
      </c>
      <c r="AA119" s="35" t="str">
        <f>_xlfn.IFNA(VLOOKUP(E119,'Lookup Table'!$J$33:$K$176,2,0),"B3")</f>
        <v>B2</v>
      </c>
      <c r="AB119" s="35">
        <f>_xlfn.IFNA(VLOOKUP($AA119,'Rating Lookup'!$B$2:$I$27,8,0),15)</f>
        <v>15</v>
      </c>
      <c r="AC119" s="35" t="str">
        <f>_xlfn.IFNA(VLOOKUP(E119,'Lookup Table'!$M$33:$N$173,2,0),"B3")</f>
        <v>Baa1</v>
      </c>
      <c r="AD119" s="35">
        <f>_xlfn.IFNA(VLOOKUP($AC119,'Rating Lookup'!$B$2:$I$27,8,0),15)</f>
        <v>8</v>
      </c>
      <c r="AE119" s="35">
        <f t="shared" si="24"/>
        <v>7</v>
      </c>
      <c r="AG119" s="35" t="str">
        <f t="shared" si="25"/>
        <v>RECLAMATION OF NEW PORT &amp; INDUSTRIAL AREA IN AL-HAD</v>
      </c>
      <c r="AH119" s="35" t="str">
        <f t="shared" si="26"/>
        <v>Government Loan</v>
      </c>
      <c r="AI119" s="202">
        <f>'ECL Calculation'!$B$1</f>
        <v>43465</v>
      </c>
      <c r="AJ119" s="202">
        <f t="shared" si="27"/>
        <v>38837</v>
      </c>
      <c r="AK119" s="202">
        <f t="shared" si="28"/>
        <v>37011</v>
      </c>
      <c r="AL119" s="127">
        <f t="shared" si="29"/>
        <v>10</v>
      </c>
      <c r="AM119" s="192">
        <f>IF(AND(IF(ISBLANK(K119),EOMONTH(AJ119,AL119*12),K119)&lt;'ECL Calculation'!$B$1,SUM('Input Sheet'!Q119,'Input Sheet'!R119)&gt;0),EOMONTH('ECL Calculation'!$B$1,12*5),IF(ISBLANK(K119),EOMONTH(AJ119,AL119*12),K119))</f>
        <v>42307</v>
      </c>
      <c r="AN119" s="203">
        <f t="shared" si="30"/>
        <v>367300000</v>
      </c>
      <c r="AO119" s="203">
        <f t="shared" si="31"/>
        <v>367300000</v>
      </c>
      <c r="AP119" s="203">
        <f t="shared" si="32"/>
        <v>0</v>
      </c>
      <c r="AQ119" s="126">
        <f>VLOOKUP(U119,'Lookup Table'!$B$2:$C$10,2,0)</f>
        <v>1</v>
      </c>
      <c r="AR119" s="127">
        <f>VLOOKUP(S119,'Lookup Table'!$B$2:$C$9,2,0)</f>
        <v>2</v>
      </c>
      <c r="AS119" s="127">
        <f>VLOOKUP(T119,'Lookup Table'!$B$2:$C$9,2,0)</f>
        <v>2</v>
      </c>
      <c r="AT119" s="136">
        <f t="shared" si="33"/>
        <v>0</v>
      </c>
      <c r="AU119" s="128">
        <f t="shared" si="34"/>
        <v>3.5000000000000003E-2</v>
      </c>
      <c r="AV119" s="136">
        <f t="shared" si="35"/>
        <v>0</v>
      </c>
      <c r="AW119" s="37" t="str">
        <f t="shared" si="36"/>
        <v>B2</v>
      </c>
      <c r="AX119" s="128">
        <f>VLOOKUP(E119,'Lookup Table'!$B$12:$C$82,2,0)</f>
        <v>3.6111111111111115E-2</v>
      </c>
      <c r="AY119" s="128">
        <f>'Lookup Table'!$E$3</f>
        <v>0.45</v>
      </c>
      <c r="AZ119" s="129" t="str">
        <f t="shared" si="37"/>
        <v>Bahrain</v>
      </c>
      <c r="BA119" s="37">
        <f>VLOOKUP(AA119,'Lookup Table'!$J$3:$K$27,2,0)</f>
        <v>1</v>
      </c>
      <c r="BB119" s="37">
        <f t="shared" si="38"/>
        <v>2</v>
      </c>
      <c r="BC119" s="37">
        <f t="shared" si="39"/>
        <v>1</v>
      </c>
      <c r="BD119" s="37">
        <f>IF(AND(K119&lt;'ECL Calculation'!$B$1,'Input Sheet'!W119="No"),3,IF(X119="Yes",2,1))</f>
        <v>3</v>
      </c>
      <c r="BE119" s="37">
        <f t="shared" si="40"/>
        <v>1</v>
      </c>
      <c r="BF119" s="37" t="str">
        <f t="shared" si="41"/>
        <v>Stage 3</v>
      </c>
      <c r="BG119" s="37" t="str">
        <f t="shared" si="42"/>
        <v>No</v>
      </c>
    </row>
    <row r="120" spans="1:59" x14ac:dyDescent="0.2">
      <c r="A120" s="35">
        <f t="shared" si="43"/>
        <v>118</v>
      </c>
      <c r="B120" s="33">
        <v>1118</v>
      </c>
      <c r="C120" s="33" t="s">
        <v>367</v>
      </c>
      <c r="D120" s="33" t="s">
        <v>806</v>
      </c>
      <c r="E120" s="33" t="s">
        <v>477</v>
      </c>
      <c r="F120" s="33" t="s">
        <v>542</v>
      </c>
      <c r="G120" s="117">
        <v>3.5</v>
      </c>
      <c r="H120" s="34">
        <v>36964</v>
      </c>
      <c r="I120" s="34">
        <v>37086</v>
      </c>
      <c r="J120" s="34">
        <v>37086</v>
      </c>
      <c r="K120" s="34">
        <v>44134</v>
      </c>
      <c r="L120" s="34">
        <v>38837</v>
      </c>
      <c r="M120" s="34">
        <v>37011</v>
      </c>
      <c r="N120" s="113">
        <v>15</v>
      </c>
      <c r="O120" s="200">
        <v>36729999.979999997</v>
      </c>
      <c r="P120" s="200">
        <v>36729999.979999997</v>
      </c>
      <c r="Q120" s="200">
        <v>4879999.9800000004</v>
      </c>
      <c r="R120" s="201">
        <v>28347.57</v>
      </c>
      <c r="S120" s="33" t="s">
        <v>22</v>
      </c>
      <c r="T120" s="33" t="s">
        <v>22</v>
      </c>
      <c r="U120" s="33" t="s">
        <v>203</v>
      </c>
      <c r="V120" s="33"/>
      <c r="W120" s="33" t="s">
        <v>210</v>
      </c>
      <c r="X120" s="33" t="s">
        <v>210</v>
      </c>
      <c r="Y120" s="33"/>
      <c r="Z120" s="33" t="s">
        <v>209</v>
      </c>
      <c r="AA120" s="35" t="str">
        <f>_xlfn.IFNA(VLOOKUP(E120,'Lookup Table'!$J$33:$K$176,2,0),"B3")</f>
        <v>B1</v>
      </c>
      <c r="AB120" s="35">
        <f>_xlfn.IFNA(VLOOKUP($AA120,'Rating Lookup'!$B$2:$I$27,8,0),15)</f>
        <v>14</v>
      </c>
      <c r="AC120" s="35" t="str">
        <f>_xlfn.IFNA(VLOOKUP(E120,'Lookup Table'!$M$33:$N$173,2,0),"B3")</f>
        <v>Ba2</v>
      </c>
      <c r="AD120" s="35">
        <f>_xlfn.IFNA(VLOOKUP($AC120,'Rating Lookup'!$B$2:$I$27,8,0),15)</f>
        <v>12</v>
      </c>
      <c r="AE120" s="35">
        <f t="shared" si="24"/>
        <v>2</v>
      </c>
      <c r="AG120" s="35" t="str">
        <f t="shared" si="25"/>
        <v>AL-WAHDA DAM</v>
      </c>
      <c r="AH120" s="35" t="str">
        <f t="shared" si="26"/>
        <v>Government Loan</v>
      </c>
      <c r="AI120" s="202">
        <f>'ECL Calculation'!$B$1</f>
        <v>43465</v>
      </c>
      <c r="AJ120" s="202">
        <f t="shared" si="27"/>
        <v>38837</v>
      </c>
      <c r="AK120" s="202">
        <f t="shared" si="28"/>
        <v>37011</v>
      </c>
      <c r="AL120" s="127">
        <f t="shared" si="29"/>
        <v>15</v>
      </c>
      <c r="AM120" s="192">
        <f>IF(AND(IF(ISBLANK(K120),EOMONTH(AJ120,AL120*12),K120)&lt;'ECL Calculation'!$B$1,SUM('Input Sheet'!Q120,'Input Sheet'!R120)&gt;0),EOMONTH('ECL Calculation'!$B$1,12*5),IF(ISBLANK(K120),EOMONTH(AJ120,AL120*12),K120))</f>
        <v>44134</v>
      </c>
      <c r="AN120" s="203">
        <f t="shared" si="30"/>
        <v>36729999.979999997</v>
      </c>
      <c r="AO120" s="203">
        <f t="shared" si="31"/>
        <v>36729999.979999997</v>
      </c>
      <c r="AP120" s="203">
        <f t="shared" si="32"/>
        <v>0</v>
      </c>
      <c r="AQ120" s="126">
        <f>VLOOKUP(U120,'Lookup Table'!$B$2:$C$10,2,0)</f>
        <v>1</v>
      </c>
      <c r="AR120" s="127">
        <f>VLOOKUP(S120,'Lookup Table'!$B$2:$C$9,2,0)</f>
        <v>2</v>
      </c>
      <c r="AS120" s="127">
        <f>VLOOKUP(T120,'Lookup Table'!$B$2:$C$9,2,0)</f>
        <v>2</v>
      </c>
      <c r="AT120" s="136">
        <f t="shared" si="33"/>
        <v>4879999.9800000004</v>
      </c>
      <c r="AU120" s="128">
        <f t="shared" si="34"/>
        <v>3.5000000000000003E-2</v>
      </c>
      <c r="AV120" s="136">
        <f t="shared" si="35"/>
        <v>28347.57</v>
      </c>
      <c r="AW120" s="37" t="str">
        <f t="shared" si="36"/>
        <v>B1</v>
      </c>
      <c r="AX120" s="128">
        <f>VLOOKUP(E120,'Lookup Table'!$B$12:$C$82,2,0)</f>
        <v>3.5909090909090911E-2</v>
      </c>
      <c r="AY120" s="128">
        <f>'Lookup Table'!$E$3</f>
        <v>0.45</v>
      </c>
      <c r="AZ120" s="129" t="str">
        <f t="shared" si="37"/>
        <v>Jordan</v>
      </c>
      <c r="BA120" s="37">
        <f>VLOOKUP(AA120,'Lookup Table'!$J$3:$K$27,2,0)</f>
        <v>1</v>
      </c>
      <c r="BB120" s="37">
        <f t="shared" si="38"/>
        <v>2</v>
      </c>
      <c r="BC120" s="37">
        <f t="shared" si="39"/>
        <v>1</v>
      </c>
      <c r="BD120" s="37">
        <f>IF(AND(K120&lt;'ECL Calculation'!$B$1,'Input Sheet'!W120="No"),3,IF(X120="Yes",2,1))</f>
        <v>1</v>
      </c>
      <c r="BE120" s="37">
        <f t="shared" si="40"/>
        <v>1</v>
      </c>
      <c r="BF120" s="37" t="str">
        <f t="shared" si="41"/>
        <v>Stage 2</v>
      </c>
      <c r="BG120" s="37" t="str">
        <f t="shared" si="42"/>
        <v>Yes</v>
      </c>
    </row>
    <row r="121" spans="1:59" x14ac:dyDescent="0.2">
      <c r="A121" s="35">
        <f t="shared" si="43"/>
        <v>119</v>
      </c>
      <c r="B121" s="33">
        <v>1120</v>
      </c>
      <c r="C121" s="33" t="s">
        <v>353</v>
      </c>
      <c r="D121" s="33" t="s">
        <v>806</v>
      </c>
      <c r="E121" s="33" t="s">
        <v>512</v>
      </c>
      <c r="F121" s="33" t="s">
        <v>542</v>
      </c>
      <c r="G121" s="117">
        <v>3.5</v>
      </c>
      <c r="H121" s="34">
        <v>36982</v>
      </c>
      <c r="I121" s="34">
        <v>37807</v>
      </c>
      <c r="J121" s="34">
        <v>37807</v>
      </c>
      <c r="K121" s="34">
        <v>46142</v>
      </c>
      <c r="L121" s="34">
        <v>41942</v>
      </c>
      <c r="M121" s="34">
        <v>37011</v>
      </c>
      <c r="N121" s="113">
        <v>30</v>
      </c>
      <c r="O121" s="200">
        <v>28272175.559999999</v>
      </c>
      <c r="P121" s="200">
        <v>28272175.559999999</v>
      </c>
      <c r="Q121" s="200">
        <v>20191575.559999999</v>
      </c>
      <c r="R121" s="201">
        <v>5077154.7699999996</v>
      </c>
      <c r="S121" s="33" t="s">
        <v>22</v>
      </c>
      <c r="T121" s="33" t="s">
        <v>22</v>
      </c>
      <c r="U121" s="33" t="s">
        <v>203</v>
      </c>
      <c r="V121" s="33"/>
      <c r="W121" s="33" t="s">
        <v>210</v>
      </c>
      <c r="X121" s="33" t="s">
        <v>209</v>
      </c>
      <c r="Y121" s="33" t="s">
        <v>209</v>
      </c>
      <c r="Z121" s="33" t="s">
        <v>209</v>
      </c>
      <c r="AA121" s="35" t="str">
        <f>_xlfn.IFNA(VLOOKUP(E121,'Lookup Table'!$J$33:$K$176,2,0),"B3")</f>
        <v>B3</v>
      </c>
      <c r="AB121" s="35">
        <f>_xlfn.IFNA(VLOOKUP($AA121,'Rating Lookup'!$B$2:$I$27,8,0),15)</f>
        <v>16</v>
      </c>
      <c r="AC121" s="35" t="str">
        <f>_xlfn.IFNA(VLOOKUP(E121,'Lookup Table'!$M$33:$N$173,2,0),"B3")</f>
        <v>B3</v>
      </c>
      <c r="AD121" s="35">
        <f>_xlfn.IFNA(VLOOKUP($AC121,'Rating Lookup'!$B$2:$I$27,8,0),15)</f>
        <v>16</v>
      </c>
      <c r="AE121" s="35">
        <f t="shared" si="24"/>
        <v>0</v>
      </c>
      <c r="AG121" s="35" t="str">
        <f t="shared" si="25"/>
        <v>SOCIAL HOUSING</v>
      </c>
      <c r="AH121" s="35" t="str">
        <f t="shared" si="26"/>
        <v>Government Loan</v>
      </c>
      <c r="AI121" s="202">
        <f>'ECL Calculation'!$B$1</f>
        <v>43465</v>
      </c>
      <c r="AJ121" s="202">
        <f t="shared" si="27"/>
        <v>41942</v>
      </c>
      <c r="AK121" s="202">
        <f t="shared" si="28"/>
        <v>37011</v>
      </c>
      <c r="AL121" s="127">
        <f t="shared" si="29"/>
        <v>30</v>
      </c>
      <c r="AM121" s="192">
        <f>IF(AND(IF(ISBLANK(K121),EOMONTH(AJ121,AL121*12),K121)&lt;'ECL Calculation'!$B$1,SUM('Input Sheet'!Q121,'Input Sheet'!R121)&gt;0),EOMONTH('ECL Calculation'!$B$1,12*5),IF(ISBLANK(K121),EOMONTH(AJ121,AL121*12),K121))</f>
        <v>46142</v>
      </c>
      <c r="AN121" s="203">
        <f t="shared" si="30"/>
        <v>28272175.559999999</v>
      </c>
      <c r="AO121" s="203">
        <f t="shared" si="31"/>
        <v>28272175.559999999</v>
      </c>
      <c r="AP121" s="203">
        <f t="shared" si="32"/>
        <v>0</v>
      </c>
      <c r="AQ121" s="126">
        <f>VLOOKUP(U121,'Lookup Table'!$B$2:$C$10,2,0)</f>
        <v>1</v>
      </c>
      <c r="AR121" s="127">
        <f>VLOOKUP(S121,'Lookup Table'!$B$2:$C$9,2,0)</f>
        <v>2</v>
      </c>
      <c r="AS121" s="127">
        <f>VLOOKUP(T121,'Lookup Table'!$B$2:$C$9,2,0)</f>
        <v>2</v>
      </c>
      <c r="AT121" s="136">
        <f t="shared" si="33"/>
        <v>20191575.559999999</v>
      </c>
      <c r="AU121" s="128">
        <f t="shared" si="34"/>
        <v>3.5000000000000003E-2</v>
      </c>
      <c r="AV121" s="136">
        <f t="shared" si="35"/>
        <v>5077154.7699999996</v>
      </c>
      <c r="AW121" s="37" t="str">
        <f t="shared" si="36"/>
        <v>B3</v>
      </c>
      <c r="AX121" s="128">
        <f>VLOOKUP(E121,'Lookup Table'!$B$12:$C$82,2,0)</f>
        <v>3.6666666666666667E-2</v>
      </c>
      <c r="AY121" s="128">
        <f>'Lookup Table'!$E$3</f>
        <v>0.45</v>
      </c>
      <c r="AZ121" s="129" t="str">
        <f t="shared" si="37"/>
        <v>Djibouti</v>
      </c>
      <c r="BA121" s="37">
        <f>VLOOKUP(AA121,'Lookup Table'!$J$3:$K$27,2,0)</f>
        <v>1</v>
      </c>
      <c r="BB121" s="37">
        <f t="shared" si="38"/>
        <v>1</v>
      </c>
      <c r="BC121" s="37">
        <f t="shared" si="39"/>
        <v>1</v>
      </c>
      <c r="BD121" s="37">
        <f>IF(AND(K121&lt;'ECL Calculation'!$B$1,'Input Sheet'!W121="No"),3,IF(X121="Yes",2,1))</f>
        <v>2</v>
      </c>
      <c r="BE121" s="37">
        <f t="shared" si="40"/>
        <v>3</v>
      </c>
      <c r="BF121" s="37" t="str">
        <f t="shared" si="41"/>
        <v>Stage 3</v>
      </c>
      <c r="BG121" s="37" t="str">
        <f t="shared" si="42"/>
        <v>Yes</v>
      </c>
    </row>
    <row r="122" spans="1:59" x14ac:dyDescent="0.2">
      <c r="A122" s="35">
        <f t="shared" si="43"/>
        <v>120</v>
      </c>
      <c r="B122" s="33">
        <v>1121</v>
      </c>
      <c r="C122" s="33" t="s">
        <v>368</v>
      </c>
      <c r="D122" s="33" t="s">
        <v>806</v>
      </c>
      <c r="E122" s="33" t="s">
        <v>514</v>
      </c>
      <c r="F122" s="33" t="s">
        <v>542</v>
      </c>
      <c r="G122" s="117">
        <v>3</v>
      </c>
      <c r="H122" s="34">
        <v>36989</v>
      </c>
      <c r="I122" s="34">
        <v>37522</v>
      </c>
      <c r="J122" s="34">
        <v>37522</v>
      </c>
      <c r="K122" s="34">
        <v>45960</v>
      </c>
      <c r="L122" s="34">
        <v>39020</v>
      </c>
      <c r="M122" s="34">
        <v>37011</v>
      </c>
      <c r="N122" s="113">
        <v>8</v>
      </c>
      <c r="O122" s="200">
        <v>12970675.76</v>
      </c>
      <c r="P122" s="200">
        <v>12970675.76</v>
      </c>
      <c r="Q122" s="200">
        <v>9946675.7599999998</v>
      </c>
      <c r="R122" s="201">
        <v>3237299.94</v>
      </c>
      <c r="S122" s="33" t="s">
        <v>22</v>
      </c>
      <c r="T122" s="33" t="s">
        <v>22</v>
      </c>
      <c r="U122" s="33" t="s">
        <v>203</v>
      </c>
      <c r="V122" s="33"/>
      <c r="W122" s="33" t="s">
        <v>210</v>
      </c>
      <c r="X122" s="33" t="s">
        <v>209</v>
      </c>
      <c r="Y122" s="33"/>
      <c r="Z122" s="33" t="s">
        <v>209</v>
      </c>
      <c r="AA122" s="35" t="str">
        <f>_xlfn.IFNA(VLOOKUP(E122,'Lookup Table'!$J$33:$K$176,2,0),"B3")</f>
        <v>B3</v>
      </c>
      <c r="AB122" s="35">
        <f>_xlfn.IFNA(VLOOKUP($AA122,'Rating Lookup'!$B$2:$I$27,8,0),15)</f>
        <v>16</v>
      </c>
      <c r="AC122" s="35" t="str">
        <f>_xlfn.IFNA(VLOOKUP(E122,'Lookup Table'!$M$33:$N$173,2,0),"B3")</f>
        <v>B3</v>
      </c>
      <c r="AD122" s="35">
        <f>_xlfn.IFNA(VLOOKUP($AC122,'Rating Lookup'!$B$2:$I$27,8,0),15)</f>
        <v>16</v>
      </c>
      <c r="AE122" s="35">
        <f t="shared" si="24"/>
        <v>0</v>
      </c>
      <c r="AG122" s="35" t="str">
        <f t="shared" si="25"/>
        <v>ADDITIONAL LOAN</v>
      </c>
      <c r="AH122" s="35" t="str">
        <f t="shared" si="26"/>
        <v>Government Loan</v>
      </c>
      <c r="AI122" s="202">
        <f>'ECL Calculation'!$B$1</f>
        <v>43465</v>
      </c>
      <c r="AJ122" s="202">
        <f t="shared" si="27"/>
        <v>39020</v>
      </c>
      <c r="AK122" s="202">
        <f t="shared" si="28"/>
        <v>37011</v>
      </c>
      <c r="AL122" s="127">
        <f t="shared" si="29"/>
        <v>8</v>
      </c>
      <c r="AM122" s="192">
        <f>IF(AND(IF(ISBLANK(K122),EOMONTH(AJ122,AL122*12),K122)&lt;'ECL Calculation'!$B$1,SUM('Input Sheet'!Q122,'Input Sheet'!R122)&gt;0),EOMONTH('ECL Calculation'!$B$1,12*5),IF(ISBLANK(K122),EOMONTH(AJ122,AL122*12),K122))</f>
        <v>45960</v>
      </c>
      <c r="AN122" s="203">
        <f t="shared" si="30"/>
        <v>12970675.76</v>
      </c>
      <c r="AO122" s="203">
        <f t="shared" si="31"/>
        <v>12970675.76</v>
      </c>
      <c r="AP122" s="203">
        <f t="shared" si="32"/>
        <v>0</v>
      </c>
      <c r="AQ122" s="126">
        <f>VLOOKUP(U122,'Lookup Table'!$B$2:$C$10,2,0)</f>
        <v>1</v>
      </c>
      <c r="AR122" s="127">
        <f>VLOOKUP(S122,'Lookup Table'!$B$2:$C$9,2,0)</f>
        <v>2</v>
      </c>
      <c r="AS122" s="127">
        <f>VLOOKUP(T122,'Lookup Table'!$B$2:$C$9,2,0)</f>
        <v>2</v>
      </c>
      <c r="AT122" s="136">
        <f t="shared" si="33"/>
        <v>9946675.7599999998</v>
      </c>
      <c r="AU122" s="128">
        <f t="shared" si="34"/>
        <v>0.03</v>
      </c>
      <c r="AV122" s="136">
        <f t="shared" si="35"/>
        <v>3237299.94</v>
      </c>
      <c r="AW122" s="37" t="str">
        <f t="shared" si="36"/>
        <v>B3</v>
      </c>
      <c r="AX122" s="128">
        <f>VLOOKUP(E122,'Lookup Table'!$B$12:$C$82,2,0)</f>
        <v>2.5000000000000001E-2</v>
      </c>
      <c r="AY122" s="128">
        <f>'Lookup Table'!$E$3</f>
        <v>0.45</v>
      </c>
      <c r="AZ122" s="129" t="str">
        <f t="shared" si="37"/>
        <v>Eritrea</v>
      </c>
      <c r="BA122" s="37">
        <f>VLOOKUP(AA122,'Lookup Table'!$J$3:$K$27,2,0)</f>
        <v>1</v>
      </c>
      <c r="BB122" s="37">
        <f t="shared" si="38"/>
        <v>1</v>
      </c>
      <c r="BC122" s="37">
        <f t="shared" si="39"/>
        <v>1</v>
      </c>
      <c r="BD122" s="37">
        <f>IF(AND(K122&lt;'ECL Calculation'!$B$1,'Input Sheet'!W122="No"),3,IF(X122="Yes",2,1))</f>
        <v>2</v>
      </c>
      <c r="BE122" s="37">
        <f t="shared" si="40"/>
        <v>1</v>
      </c>
      <c r="BF122" s="37" t="str">
        <f t="shared" si="41"/>
        <v>Stage 2</v>
      </c>
      <c r="BG122" s="37" t="str">
        <f t="shared" si="42"/>
        <v>Yes</v>
      </c>
    </row>
    <row r="123" spans="1:59" x14ac:dyDescent="0.2">
      <c r="A123" s="35">
        <f t="shared" si="43"/>
        <v>121</v>
      </c>
      <c r="B123" s="33">
        <v>1122</v>
      </c>
      <c r="C123" s="33" t="s">
        <v>369</v>
      </c>
      <c r="D123" s="33" t="s">
        <v>806</v>
      </c>
      <c r="E123" s="33" t="s">
        <v>517</v>
      </c>
      <c r="F123" s="33" t="s">
        <v>542</v>
      </c>
      <c r="G123" s="117">
        <v>3.5</v>
      </c>
      <c r="H123" s="34">
        <v>37009</v>
      </c>
      <c r="I123" s="34">
        <v>37226</v>
      </c>
      <c r="J123" s="34">
        <v>37226</v>
      </c>
      <c r="K123" s="34">
        <v>44316</v>
      </c>
      <c r="L123" s="34">
        <v>39020</v>
      </c>
      <c r="M123" s="34">
        <v>37194</v>
      </c>
      <c r="N123" s="113">
        <v>15</v>
      </c>
      <c r="O123" s="200">
        <v>66334600.549999997</v>
      </c>
      <c r="P123" s="200">
        <v>66334600.549999997</v>
      </c>
      <c r="Q123" s="200">
        <v>10795600.550000001</v>
      </c>
      <c r="R123" s="201">
        <v>62764.76</v>
      </c>
      <c r="S123" s="33" t="s">
        <v>22</v>
      </c>
      <c r="T123" s="33" t="s">
        <v>22</v>
      </c>
      <c r="U123" s="33" t="s">
        <v>203</v>
      </c>
      <c r="V123" s="33"/>
      <c r="W123" s="33" t="s">
        <v>210</v>
      </c>
      <c r="X123" s="33" t="s">
        <v>210</v>
      </c>
      <c r="Y123" s="33"/>
      <c r="Z123" s="33" t="s">
        <v>209</v>
      </c>
      <c r="AA123" s="35" t="str">
        <f>_xlfn.IFNA(VLOOKUP(E123,'Lookup Table'!$J$33:$K$176,2,0),"B3")</f>
        <v>Baa3</v>
      </c>
      <c r="AB123" s="35">
        <f>_xlfn.IFNA(VLOOKUP($AA123,'Rating Lookup'!$B$2:$I$27,8,0),15)</f>
        <v>10</v>
      </c>
      <c r="AC123" s="35" t="str">
        <f>_xlfn.IFNA(VLOOKUP(E123,'Lookup Table'!$M$33:$N$173,2,0),"B3")</f>
        <v>Baa2</v>
      </c>
      <c r="AD123" s="35">
        <f>_xlfn.IFNA(VLOOKUP($AC123,'Rating Lookup'!$B$2:$I$27,8,0),15)</f>
        <v>9</v>
      </c>
      <c r="AE123" s="35">
        <f t="shared" si="24"/>
        <v>1</v>
      </c>
      <c r="AG123" s="35" t="str">
        <f t="shared" si="25"/>
        <v>CONSTRUCTION OF KARAGANDA - ASTANA ROAD</v>
      </c>
      <c r="AH123" s="35" t="str">
        <f t="shared" si="26"/>
        <v>Government Loan</v>
      </c>
      <c r="AI123" s="202">
        <f>'ECL Calculation'!$B$1</f>
        <v>43465</v>
      </c>
      <c r="AJ123" s="202">
        <f t="shared" si="27"/>
        <v>39020</v>
      </c>
      <c r="AK123" s="202">
        <f t="shared" si="28"/>
        <v>37194</v>
      </c>
      <c r="AL123" s="127">
        <f t="shared" si="29"/>
        <v>15</v>
      </c>
      <c r="AM123" s="192">
        <f>IF(AND(IF(ISBLANK(K123),EOMONTH(AJ123,AL123*12),K123)&lt;'ECL Calculation'!$B$1,SUM('Input Sheet'!Q123,'Input Sheet'!R123)&gt;0),EOMONTH('ECL Calculation'!$B$1,12*5),IF(ISBLANK(K123),EOMONTH(AJ123,AL123*12),K123))</f>
        <v>44316</v>
      </c>
      <c r="AN123" s="203">
        <f t="shared" si="30"/>
        <v>66334600.549999997</v>
      </c>
      <c r="AO123" s="203">
        <f t="shared" si="31"/>
        <v>66334600.549999997</v>
      </c>
      <c r="AP123" s="203">
        <f t="shared" si="32"/>
        <v>0</v>
      </c>
      <c r="AQ123" s="126">
        <f>VLOOKUP(U123,'Lookup Table'!$B$2:$C$10,2,0)</f>
        <v>1</v>
      </c>
      <c r="AR123" s="127">
        <f>VLOOKUP(S123,'Lookup Table'!$B$2:$C$9,2,0)</f>
        <v>2</v>
      </c>
      <c r="AS123" s="127">
        <f>VLOOKUP(T123,'Lookup Table'!$B$2:$C$9,2,0)</f>
        <v>2</v>
      </c>
      <c r="AT123" s="136">
        <f t="shared" si="33"/>
        <v>10795600.550000001</v>
      </c>
      <c r="AU123" s="128">
        <f t="shared" si="34"/>
        <v>3.5000000000000003E-2</v>
      </c>
      <c r="AV123" s="136">
        <f t="shared" si="35"/>
        <v>62764.76</v>
      </c>
      <c r="AW123" s="37" t="str">
        <f t="shared" si="36"/>
        <v>Baa3</v>
      </c>
      <c r="AX123" s="128">
        <f>VLOOKUP(E123,'Lookup Table'!$B$12:$C$82,2,0)</f>
        <v>3.5000000000000003E-2</v>
      </c>
      <c r="AY123" s="128">
        <f>'Lookup Table'!$E$3</f>
        <v>0.45</v>
      </c>
      <c r="AZ123" s="129" t="str">
        <f t="shared" si="37"/>
        <v>Kazakhstan</v>
      </c>
      <c r="BA123" s="37">
        <f>VLOOKUP(AA123,'Lookup Table'!$J$3:$K$27,2,0)</f>
        <v>1</v>
      </c>
      <c r="BB123" s="37">
        <f t="shared" si="38"/>
        <v>1</v>
      </c>
      <c r="BC123" s="37">
        <f t="shared" si="39"/>
        <v>1</v>
      </c>
      <c r="BD123" s="37">
        <f>IF(AND(K123&lt;'ECL Calculation'!$B$1,'Input Sheet'!W123="No"),3,IF(X123="Yes",2,1))</f>
        <v>1</v>
      </c>
      <c r="BE123" s="37">
        <f t="shared" si="40"/>
        <v>1</v>
      </c>
      <c r="BF123" s="37" t="str">
        <f t="shared" si="41"/>
        <v>Stage 1</v>
      </c>
      <c r="BG123" s="37" t="str">
        <f t="shared" si="42"/>
        <v>Yes</v>
      </c>
    </row>
    <row r="124" spans="1:59" x14ac:dyDescent="0.2">
      <c r="A124" s="35">
        <f t="shared" si="43"/>
        <v>122</v>
      </c>
      <c r="B124" s="33">
        <v>1123</v>
      </c>
      <c r="C124" s="33" t="s">
        <v>370</v>
      </c>
      <c r="D124" s="33" t="s">
        <v>806</v>
      </c>
      <c r="E124" s="33" t="s">
        <v>480</v>
      </c>
      <c r="F124" s="33" t="s">
        <v>542</v>
      </c>
      <c r="G124" s="117">
        <v>3</v>
      </c>
      <c r="H124" s="34">
        <v>37076</v>
      </c>
      <c r="I124" s="34">
        <v>37172</v>
      </c>
      <c r="J124" s="34">
        <v>37172</v>
      </c>
      <c r="K124" s="34">
        <v>44499</v>
      </c>
      <c r="L124" s="34">
        <v>39202</v>
      </c>
      <c r="M124" s="34">
        <v>37194</v>
      </c>
      <c r="N124" s="113">
        <v>15</v>
      </c>
      <c r="O124" s="200">
        <v>216720828.24000001</v>
      </c>
      <c r="P124" s="200">
        <v>216720828.24000001</v>
      </c>
      <c r="Q124" s="200">
        <v>40416828.240000002</v>
      </c>
      <c r="R124" s="201">
        <v>217388.3</v>
      </c>
      <c r="S124" s="33" t="s">
        <v>22</v>
      </c>
      <c r="T124" s="33" t="s">
        <v>22</v>
      </c>
      <c r="U124" s="33" t="s">
        <v>203</v>
      </c>
      <c r="V124" s="33"/>
      <c r="W124" s="33" t="s">
        <v>210</v>
      </c>
      <c r="X124" s="33" t="s">
        <v>210</v>
      </c>
      <c r="Y124" s="33"/>
      <c r="Z124" s="33" t="s">
        <v>209</v>
      </c>
      <c r="AA124" s="35" t="str">
        <f>_xlfn.IFNA(VLOOKUP(E124,'Lookup Table'!$J$33:$K$176,2,0),"B3")</f>
        <v>Ba1</v>
      </c>
      <c r="AB124" s="35">
        <f>_xlfn.IFNA(VLOOKUP($AA124,'Rating Lookup'!$B$2:$I$27,8,0),15)</f>
        <v>11</v>
      </c>
      <c r="AC124" s="35" t="str">
        <f>_xlfn.IFNA(VLOOKUP(E124,'Lookup Table'!$M$33:$N$173,2,0),"B3")</f>
        <v>Ba1</v>
      </c>
      <c r="AD124" s="35">
        <f>_xlfn.IFNA(VLOOKUP($AC124,'Rating Lookup'!$B$2:$I$27,8,0),15)</f>
        <v>11</v>
      </c>
      <c r="AE124" s="35">
        <f t="shared" si="24"/>
        <v>0</v>
      </c>
      <c r="AG124" s="35" t="str">
        <f t="shared" si="25"/>
        <v>MEDITERRANEAN CYCLE ROAD</v>
      </c>
      <c r="AH124" s="35" t="str">
        <f t="shared" si="26"/>
        <v>Government Loan</v>
      </c>
      <c r="AI124" s="202">
        <f>'ECL Calculation'!$B$1</f>
        <v>43465</v>
      </c>
      <c r="AJ124" s="202">
        <f t="shared" si="27"/>
        <v>39202</v>
      </c>
      <c r="AK124" s="202">
        <f t="shared" si="28"/>
        <v>37194</v>
      </c>
      <c r="AL124" s="127">
        <f t="shared" si="29"/>
        <v>15</v>
      </c>
      <c r="AM124" s="192">
        <f>IF(AND(IF(ISBLANK(K124),EOMONTH(AJ124,AL124*12),K124)&lt;'ECL Calculation'!$B$1,SUM('Input Sheet'!Q124,'Input Sheet'!R124)&gt;0),EOMONTH('ECL Calculation'!$B$1,12*5),IF(ISBLANK(K124),EOMONTH(AJ124,AL124*12),K124))</f>
        <v>44499</v>
      </c>
      <c r="AN124" s="203">
        <f t="shared" si="30"/>
        <v>216720828.24000001</v>
      </c>
      <c r="AO124" s="203">
        <f t="shared" si="31"/>
        <v>216720828.24000001</v>
      </c>
      <c r="AP124" s="203">
        <f t="shared" si="32"/>
        <v>0</v>
      </c>
      <c r="AQ124" s="126">
        <f>VLOOKUP(U124,'Lookup Table'!$B$2:$C$10,2,0)</f>
        <v>1</v>
      </c>
      <c r="AR124" s="127">
        <f>VLOOKUP(S124,'Lookup Table'!$B$2:$C$9,2,0)</f>
        <v>2</v>
      </c>
      <c r="AS124" s="127">
        <f>VLOOKUP(T124,'Lookup Table'!$B$2:$C$9,2,0)</f>
        <v>2</v>
      </c>
      <c r="AT124" s="136">
        <f t="shared" si="33"/>
        <v>40416828.240000002</v>
      </c>
      <c r="AU124" s="128">
        <f t="shared" si="34"/>
        <v>0.03</v>
      </c>
      <c r="AV124" s="136">
        <f t="shared" si="35"/>
        <v>217388.3</v>
      </c>
      <c r="AW124" s="37" t="str">
        <f t="shared" si="36"/>
        <v>Ba1</v>
      </c>
      <c r="AX124" s="128">
        <f>VLOOKUP(E124,'Lookup Table'!$B$12:$C$82,2,0)</f>
        <v>3.1662499999999996E-2</v>
      </c>
      <c r="AY124" s="128">
        <f>'Lookup Table'!$E$3</f>
        <v>0.45</v>
      </c>
      <c r="AZ124" s="129" t="str">
        <f t="shared" si="37"/>
        <v>Morocco</v>
      </c>
      <c r="BA124" s="37">
        <f>VLOOKUP(AA124,'Lookup Table'!$J$3:$K$27,2,0)</f>
        <v>1</v>
      </c>
      <c r="BB124" s="37">
        <f t="shared" si="38"/>
        <v>1</v>
      </c>
      <c r="BC124" s="37">
        <f t="shared" si="39"/>
        <v>1</v>
      </c>
      <c r="BD124" s="37">
        <f>IF(AND(K124&lt;'ECL Calculation'!$B$1,'Input Sheet'!W124="No"),3,IF(X124="Yes",2,1))</f>
        <v>1</v>
      </c>
      <c r="BE124" s="37">
        <f t="shared" si="40"/>
        <v>1</v>
      </c>
      <c r="BF124" s="37" t="str">
        <f t="shared" si="41"/>
        <v>Stage 1</v>
      </c>
      <c r="BG124" s="37" t="str">
        <f t="shared" si="42"/>
        <v>Yes</v>
      </c>
    </row>
    <row r="125" spans="1:59" x14ac:dyDescent="0.2">
      <c r="A125" s="35">
        <f t="shared" si="43"/>
        <v>123</v>
      </c>
      <c r="B125" s="33">
        <v>1124</v>
      </c>
      <c r="C125" s="33" t="s">
        <v>371</v>
      </c>
      <c r="D125" s="33" t="s">
        <v>806</v>
      </c>
      <c r="E125" s="33" t="s">
        <v>484</v>
      </c>
      <c r="F125" s="33" t="s">
        <v>542</v>
      </c>
      <c r="G125" s="117">
        <v>2</v>
      </c>
      <c r="H125" s="34">
        <v>37234</v>
      </c>
      <c r="I125" s="34">
        <v>37286</v>
      </c>
      <c r="J125" s="34">
        <v>37286</v>
      </c>
      <c r="K125" s="34">
        <v>44499</v>
      </c>
      <c r="L125" s="34">
        <v>39202</v>
      </c>
      <c r="M125" s="34">
        <v>37376</v>
      </c>
      <c r="N125" s="113">
        <v>15</v>
      </c>
      <c r="O125" s="200">
        <v>51421998.68</v>
      </c>
      <c r="P125" s="200">
        <v>51421998.68</v>
      </c>
      <c r="Q125" s="200">
        <v>32556998.68</v>
      </c>
      <c r="R125" s="201">
        <v>4352080.18</v>
      </c>
      <c r="S125" s="33" t="s">
        <v>22</v>
      </c>
      <c r="T125" s="33" t="s">
        <v>22</v>
      </c>
      <c r="U125" s="33" t="s">
        <v>203</v>
      </c>
      <c r="V125" s="33"/>
      <c r="W125" s="33" t="s">
        <v>210</v>
      </c>
      <c r="X125" s="33" t="s">
        <v>209</v>
      </c>
      <c r="Y125" s="239" t="s">
        <v>209</v>
      </c>
      <c r="Z125" s="33" t="s">
        <v>209</v>
      </c>
      <c r="AA125" s="35" t="str">
        <f>_xlfn.IFNA(VLOOKUP(E125,'Lookup Table'!$J$33:$K$176,2,0),"B3")</f>
        <v>Ca-C</v>
      </c>
      <c r="AB125" s="35">
        <f>_xlfn.IFNA(VLOOKUP($AA125,'Rating Lookup'!$B$2:$I$27,8,0),15)</f>
        <v>15</v>
      </c>
      <c r="AC125" s="35" t="str">
        <f>_xlfn.IFNA(VLOOKUP(E125,'Lookup Table'!$M$33:$N$173,2,0),"B3")</f>
        <v>Ca-C</v>
      </c>
      <c r="AD125" s="35">
        <f>_xlfn.IFNA(VLOOKUP($AC125,'Rating Lookup'!$B$2:$I$27,8,0),15)</f>
        <v>15</v>
      </c>
      <c r="AE125" s="35">
        <f t="shared" si="24"/>
        <v>0</v>
      </c>
      <c r="AG125" s="35" t="str">
        <f t="shared" si="25"/>
        <v>GAS TURBINES FOR ALJELE STATION</v>
      </c>
      <c r="AH125" s="35" t="str">
        <f t="shared" si="26"/>
        <v>Government Loan</v>
      </c>
      <c r="AI125" s="202">
        <f>'ECL Calculation'!$B$1</f>
        <v>43465</v>
      </c>
      <c r="AJ125" s="202">
        <f t="shared" si="27"/>
        <v>39202</v>
      </c>
      <c r="AK125" s="202">
        <f t="shared" si="28"/>
        <v>37376</v>
      </c>
      <c r="AL125" s="127">
        <f t="shared" si="29"/>
        <v>15</v>
      </c>
      <c r="AM125" s="192">
        <f>IF(AND(IF(ISBLANK(K125),EOMONTH(AJ125,AL125*12),K125)&lt;'ECL Calculation'!$B$1,SUM('Input Sheet'!Q125,'Input Sheet'!R125)&gt;0),EOMONTH('ECL Calculation'!$B$1,12*5),IF(ISBLANK(K125),EOMONTH(AJ125,AL125*12),K125))</f>
        <v>44499</v>
      </c>
      <c r="AN125" s="203">
        <f t="shared" si="30"/>
        <v>51421998.68</v>
      </c>
      <c r="AO125" s="203">
        <f t="shared" si="31"/>
        <v>51421998.68</v>
      </c>
      <c r="AP125" s="203">
        <f t="shared" si="32"/>
        <v>0</v>
      </c>
      <c r="AQ125" s="126">
        <f>VLOOKUP(U125,'Lookup Table'!$B$2:$C$10,2,0)</f>
        <v>1</v>
      </c>
      <c r="AR125" s="127">
        <f>VLOOKUP(S125,'Lookup Table'!$B$2:$C$9,2,0)</f>
        <v>2</v>
      </c>
      <c r="AS125" s="127">
        <f>VLOOKUP(T125,'Lookup Table'!$B$2:$C$9,2,0)</f>
        <v>2</v>
      </c>
      <c r="AT125" s="136">
        <f t="shared" si="33"/>
        <v>32556998.68</v>
      </c>
      <c r="AU125" s="128">
        <f t="shared" si="34"/>
        <v>0.02</v>
      </c>
      <c r="AV125" s="136">
        <f t="shared" si="35"/>
        <v>4352080.18</v>
      </c>
      <c r="AW125" s="37" t="str">
        <f t="shared" si="36"/>
        <v>Ca-C</v>
      </c>
      <c r="AX125" s="128">
        <f>VLOOKUP(E125,'Lookup Table'!$B$12:$C$82,2,0)</f>
        <v>2.9249999999999998E-2</v>
      </c>
      <c r="AY125" s="128">
        <f>'Lookup Table'!$E$3</f>
        <v>0.45</v>
      </c>
      <c r="AZ125" s="129" t="str">
        <f t="shared" si="37"/>
        <v>Sudan</v>
      </c>
      <c r="BA125" s="37">
        <f>VLOOKUP(AA125,'Lookup Table'!$J$3:$K$27,2,0)</f>
        <v>1</v>
      </c>
      <c r="BB125" s="37">
        <f t="shared" si="38"/>
        <v>1</v>
      </c>
      <c r="BC125" s="37">
        <f t="shared" si="39"/>
        <v>1</v>
      </c>
      <c r="BD125" s="37">
        <f>IF(AND(K125&lt;'ECL Calculation'!$B$1,'Input Sheet'!W125="No"),3,IF(X125="Yes",2,1))</f>
        <v>2</v>
      </c>
      <c r="BE125" s="37">
        <f t="shared" si="40"/>
        <v>3</v>
      </c>
      <c r="BF125" s="37" t="str">
        <f t="shared" si="41"/>
        <v>Stage 3</v>
      </c>
      <c r="BG125" s="37" t="str">
        <f t="shared" si="42"/>
        <v>Yes</v>
      </c>
    </row>
    <row r="126" spans="1:59" x14ac:dyDescent="0.2">
      <c r="A126" s="35">
        <f t="shared" si="43"/>
        <v>124</v>
      </c>
      <c r="B126" s="33">
        <v>1131</v>
      </c>
      <c r="C126" s="33" t="s">
        <v>372</v>
      </c>
      <c r="D126" s="33" t="s">
        <v>806</v>
      </c>
      <c r="E126" s="33" t="s">
        <v>479</v>
      </c>
      <c r="F126" s="33" t="s">
        <v>542</v>
      </c>
      <c r="G126" s="117">
        <v>3</v>
      </c>
      <c r="H126" s="34">
        <v>37324</v>
      </c>
      <c r="I126" s="34">
        <v>37787</v>
      </c>
      <c r="J126" s="34">
        <v>37787</v>
      </c>
      <c r="K126" s="34">
        <v>44499</v>
      </c>
      <c r="L126" s="34">
        <v>39202</v>
      </c>
      <c r="M126" s="34">
        <v>37376</v>
      </c>
      <c r="N126" s="113">
        <v>15</v>
      </c>
      <c r="O126" s="200">
        <v>91825000</v>
      </c>
      <c r="P126" s="200">
        <v>62325547.75</v>
      </c>
      <c r="Q126" s="200">
        <v>982238.81</v>
      </c>
      <c r="R126" s="201">
        <v>3841.56</v>
      </c>
      <c r="S126" s="33" t="s">
        <v>22</v>
      </c>
      <c r="T126" s="33" t="s">
        <v>22</v>
      </c>
      <c r="U126" s="33" t="s">
        <v>204</v>
      </c>
      <c r="V126" s="33"/>
      <c r="W126" s="33" t="s">
        <v>210</v>
      </c>
      <c r="X126" s="33" t="s">
        <v>210</v>
      </c>
      <c r="Y126" s="33"/>
      <c r="Z126" s="33" t="s">
        <v>209</v>
      </c>
      <c r="AA126" s="35" t="str">
        <f>_xlfn.IFNA(VLOOKUP(E126,'Lookup Table'!$J$33:$K$176,2,0),"B3")</f>
        <v>B2</v>
      </c>
      <c r="AB126" s="35">
        <f>_xlfn.IFNA(VLOOKUP($AA126,'Rating Lookup'!$B$2:$I$27,8,0),15)</f>
        <v>15</v>
      </c>
      <c r="AC126" s="35" t="str">
        <f>_xlfn.IFNA(VLOOKUP(E126,'Lookup Table'!$M$33:$N$173,2,0),"B3")</f>
        <v>Baa3</v>
      </c>
      <c r="AD126" s="35">
        <f>_xlfn.IFNA(VLOOKUP($AC126,'Rating Lookup'!$B$2:$I$27,8,0),15)</f>
        <v>10</v>
      </c>
      <c r="AE126" s="35">
        <f t="shared" si="24"/>
        <v>5</v>
      </c>
      <c r="AG126" s="35" t="str">
        <f t="shared" si="25"/>
        <v>CONSTRUCTION OF 20 DAMS</v>
      </c>
      <c r="AH126" s="35" t="str">
        <f t="shared" si="26"/>
        <v>Government Loan</v>
      </c>
      <c r="AI126" s="202">
        <f>'ECL Calculation'!$B$1</f>
        <v>43465</v>
      </c>
      <c r="AJ126" s="202">
        <f t="shared" si="27"/>
        <v>39202</v>
      </c>
      <c r="AK126" s="202">
        <f t="shared" si="28"/>
        <v>37376</v>
      </c>
      <c r="AL126" s="127">
        <f t="shared" si="29"/>
        <v>15</v>
      </c>
      <c r="AM126" s="192">
        <f>IF(AND(IF(ISBLANK(K126),EOMONTH(AJ126,AL126*12),K126)&lt;'ECL Calculation'!$B$1,SUM('Input Sheet'!Q126,'Input Sheet'!R126)&gt;0),EOMONTH('ECL Calculation'!$B$1,12*5),IF(ISBLANK(K126),EOMONTH(AJ126,AL126*12),K126))</f>
        <v>44499</v>
      </c>
      <c r="AN126" s="203">
        <f t="shared" si="30"/>
        <v>91825000</v>
      </c>
      <c r="AO126" s="203">
        <f t="shared" si="31"/>
        <v>62325547.75</v>
      </c>
      <c r="AP126" s="203">
        <f t="shared" si="32"/>
        <v>29499452.25</v>
      </c>
      <c r="AQ126" s="126">
        <f>VLOOKUP(U126,'Lookup Table'!$B$2:$C$10,2,0)</f>
        <v>4</v>
      </c>
      <c r="AR126" s="127">
        <f>VLOOKUP(S126,'Lookup Table'!$B$2:$C$9,2,0)</f>
        <v>2</v>
      </c>
      <c r="AS126" s="127">
        <f>VLOOKUP(T126,'Lookup Table'!$B$2:$C$9,2,0)</f>
        <v>2</v>
      </c>
      <c r="AT126" s="136">
        <f t="shared" si="33"/>
        <v>982238.81</v>
      </c>
      <c r="AU126" s="128">
        <f t="shared" si="34"/>
        <v>0.03</v>
      </c>
      <c r="AV126" s="136">
        <f t="shared" si="35"/>
        <v>3841.56</v>
      </c>
      <c r="AW126" s="37" t="str">
        <f t="shared" si="36"/>
        <v>B2</v>
      </c>
      <c r="AX126" s="128">
        <f>VLOOKUP(E126,'Lookup Table'!$B$12:$C$82,2,0)</f>
        <v>4.5999999999999999E-2</v>
      </c>
      <c r="AY126" s="128">
        <f>'Lookup Table'!$E$3</f>
        <v>0.45</v>
      </c>
      <c r="AZ126" s="129" t="str">
        <f t="shared" si="37"/>
        <v>Tunisia</v>
      </c>
      <c r="BA126" s="37">
        <f>VLOOKUP(AA126,'Lookup Table'!$J$3:$K$27,2,0)</f>
        <v>1</v>
      </c>
      <c r="BB126" s="37">
        <f t="shared" si="38"/>
        <v>2</v>
      </c>
      <c r="BC126" s="37">
        <f t="shared" si="39"/>
        <v>1</v>
      </c>
      <c r="BD126" s="37">
        <f>IF(AND(K126&lt;'ECL Calculation'!$B$1,'Input Sheet'!W126="No"),3,IF(X126="Yes",2,1))</f>
        <v>1</v>
      </c>
      <c r="BE126" s="37">
        <f t="shared" si="40"/>
        <v>1</v>
      </c>
      <c r="BF126" s="37" t="str">
        <f t="shared" si="41"/>
        <v>Stage 2</v>
      </c>
      <c r="BG126" s="37" t="str">
        <f t="shared" si="42"/>
        <v>Yes</v>
      </c>
    </row>
    <row r="127" spans="1:59" x14ac:dyDescent="0.2">
      <c r="A127" s="35">
        <f t="shared" si="43"/>
        <v>125</v>
      </c>
      <c r="B127" s="33">
        <v>1132</v>
      </c>
      <c r="C127" s="33" t="s">
        <v>373</v>
      </c>
      <c r="D127" s="33" t="s">
        <v>806</v>
      </c>
      <c r="E127" s="33" t="s">
        <v>513</v>
      </c>
      <c r="F127" s="33" t="s">
        <v>542</v>
      </c>
      <c r="G127" s="117">
        <v>3</v>
      </c>
      <c r="H127" s="34">
        <v>37334</v>
      </c>
      <c r="I127" s="34">
        <v>37419</v>
      </c>
      <c r="J127" s="34">
        <v>37419</v>
      </c>
      <c r="K127" s="34">
        <v>44499</v>
      </c>
      <c r="L127" s="34">
        <v>39202</v>
      </c>
      <c r="M127" s="34">
        <v>37376</v>
      </c>
      <c r="N127" s="113">
        <v>13</v>
      </c>
      <c r="O127" s="200">
        <v>272856305.56</v>
      </c>
      <c r="P127" s="200">
        <v>272856305.56</v>
      </c>
      <c r="Q127" s="200">
        <v>9346305.5600000005</v>
      </c>
      <c r="R127" s="201">
        <v>46342.89</v>
      </c>
      <c r="S127" s="33" t="s">
        <v>22</v>
      </c>
      <c r="T127" s="33" t="s">
        <v>22</v>
      </c>
      <c r="U127" s="33" t="s">
        <v>203</v>
      </c>
      <c r="V127" s="33"/>
      <c r="W127" s="33" t="s">
        <v>210</v>
      </c>
      <c r="X127" s="33" t="s">
        <v>210</v>
      </c>
      <c r="Y127" s="33"/>
      <c r="Z127" s="33" t="s">
        <v>209</v>
      </c>
      <c r="AA127" s="35" t="str">
        <f>_xlfn.IFNA(VLOOKUP(E127,'Lookup Table'!$J$33:$K$176,2,0),"B3")</f>
        <v>B3</v>
      </c>
      <c r="AB127" s="35">
        <f>_xlfn.IFNA(VLOOKUP($AA127,'Rating Lookup'!$B$2:$I$27,8,0),15)</f>
        <v>16</v>
      </c>
      <c r="AC127" s="35" t="str">
        <f>_xlfn.IFNA(VLOOKUP(E127,'Lookup Table'!$M$33:$N$173,2,0),"B3")</f>
        <v>B3</v>
      </c>
      <c r="AD127" s="35">
        <f>_xlfn.IFNA(VLOOKUP($AC127,'Rating Lookup'!$B$2:$I$27,8,0),15)</f>
        <v>16</v>
      </c>
      <c r="AE127" s="35">
        <f t="shared" si="24"/>
        <v>0</v>
      </c>
      <c r="AG127" s="35" t="str">
        <f t="shared" si="25"/>
        <v>SOCIAL HOUSING (2)</v>
      </c>
      <c r="AH127" s="35" t="str">
        <f t="shared" si="26"/>
        <v>Government Loan</v>
      </c>
      <c r="AI127" s="202">
        <f>'ECL Calculation'!$B$1</f>
        <v>43465</v>
      </c>
      <c r="AJ127" s="202">
        <f t="shared" si="27"/>
        <v>39202</v>
      </c>
      <c r="AK127" s="202">
        <f t="shared" si="28"/>
        <v>37376</v>
      </c>
      <c r="AL127" s="127">
        <f t="shared" si="29"/>
        <v>13</v>
      </c>
      <c r="AM127" s="192">
        <f>IF(AND(IF(ISBLANK(K127),EOMONTH(AJ127,AL127*12),K127)&lt;'ECL Calculation'!$B$1,SUM('Input Sheet'!Q127,'Input Sheet'!R127)&gt;0),EOMONTH('ECL Calculation'!$B$1,12*5),IF(ISBLANK(K127),EOMONTH(AJ127,AL127*12),K127))</f>
        <v>44499</v>
      </c>
      <c r="AN127" s="203">
        <f t="shared" si="30"/>
        <v>272856305.56</v>
      </c>
      <c r="AO127" s="203">
        <f t="shared" si="31"/>
        <v>272856305.56</v>
      </c>
      <c r="AP127" s="203">
        <f t="shared" si="32"/>
        <v>0</v>
      </c>
      <c r="AQ127" s="126">
        <f>VLOOKUP(U127,'Lookup Table'!$B$2:$C$10,2,0)</f>
        <v>1</v>
      </c>
      <c r="AR127" s="127">
        <f>VLOOKUP(S127,'Lookup Table'!$B$2:$C$9,2,0)</f>
        <v>2</v>
      </c>
      <c r="AS127" s="127">
        <f>VLOOKUP(T127,'Lookup Table'!$B$2:$C$9,2,0)</f>
        <v>2</v>
      </c>
      <c r="AT127" s="136">
        <f t="shared" si="33"/>
        <v>9346305.5600000005</v>
      </c>
      <c r="AU127" s="128">
        <f t="shared" si="34"/>
        <v>0.03</v>
      </c>
      <c r="AV127" s="136">
        <f t="shared" si="35"/>
        <v>46342.89</v>
      </c>
      <c r="AW127" s="37" t="str">
        <f t="shared" si="36"/>
        <v>B3</v>
      </c>
      <c r="AX127" s="128">
        <f>VLOOKUP(E127,'Lookup Table'!$B$12:$C$82,2,0)</f>
        <v>3.7499999999999999E-2</v>
      </c>
      <c r="AY127" s="128">
        <f>'Lookup Table'!$E$3</f>
        <v>0.45</v>
      </c>
      <c r="AZ127" s="129" t="str">
        <f t="shared" si="37"/>
        <v>Algeria</v>
      </c>
      <c r="BA127" s="37">
        <f>VLOOKUP(AA127,'Lookup Table'!$J$3:$K$27,2,0)</f>
        <v>1</v>
      </c>
      <c r="BB127" s="37">
        <f t="shared" si="38"/>
        <v>1</v>
      </c>
      <c r="BC127" s="37">
        <f t="shared" si="39"/>
        <v>1</v>
      </c>
      <c r="BD127" s="37">
        <f>IF(AND(K127&lt;'ECL Calculation'!$B$1,'Input Sheet'!W127="No"),3,IF(X127="Yes",2,1))</f>
        <v>1</v>
      </c>
      <c r="BE127" s="37">
        <f t="shared" si="40"/>
        <v>1</v>
      </c>
      <c r="BF127" s="37" t="str">
        <f t="shared" si="41"/>
        <v>Stage 1</v>
      </c>
      <c r="BG127" s="37" t="str">
        <f t="shared" si="42"/>
        <v>Yes</v>
      </c>
    </row>
    <row r="128" spans="1:59" x14ac:dyDescent="0.2">
      <c r="A128" s="35">
        <f t="shared" si="43"/>
        <v>126</v>
      </c>
      <c r="B128" s="33">
        <v>1133</v>
      </c>
      <c r="C128" s="33" t="s">
        <v>374</v>
      </c>
      <c r="D128" s="33" t="s">
        <v>806</v>
      </c>
      <c r="E128" s="33" t="s">
        <v>484</v>
      </c>
      <c r="F128" s="33" t="s">
        <v>542</v>
      </c>
      <c r="G128" s="117">
        <v>2</v>
      </c>
      <c r="H128" s="34">
        <v>37382</v>
      </c>
      <c r="I128" s="34">
        <v>37528</v>
      </c>
      <c r="J128" s="34">
        <v>37528</v>
      </c>
      <c r="K128" s="34">
        <v>44681</v>
      </c>
      <c r="L128" s="34">
        <v>39385</v>
      </c>
      <c r="M128" s="34">
        <v>37559</v>
      </c>
      <c r="N128" s="113">
        <v>15</v>
      </c>
      <c r="O128" s="200">
        <v>367300000</v>
      </c>
      <c r="P128" s="200">
        <v>367300000</v>
      </c>
      <c r="Q128" s="200">
        <v>244870000</v>
      </c>
      <c r="R128" s="201">
        <v>32728922.149999999</v>
      </c>
      <c r="S128" s="33" t="s">
        <v>22</v>
      </c>
      <c r="T128" s="33" t="s">
        <v>22</v>
      </c>
      <c r="U128" s="33" t="s">
        <v>203</v>
      </c>
      <c r="V128" s="33"/>
      <c r="W128" s="33" t="s">
        <v>210</v>
      </c>
      <c r="X128" s="33" t="s">
        <v>209</v>
      </c>
      <c r="Y128" s="239" t="s">
        <v>209</v>
      </c>
      <c r="Z128" s="33" t="s">
        <v>209</v>
      </c>
      <c r="AA128" s="35" t="str">
        <f>_xlfn.IFNA(VLOOKUP(E128,'Lookup Table'!$J$33:$K$176,2,0),"B3")</f>
        <v>Ca-C</v>
      </c>
      <c r="AB128" s="35">
        <f>_xlfn.IFNA(VLOOKUP($AA128,'Rating Lookup'!$B$2:$I$27,8,0),15)</f>
        <v>15</v>
      </c>
      <c r="AC128" s="35" t="str">
        <f>_xlfn.IFNA(VLOOKUP(E128,'Lookup Table'!$M$33:$N$173,2,0),"B3")</f>
        <v>Ca-C</v>
      </c>
      <c r="AD128" s="35">
        <f>_xlfn.IFNA(VLOOKUP($AC128,'Rating Lookup'!$B$2:$I$27,8,0),15)</f>
        <v>15</v>
      </c>
      <c r="AE128" s="35">
        <f t="shared" si="24"/>
        <v>0</v>
      </c>
      <c r="AG128" s="35" t="str">
        <f t="shared" si="25"/>
        <v>MARWI DAM</v>
      </c>
      <c r="AH128" s="35" t="str">
        <f t="shared" si="26"/>
        <v>Government Loan</v>
      </c>
      <c r="AI128" s="202">
        <f>'ECL Calculation'!$B$1</f>
        <v>43465</v>
      </c>
      <c r="AJ128" s="202">
        <f t="shared" si="27"/>
        <v>39385</v>
      </c>
      <c r="AK128" s="202">
        <f t="shared" si="28"/>
        <v>37559</v>
      </c>
      <c r="AL128" s="127">
        <f t="shared" si="29"/>
        <v>15</v>
      </c>
      <c r="AM128" s="192">
        <f>IF(AND(IF(ISBLANK(K128),EOMONTH(AJ128,AL128*12),K128)&lt;'ECL Calculation'!$B$1,SUM('Input Sheet'!Q128,'Input Sheet'!R128)&gt;0),EOMONTH('ECL Calculation'!$B$1,12*5),IF(ISBLANK(K128),EOMONTH(AJ128,AL128*12),K128))</f>
        <v>44681</v>
      </c>
      <c r="AN128" s="203">
        <f t="shared" si="30"/>
        <v>367300000</v>
      </c>
      <c r="AO128" s="203">
        <f t="shared" si="31"/>
        <v>367300000</v>
      </c>
      <c r="AP128" s="203">
        <f t="shared" si="32"/>
        <v>0</v>
      </c>
      <c r="AQ128" s="126">
        <f>VLOOKUP(U128,'Lookup Table'!$B$2:$C$10,2,0)</f>
        <v>1</v>
      </c>
      <c r="AR128" s="127">
        <f>VLOOKUP(S128,'Lookup Table'!$B$2:$C$9,2,0)</f>
        <v>2</v>
      </c>
      <c r="AS128" s="127">
        <f>VLOOKUP(T128,'Lookup Table'!$B$2:$C$9,2,0)</f>
        <v>2</v>
      </c>
      <c r="AT128" s="136">
        <f t="shared" si="33"/>
        <v>244870000</v>
      </c>
      <c r="AU128" s="128">
        <f t="shared" si="34"/>
        <v>0.02</v>
      </c>
      <c r="AV128" s="136">
        <f t="shared" si="35"/>
        <v>32728922.149999999</v>
      </c>
      <c r="AW128" s="37" t="str">
        <f t="shared" si="36"/>
        <v>Ca-C</v>
      </c>
      <c r="AX128" s="128">
        <f>VLOOKUP(E128,'Lookup Table'!$B$12:$C$82,2,0)</f>
        <v>2.9249999999999998E-2</v>
      </c>
      <c r="AY128" s="128">
        <f>'Lookup Table'!$E$3</f>
        <v>0.45</v>
      </c>
      <c r="AZ128" s="129" t="str">
        <f t="shared" si="37"/>
        <v>Sudan</v>
      </c>
      <c r="BA128" s="37">
        <f>VLOOKUP(AA128,'Lookup Table'!$J$3:$K$27,2,0)</f>
        <v>1</v>
      </c>
      <c r="BB128" s="37">
        <f t="shared" si="38"/>
        <v>1</v>
      </c>
      <c r="BC128" s="37">
        <f t="shared" si="39"/>
        <v>1</v>
      </c>
      <c r="BD128" s="37">
        <f>IF(AND(K128&lt;'ECL Calculation'!$B$1,'Input Sheet'!W128="No"),3,IF(X128="Yes",2,1))</f>
        <v>2</v>
      </c>
      <c r="BE128" s="37">
        <f t="shared" si="40"/>
        <v>3</v>
      </c>
      <c r="BF128" s="37" t="str">
        <f t="shared" si="41"/>
        <v>Stage 3</v>
      </c>
      <c r="BG128" s="37" t="str">
        <f t="shared" si="42"/>
        <v>Yes</v>
      </c>
    </row>
    <row r="129" spans="1:59" x14ac:dyDescent="0.2">
      <c r="A129" s="35">
        <f t="shared" si="43"/>
        <v>127</v>
      </c>
      <c r="B129" s="33">
        <v>1134</v>
      </c>
      <c r="C129" s="33" t="s">
        <v>375</v>
      </c>
      <c r="D129" s="33" t="s">
        <v>806</v>
      </c>
      <c r="E129" s="33" t="s">
        <v>480</v>
      </c>
      <c r="F129" s="33" t="s">
        <v>542</v>
      </c>
      <c r="G129" s="117">
        <v>2.5</v>
      </c>
      <c r="H129" s="34">
        <v>37511</v>
      </c>
      <c r="I129" s="34">
        <v>37599</v>
      </c>
      <c r="J129" s="34">
        <v>37599</v>
      </c>
      <c r="K129" s="34">
        <v>43951</v>
      </c>
      <c r="L129" s="34">
        <v>38656</v>
      </c>
      <c r="M129" s="34">
        <v>37741</v>
      </c>
      <c r="N129" s="113">
        <v>15</v>
      </c>
      <c r="O129" s="200">
        <v>734600000</v>
      </c>
      <c r="P129" s="200">
        <v>734600000</v>
      </c>
      <c r="Q129" s="200">
        <v>73458000</v>
      </c>
      <c r="R129" s="201">
        <v>245692.74</v>
      </c>
      <c r="S129" s="33" t="s">
        <v>22</v>
      </c>
      <c r="T129" s="33" t="s">
        <v>22</v>
      </c>
      <c r="U129" s="33" t="s">
        <v>203</v>
      </c>
      <c r="V129" s="33"/>
      <c r="W129" s="33" t="s">
        <v>210</v>
      </c>
      <c r="X129" s="33" t="s">
        <v>210</v>
      </c>
      <c r="Y129" s="33"/>
      <c r="Z129" s="33" t="s">
        <v>209</v>
      </c>
      <c r="AA129" s="35" t="str">
        <f>_xlfn.IFNA(VLOOKUP(E129,'Lookup Table'!$J$33:$K$176,2,0),"B3")</f>
        <v>Ba1</v>
      </c>
      <c r="AB129" s="35">
        <f>_xlfn.IFNA(VLOOKUP($AA129,'Rating Lookup'!$B$2:$I$27,8,0),15)</f>
        <v>11</v>
      </c>
      <c r="AC129" s="35" t="str">
        <f>_xlfn.IFNA(VLOOKUP(E129,'Lookup Table'!$M$33:$N$173,2,0),"B3")</f>
        <v>Ba1</v>
      </c>
      <c r="AD129" s="35">
        <f>_xlfn.IFNA(VLOOKUP($AC129,'Rating Lookup'!$B$2:$I$27,8,0),15)</f>
        <v>11</v>
      </c>
      <c r="AE129" s="35">
        <f t="shared" si="24"/>
        <v>0</v>
      </c>
      <c r="AG129" s="35" t="str">
        <f t="shared" si="25"/>
        <v>TANGIER PORT</v>
      </c>
      <c r="AH129" s="35" t="str">
        <f t="shared" si="26"/>
        <v>Government Loan</v>
      </c>
      <c r="AI129" s="202">
        <f>'ECL Calculation'!$B$1</f>
        <v>43465</v>
      </c>
      <c r="AJ129" s="202">
        <f t="shared" si="27"/>
        <v>38656</v>
      </c>
      <c r="AK129" s="202">
        <f t="shared" si="28"/>
        <v>37741</v>
      </c>
      <c r="AL129" s="127">
        <f t="shared" si="29"/>
        <v>15</v>
      </c>
      <c r="AM129" s="192">
        <f>IF(AND(IF(ISBLANK(K129),EOMONTH(AJ129,AL129*12),K129)&lt;'ECL Calculation'!$B$1,SUM('Input Sheet'!Q129,'Input Sheet'!R129)&gt;0),EOMONTH('ECL Calculation'!$B$1,12*5),IF(ISBLANK(K129),EOMONTH(AJ129,AL129*12),K129))</f>
        <v>43951</v>
      </c>
      <c r="AN129" s="203">
        <f t="shared" si="30"/>
        <v>734600000</v>
      </c>
      <c r="AO129" s="203">
        <f t="shared" si="31"/>
        <v>734600000</v>
      </c>
      <c r="AP129" s="203">
        <f t="shared" si="32"/>
        <v>0</v>
      </c>
      <c r="AQ129" s="126">
        <f>VLOOKUP(U129,'Lookup Table'!$B$2:$C$10,2,0)</f>
        <v>1</v>
      </c>
      <c r="AR129" s="127">
        <f>VLOOKUP(S129,'Lookup Table'!$B$2:$C$9,2,0)</f>
        <v>2</v>
      </c>
      <c r="AS129" s="127">
        <f>VLOOKUP(T129,'Lookup Table'!$B$2:$C$9,2,0)</f>
        <v>2</v>
      </c>
      <c r="AT129" s="136">
        <f t="shared" si="33"/>
        <v>73458000</v>
      </c>
      <c r="AU129" s="128">
        <f t="shared" si="34"/>
        <v>2.5000000000000001E-2</v>
      </c>
      <c r="AV129" s="136">
        <f t="shared" si="35"/>
        <v>245692.74</v>
      </c>
      <c r="AW129" s="37" t="str">
        <f t="shared" si="36"/>
        <v>Ba1</v>
      </c>
      <c r="AX129" s="128">
        <f>VLOOKUP(E129,'Lookup Table'!$B$12:$C$82,2,0)</f>
        <v>3.1662499999999996E-2</v>
      </c>
      <c r="AY129" s="128">
        <f>'Lookup Table'!$E$3</f>
        <v>0.45</v>
      </c>
      <c r="AZ129" s="129" t="str">
        <f t="shared" si="37"/>
        <v>Morocco</v>
      </c>
      <c r="BA129" s="37">
        <f>VLOOKUP(AA129,'Lookup Table'!$J$3:$K$27,2,0)</f>
        <v>1</v>
      </c>
      <c r="BB129" s="37">
        <f t="shared" si="38"/>
        <v>1</v>
      </c>
      <c r="BC129" s="37">
        <f t="shared" si="39"/>
        <v>1</v>
      </c>
      <c r="BD129" s="37">
        <f>IF(AND(K129&lt;'ECL Calculation'!$B$1,'Input Sheet'!W129="No"),3,IF(X129="Yes",2,1))</f>
        <v>1</v>
      </c>
      <c r="BE129" s="37">
        <f t="shared" si="40"/>
        <v>1</v>
      </c>
      <c r="BF129" s="37" t="str">
        <f t="shared" si="41"/>
        <v>Stage 1</v>
      </c>
      <c r="BG129" s="37" t="str">
        <f t="shared" si="42"/>
        <v>Yes</v>
      </c>
    </row>
    <row r="130" spans="1:59" x14ac:dyDescent="0.2">
      <c r="A130" s="35">
        <f t="shared" si="43"/>
        <v>128</v>
      </c>
      <c r="B130" s="33">
        <v>1136</v>
      </c>
      <c r="C130" s="33" t="s">
        <v>376</v>
      </c>
      <c r="D130" s="33" t="s">
        <v>806</v>
      </c>
      <c r="E130" s="33" t="s">
        <v>504</v>
      </c>
      <c r="F130" s="33" t="s">
        <v>542</v>
      </c>
      <c r="G130" s="117">
        <v>2</v>
      </c>
      <c r="H130" s="34">
        <v>37531</v>
      </c>
      <c r="I130" s="34">
        <v>37895</v>
      </c>
      <c r="J130" s="34">
        <v>37895</v>
      </c>
      <c r="K130" s="34">
        <v>46507</v>
      </c>
      <c r="L130" s="34">
        <v>39385</v>
      </c>
      <c r="M130" s="34">
        <v>37741</v>
      </c>
      <c r="N130" s="113">
        <v>20</v>
      </c>
      <c r="O130" s="200">
        <v>51353762.159999996</v>
      </c>
      <c r="P130" s="200">
        <v>51353762.159999996</v>
      </c>
      <c r="Q130" s="200">
        <v>12773762.16</v>
      </c>
      <c r="R130" s="201">
        <v>32037.25</v>
      </c>
      <c r="S130" s="33" t="s">
        <v>22</v>
      </c>
      <c r="T130" s="33" t="s">
        <v>22</v>
      </c>
      <c r="U130" s="33" t="s">
        <v>203</v>
      </c>
      <c r="V130" s="33"/>
      <c r="W130" s="33" t="s">
        <v>210</v>
      </c>
      <c r="X130" s="33" t="s">
        <v>210</v>
      </c>
      <c r="Y130" s="33"/>
      <c r="Z130" s="33" t="s">
        <v>209</v>
      </c>
      <c r="AA130" s="35" t="str">
        <f>_xlfn.IFNA(VLOOKUP(E130,'Lookup Table'!$J$33:$K$176,2,0),"B3")</f>
        <v>Ba3</v>
      </c>
      <c r="AB130" s="35">
        <f>_xlfn.IFNA(VLOOKUP($AA130,'Rating Lookup'!$B$2:$I$27,8,0),15)</f>
        <v>13</v>
      </c>
      <c r="AC130" s="35" t="str">
        <f>_xlfn.IFNA(VLOOKUP(E130,'Lookup Table'!$M$33:$N$173,2,0),"B3")</f>
        <v>Ba1</v>
      </c>
      <c r="AD130" s="35">
        <f>_xlfn.IFNA(VLOOKUP($AC130,'Rating Lookup'!$B$2:$I$27,8,0),15)</f>
        <v>11</v>
      </c>
      <c r="AE130" s="35">
        <f t="shared" si="24"/>
        <v>2</v>
      </c>
      <c r="AG130" s="35" t="str">
        <f t="shared" si="25"/>
        <v>THE RECONSTRUCTION AND DEVELOPMENT OF EARTHQUAKE AFFECTED REGIONS PROJECT 1</v>
      </c>
      <c r="AH130" s="35" t="str">
        <f t="shared" si="26"/>
        <v>Government Loan</v>
      </c>
      <c r="AI130" s="202">
        <f>'ECL Calculation'!$B$1</f>
        <v>43465</v>
      </c>
      <c r="AJ130" s="202">
        <f t="shared" si="27"/>
        <v>39385</v>
      </c>
      <c r="AK130" s="202">
        <f t="shared" si="28"/>
        <v>37741</v>
      </c>
      <c r="AL130" s="127">
        <f t="shared" si="29"/>
        <v>20</v>
      </c>
      <c r="AM130" s="192">
        <f>IF(AND(IF(ISBLANK(K130),EOMONTH(AJ130,AL130*12),K130)&lt;'ECL Calculation'!$B$1,SUM('Input Sheet'!Q130,'Input Sheet'!R130)&gt;0),EOMONTH('ECL Calculation'!$B$1,12*5),IF(ISBLANK(K130),EOMONTH(AJ130,AL130*12),K130))</f>
        <v>46507</v>
      </c>
      <c r="AN130" s="203">
        <f t="shared" si="30"/>
        <v>51353762.159999996</v>
      </c>
      <c r="AO130" s="203">
        <f t="shared" si="31"/>
        <v>51353762.159999996</v>
      </c>
      <c r="AP130" s="203">
        <f t="shared" si="32"/>
        <v>0</v>
      </c>
      <c r="AQ130" s="126">
        <f>VLOOKUP(U130,'Lookup Table'!$B$2:$C$10,2,0)</f>
        <v>1</v>
      </c>
      <c r="AR130" s="127">
        <f>VLOOKUP(S130,'Lookup Table'!$B$2:$C$9,2,0)</f>
        <v>2</v>
      </c>
      <c r="AS130" s="127">
        <f>VLOOKUP(T130,'Lookup Table'!$B$2:$C$9,2,0)</f>
        <v>2</v>
      </c>
      <c r="AT130" s="136">
        <f t="shared" si="33"/>
        <v>12773762.16</v>
      </c>
      <c r="AU130" s="128">
        <f t="shared" si="34"/>
        <v>0.02</v>
      </c>
      <c r="AV130" s="136">
        <f t="shared" si="35"/>
        <v>32037.25</v>
      </c>
      <c r="AW130" s="37" t="str">
        <f t="shared" si="36"/>
        <v>Ba3</v>
      </c>
      <c r="AX130" s="128">
        <f>VLOOKUP(E130,'Lookup Table'!$B$12:$C$82,2,0)</f>
        <v>3.1666666666666662E-2</v>
      </c>
      <c r="AY130" s="128">
        <f>'Lookup Table'!$E$3</f>
        <v>0.45</v>
      </c>
      <c r="AZ130" s="129" t="str">
        <f t="shared" si="37"/>
        <v>Turkey</v>
      </c>
      <c r="BA130" s="37">
        <f>VLOOKUP(AA130,'Lookup Table'!$J$3:$K$27,2,0)</f>
        <v>1</v>
      </c>
      <c r="BB130" s="37">
        <f t="shared" si="38"/>
        <v>2</v>
      </c>
      <c r="BC130" s="37">
        <f t="shared" si="39"/>
        <v>1</v>
      </c>
      <c r="BD130" s="37">
        <f>IF(AND(K130&lt;'ECL Calculation'!$B$1,'Input Sheet'!W130="No"),3,IF(X130="Yes",2,1))</f>
        <v>1</v>
      </c>
      <c r="BE130" s="37">
        <f t="shared" si="40"/>
        <v>1</v>
      </c>
      <c r="BF130" s="37" t="str">
        <f t="shared" si="41"/>
        <v>Stage 2</v>
      </c>
      <c r="BG130" s="37" t="str">
        <f t="shared" si="42"/>
        <v>Yes</v>
      </c>
    </row>
    <row r="131" spans="1:59" x14ac:dyDescent="0.2">
      <c r="A131" s="35">
        <f t="shared" si="43"/>
        <v>129</v>
      </c>
      <c r="B131" s="33">
        <v>1137</v>
      </c>
      <c r="C131" s="33" t="s">
        <v>377</v>
      </c>
      <c r="D131" s="33" t="s">
        <v>806</v>
      </c>
      <c r="E131" s="33" t="s">
        <v>476</v>
      </c>
      <c r="F131" s="33" t="s">
        <v>542</v>
      </c>
      <c r="G131" s="117">
        <v>3.5</v>
      </c>
      <c r="H131" s="34">
        <v>37564</v>
      </c>
      <c r="I131" s="34">
        <v>37731</v>
      </c>
      <c r="J131" s="34">
        <v>37731</v>
      </c>
      <c r="K131" s="34">
        <v>44681</v>
      </c>
      <c r="L131" s="34">
        <v>39385</v>
      </c>
      <c r="M131" s="34">
        <v>37741</v>
      </c>
      <c r="N131" s="113">
        <v>15</v>
      </c>
      <c r="O131" s="200">
        <v>73460000</v>
      </c>
      <c r="P131" s="200">
        <v>27044880.699999999</v>
      </c>
      <c r="Q131" s="200">
        <v>4994880.7</v>
      </c>
      <c r="R131" s="201">
        <v>1338632.3500000001</v>
      </c>
      <c r="S131" s="33" t="s">
        <v>22</v>
      </c>
      <c r="T131" s="33" t="s">
        <v>22</v>
      </c>
      <c r="U131" s="33" t="s">
        <v>203</v>
      </c>
      <c r="V131" s="33"/>
      <c r="W131" s="33" t="s">
        <v>210</v>
      </c>
      <c r="X131" s="33" t="s">
        <v>209</v>
      </c>
      <c r="Y131" s="33" t="s">
        <v>209</v>
      </c>
      <c r="Z131" s="33" t="s">
        <v>209</v>
      </c>
      <c r="AA131" s="35" t="str">
        <f>_xlfn.IFNA(VLOOKUP(E131,'Lookup Table'!$J$33:$K$176,2,0),"B3")</f>
        <v>B3</v>
      </c>
      <c r="AB131" s="35">
        <f>_xlfn.IFNA(VLOOKUP($AA131,'Rating Lookup'!$B$2:$I$27,8,0),15)</f>
        <v>16</v>
      </c>
      <c r="AC131" s="35" t="str">
        <f>_xlfn.IFNA(VLOOKUP(E131,'Lookup Table'!$M$33:$N$173,2,0),"B3")</f>
        <v>B3</v>
      </c>
      <c r="AD131" s="35">
        <f>_xlfn.IFNA(VLOOKUP($AC131,'Rating Lookup'!$B$2:$I$27,8,0),15)</f>
        <v>16</v>
      </c>
      <c r="AE131" s="35">
        <f t="shared" si="24"/>
        <v>0</v>
      </c>
      <c r="AG131" s="35" t="str">
        <f t="shared" si="25"/>
        <v>ALLEPPO COUNTRY ELECTRICITY</v>
      </c>
      <c r="AH131" s="35" t="str">
        <f t="shared" si="26"/>
        <v>Government Loan</v>
      </c>
      <c r="AI131" s="202">
        <f>'ECL Calculation'!$B$1</f>
        <v>43465</v>
      </c>
      <c r="AJ131" s="202">
        <f t="shared" si="27"/>
        <v>39385</v>
      </c>
      <c r="AK131" s="202">
        <f t="shared" si="28"/>
        <v>37741</v>
      </c>
      <c r="AL131" s="127">
        <f t="shared" si="29"/>
        <v>15</v>
      </c>
      <c r="AM131" s="192">
        <f>IF(AND(IF(ISBLANK(K131),EOMONTH(AJ131,AL131*12),K131)&lt;'ECL Calculation'!$B$1,SUM('Input Sheet'!Q131,'Input Sheet'!R131)&gt;0),EOMONTH('ECL Calculation'!$B$1,12*5),IF(ISBLANK(K131),EOMONTH(AJ131,AL131*12),K131))</f>
        <v>44681</v>
      </c>
      <c r="AN131" s="203">
        <f t="shared" si="30"/>
        <v>73460000</v>
      </c>
      <c r="AO131" s="203">
        <f t="shared" si="31"/>
        <v>27044880.699999999</v>
      </c>
      <c r="AP131" s="203">
        <f t="shared" si="32"/>
        <v>46415119.299999997</v>
      </c>
      <c r="AQ131" s="126">
        <f>VLOOKUP(U131,'Lookup Table'!$B$2:$C$10,2,0)</f>
        <v>1</v>
      </c>
      <c r="AR131" s="127">
        <f>VLOOKUP(S131,'Lookup Table'!$B$2:$C$9,2,0)</f>
        <v>2</v>
      </c>
      <c r="AS131" s="127">
        <f>VLOOKUP(T131,'Lookup Table'!$B$2:$C$9,2,0)</f>
        <v>2</v>
      </c>
      <c r="AT131" s="136">
        <f t="shared" si="33"/>
        <v>4994880.7</v>
      </c>
      <c r="AU131" s="128">
        <f t="shared" si="34"/>
        <v>3.5000000000000003E-2</v>
      </c>
      <c r="AV131" s="136">
        <f t="shared" si="35"/>
        <v>1338632.3500000001</v>
      </c>
      <c r="AW131" s="37" t="str">
        <f t="shared" si="36"/>
        <v>B3</v>
      </c>
      <c r="AX131" s="128">
        <f>VLOOKUP(E131,'Lookup Table'!$B$12:$C$82,2,0)</f>
        <v>3.6666666666666667E-2</v>
      </c>
      <c r="AY131" s="128">
        <f>'Lookup Table'!$E$3</f>
        <v>0.45</v>
      </c>
      <c r="AZ131" s="129" t="str">
        <f t="shared" si="37"/>
        <v>Syrian Arab Republic</v>
      </c>
      <c r="BA131" s="37">
        <f>VLOOKUP(AA131,'Lookup Table'!$J$3:$K$27,2,0)</f>
        <v>1</v>
      </c>
      <c r="BB131" s="37">
        <f t="shared" si="38"/>
        <v>1</v>
      </c>
      <c r="BC131" s="37">
        <f t="shared" si="39"/>
        <v>1</v>
      </c>
      <c r="BD131" s="37">
        <f>IF(AND(K131&lt;'ECL Calculation'!$B$1,'Input Sheet'!W131="No"),3,IF(X131="Yes",2,1))</f>
        <v>2</v>
      </c>
      <c r="BE131" s="37">
        <f t="shared" si="40"/>
        <v>3</v>
      </c>
      <c r="BF131" s="37" t="str">
        <f t="shared" si="41"/>
        <v>Stage 3</v>
      </c>
      <c r="BG131" s="37" t="str">
        <f t="shared" si="42"/>
        <v>Yes</v>
      </c>
    </row>
    <row r="132" spans="1:59" x14ac:dyDescent="0.2">
      <c r="A132" s="35">
        <f t="shared" si="43"/>
        <v>130</v>
      </c>
      <c r="B132" s="33">
        <v>1138</v>
      </c>
      <c r="C132" s="33" t="s">
        <v>378</v>
      </c>
      <c r="D132" s="33" t="s">
        <v>806</v>
      </c>
      <c r="E132" s="33" t="s">
        <v>518</v>
      </c>
      <c r="F132" s="33" t="s">
        <v>542</v>
      </c>
      <c r="G132" s="117">
        <v>2.5</v>
      </c>
      <c r="H132" s="34">
        <v>37608</v>
      </c>
      <c r="I132" s="34">
        <v>38377</v>
      </c>
      <c r="J132" s="34">
        <v>38377</v>
      </c>
      <c r="K132" s="34">
        <v>45412</v>
      </c>
      <c r="L132" s="34">
        <v>39020</v>
      </c>
      <c r="M132" s="34">
        <v>37741</v>
      </c>
      <c r="N132" s="113">
        <v>18</v>
      </c>
      <c r="O132" s="200">
        <v>47749000</v>
      </c>
      <c r="P132" s="200">
        <v>47749000</v>
      </c>
      <c r="Q132" s="200">
        <v>14586000</v>
      </c>
      <c r="R132" s="201">
        <v>72709.02</v>
      </c>
      <c r="S132" s="33" t="s">
        <v>22</v>
      </c>
      <c r="T132" s="33" t="s">
        <v>22</v>
      </c>
      <c r="U132" s="33" t="s">
        <v>203</v>
      </c>
      <c r="V132" s="33"/>
      <c r="W132" s="33" t="s">
        <v>210</v>
      </c>
      <c r="X132" s="33" t="s">
        <v>210</v>
      </c>
      <c r="Y132" s="33"/>
      <c r="Z132" s="33" t="s">
        <v>209</v>
      </c>
      <c r="AA132" s="35" t="str">
        <f>_xlfn.IFNA(VLOOKUP(E132,'Lookup Table'!$J$33:$K$176,2,0),"B3")</f>
        <v>B3</v>
      </c>
      <c r="AB132" s="35">
        <f>_xlfn.IFNA(VLOOKUP($AA132,'Rating Lookup'!$B$2:$I$27,8,0),15)</f>
        <v>16</v>
      </c>
      <c r="AC132" s="35" t="str">
        <f>_xlfn.IFNA(VLOOKUP(E132,'Lookup Table'!$M$33:$N$173,2,0),"B3")</f>
        <v>B1</v>
      </c>
      <c r="AD132" s="35">
        <f>_xlfn.IFNA(VLOOKUP($AC132,'Rating Lookup'!$B$2:$I$27,8,0),15)</f>
        <v>14</v>
      </c>
      <c r="AE132" s="35">
        <f t="shared" ref="AE132:AE195" si="44">IF(AB132-AD132&lt;0,0,AB132-AD132)</f>
        <v>2</v>
      </c>
      <c r="AG132" s="35" t="str">
        <f t="shared" ref="AG132:AG195" si="45">C132</f>
        <v>TAISHIR HYDROPOWER PROJECT</v>
      </c>
      <c r="AH132" s="35" t="str">
        <f t="shared" ref="AH132:AH195" si="46">D132</f>
        <v>Government Loan</v>
      </c>
      <c r="AI132" s="202">
        <f>'ECL Calculation'!$B$1</f>
        <v>43465</v>
      </c>
      <c r="AJ132" s="202">
        <f t="shared" ref="AJ132:AJ195" si="47">L132</f>
        <v>39020</v>
      </c>
      <c r="AK132" s="202">
        <f t="shared" ref="AK132:AK195" si="48">M132</f>
        <v>37741</v>
      </c>
      <c r="AL132" s="127">
        <f t="shared" ref="AL132:AL195" si="49">N132</f>
        <v>18</v>
      </c>
      <c r="AM132" s="192">
        <f>IF(AND(IF(ISBLANK(K132),EOMONTH(AJ132,AL132*12),K132)&lt;'ECL Calculation'!$B$1,SUM('Input Sheet'!Q132,'Input Sheet'!R132)&gt;0),EOMONTH('ECL Calculation'!$B$1,12*5),IF(ISBLANK(K132),EOMONTH(AJ132,AL132*12),K132))</f>
        <v>45412</v>
      </c>
      <c r="AN132" s="203">
        <f t="shared" ref="AN132:AN195" si="50">O132</f>
        <v>47749000</v>
      </c>
      <c r="AO132" s="203">
        <f t="shared" ref="AO132:AO195" si="51">P132</f>
        <v>47749000</v>
      </c>
      <c r="AP132" s="203">
        <f t="shared" ref="AP132:AP195" si="52">IF(Z132="No",0,AN132-AO132)</f>
        <v>0</v>
      </c>
      <c r="AQ132" s="126">
        <f>VLOOKUP(U132,'Lookup Table'!$B$2:$C$10,2,0)</f>
        <v>1</v>
      </c>
      <c r="AR132" s="127">
        <f>VLOOKUP(S132,'Lookup Table'!$B$2:$C$9,2,0)</f>
        <v>2</v>
      </c>
      <c r="AS132" s="127">
        <f>VLOOKUP(T132,'Lookup Table'!$B$2:$C$9,2,0)</f>
        <v>2</v>
      </c>
      <c r="AT132" s="136">
        <f t="shared" ref="AT132:AT195" si="53">Q132</f>
        <v>14586000</v>
      </c>
      <c r="AU132" s="128">
        <f t="shared" ref="AU132:AU195" si="54">G132/100</f>
        <v>2.5000000000000001E-2</v>
      </c>
      <c r="AV132" s="136">
        <f t="shared" ref="AV132:AV195" si="55">R132</f>
        <v>72709.02</v>
      </c>
      <c r="AW132" s="37" t="str">
        <f t="shared" ref="AW132:AW195" si="56">AA132</f>
        <v>B3</v>
      </c>
      <c r="AX132" s="128">
        <f>VLOOKUP(E132,'Lookup Table'!$B$12:$C$82,2,0)</f>
        <v>2.5000000000000001E-2</v>
      </c>
      <c r="AY132" s="128">
        <f>'Lookup Table'!$E$3</f>
        <v>0.45</v>
      </c>
      <c r="AZ132" s="129" t="str">
        <f t="shared" ref="AZ132:AZ195" si="57">E132</f>
        <v>Mongolia</v>
      </c>
      <c r="BA132" s="37">
        <f>VLOOKUP(AA132,'Lookup Table'!$J$3:$K$27,2,0)</f>
        <v>1</v>
      </c>
      <c r="BB132" s="37">
        <f t="shared" ref="BB132:BB195" si="58">IF(AND(AD132&lt;=10,AE132&gt;=2,AB132&gt;10), 2,IF(AND(AD132&gt;10,AE132&gt;=1),2,1))</f>
        <v>2</v>
      </c>
      <c r="BC132" s="37">
        <f t="shared" ref="BC132:BC195" si="59">IF(W132="Yes",2,1)</f>
        <v>1</v>
      </c>
      <c r="BD132" s="37">
        <f>IF(AND(K132&lt;'ECL Calculation'!$B$1,'Input Sheet'!W132="No"),3,IF(X132="Yes",2,1))</f>
        <v>1</v>
      </c>
      <c r="BE132" s="37">
        <f t="shared" ref="BE132:BE195" si="60">IF(Y132="Yes",3,1)</f>
        <v>1</v>
      </c>
      <c r="BF132" s="37" t="str">
        <f t="shared" ref="BF132:BF195" si="61">IF(MAX(BA132:BE132)=2,"Stage 2",IF(MAX(BA132:BE132)=3,"Stage 3","Stage 1"))</f>
        <v>Stage 2</v>
      </c>
      <c r="BG132" s="37" t="str">
        <f t="shared" ref="BG132:BG195" si="62">IF(OR(AND(AK132&lt;AI132,AT132&lt;=0),V132="Grant"),"No","Yes")</f>
        <v>Yes</v>
      </c>
    </row>
    <row r="133" spans="1:59" x14ac:dyDescent="0.2">
      <c r="A133" s="35">
        <f t="shared" ref="A133:A196" si="63">A132+1</f>
        <v>131</v>
      </c>
      <c r="B133" s="33">
        <v>1139</v>
      </c>
      <c r="C133" s="33" t="s">
        <v>379</v>
      </c>
      <c r="D133" s="33" t="s">
        <v>806</v>
      </c>
      <c r="E133" s="33" t="s">
        <v>24</v>
      </c>
      <c r="F133" s="33" t="s">
        <v>542</v>
      </c>
      <c r="G133" s="117">
        <v>2.5</v>
      </c>
      <c r="H133" s="34">
        <v>37691</v>
      </c>
      <c r="I133" s="34">
        <v>37733</v>
      </c>
      <c r="J133" s="34">
        <v>37733</v>
      </c>
      <c r="K133" s="34">
        <v>44135</v>
      </c>
      <c r="L133" s="34">
        <v>38837</v>
      </c>
      <c r="M133" s="34">
        <v>37924</v>
      </c>
      <c r="N133" s="113">
        <v>5</v>
      </c>
      <c r="O133" s="200">
        <v>238518875</v>
      </c>
      <c r="P133" s="200">
        <v>238518875</v>
      </c>
      <c r="Q133" s="200">
        <v>0</v>
      </c>
      <c r="R133" s="201">
        <v>0</v>
      </c>
      <c r="S133" s="33" t="s">
        <v>22</v>
      </c>
      <c r="T133" s="33" t="s">
        <v>22</v>
      </c>
      <c r="U133" s="33" t="s">
        <v>203</v>
      </c>
      <c r="V133" s="33"/>
      <c r="W133" s="33" t="s">
        <v>210</v>
      </c>
      <c r="X133" s="33" t="s">
        <v>210</v>
      </c>
      <c r="Y133" s="33"/>
      <c r="Z133" s="33" t="s">
        <v>209</v>
      </c>
      <c r="AA133" s="35" t="str">
        <f>_xlfn.IFNA(VLOOKUP(E133,'Lookup Table'!$J$33:$K$176,2,0),"B3")</f>
        <v>Ba1</v>
      </c>
      <c r="AB133" s="35">
        <f>_xlfn.IFNA(VLOOKUP($AA133,'Rating Lookup'!$B$2:$I$27,8,0),15)</f>
        <v>11</v>
      </c>
      <c r="AC133" s="35" t="str">
        <f>_xlfn.IFNA(VLOOKUP(E133,'Lookup Table'!$M$33:$N$173,2,0),"B3")</f>
        <v>A1</v>
      </c>
      <c r="AD133" s="35">
        <f>_xlfn.IFNA(VLOOKUP($AC133,'Rating Lookup'!$B$2:$I$27,8,0),15)</f>
        <v>5</v>
      </c>
      <c r="AE133" s="35">
        <f t="shared" si="44"/>
        <v>6</v>
      </c>
      <c r="AG133" s="35" t="str">
        <f t="shared" si="45"/>
        <v>QRIAT-SOUR ROAD</v>
      </c>
      <c r="AH133" s="35" t="str">
        <f t="shared" si="46"/>
        <v>Government Loan</v>
      </c>
      <c r="AI133" s="202">
        <f>'ECL Calculation'!$B$1</f>
        <v>43465</v>
      </c>
      <c r="AJ133" s="202">
        <f t="shared" si="47"/>
        <v>38837</v>
      </c>
      <c r="AK133" s="202">
        <f t="shared" si="48"/>
        <v>37924</v>
      </c>
      <c r="AL133" s="127">
        <f t="shared" si="49"/>
        <v>5</v>
      </c>
      <c r="AM133" s="192">
        <f>IF(AND(IF(ISBLANK(K133),EOMONTH(AJ133,AL133*12),K133)&lt;'ECL Calculation'!$B$1,SUM('Input Sheet'!Q133,'Input Sheet'!R133)&gt;0),EOMONTH('ECL Calculation'!$B$1,12*5),IF(ISBLANK(K133),EOMONTH(AJ133,AL133*12),K133))</f>
        <v>44135</v>
      </c>
      <c r="AN133" s="203">
        <f t="shared" si="50"/>
        <v>238518875</v>
      </c>
      <c r="AO133" s="203">
        <f t="shared" si="51"/>
        <v>238518875</v>
      </c>
      <c r="AP133" s="203">
        <f t="shared" si="52"/>
        <v>0</v>
      </c>
      <c r="AQ133" s="126">
        <f>VLOOKUP(U133,'Lookup Table'!$B$2:$C$10,2,0)</f>
        <v>1</v>
      </c>
      <c r="AR133" s="127">
        <f>VLOOKUP(S133,'Lookup Table'!$B$2:$C$9,2,0)</f>
        <v>2</v>
      </c>
      <c r="AS133" s="127">
        <f>VLOOKUP(T133,'Lookup Table'!$B$2:$C$9,2,0)</f>
        <v>2</v>
      </c>
      <c r="AT133" s="136">
        <f t="shared" si="53"/>
        <v>0</v>
      </c>
      <c r="AU133" s="128">
        <f t="shared" si="54"/>
        <v>2.5000000000000001E-2</v>
      </c>
      <c r="AV133" s="136">
        <f t="shared" si="55"/>
        <v>0</v>
      </c>
      <c r="AW133" s="37" t="str">
        <f t="shared" si="56"/>
        <v>Ba1</v>
      </c>
      <c r="AX133" s="128">
        <f>VLOOKUP(E133,'Lookup Table'!$B$12:$C$82,2,0)</f>
        <v>3.6818181818181819E-2</v>
      </c>
      <c r="AY133" s="128">
        <f>'Lookup Table'!$E$3</f>
        <v>0.45</v>
      </c>
      <c r="AZ133" s="129" t="str">
        <f t="shared" si="57"/>
        <v>Oman</v>
      </c>
      <c r="BA133" s="37">
        <f>VLOOKUP(AA133,'Lookup Table'!$J$3:$K$27,2,0)</f>
        <v>1</v>
      </c>
      <c r="BB133" s="37">
        <f t="shared" si="58"/>
        <v>2</v>
      </c>
      <c r="BC133" s="37">
        <f t="shared" si="59"/>
        <v>1</v>
      </c>
      <c r="BD133" s="37">
        <f>IF(AND(K133&lt;'ECL Calculation'!$B$1,'Input Sheet'!W133="No"),3,IF(X133="Yes",2,1))</f>
        <v>1</v>
      </c>
      <c r="BE133" s="37">
        <f t="shared" si="60"/>
        <v>1</v>
      </c>
      <c r="BF133" s="37" t="str">
        <f t="shared" si="61"/>
        <v>Stage 2</v>
      </c>
      <c r="BG133" s="37" t="str">
        <f t="shared" si="62"/>
        <v>No</v>
      </c>
    </row>
    <row r="134" spans="1:59" x14ac:dyDescent="0.2">
      <c r="A134" s="35">
        <f t="shared" si="63"/>
        <v>132</v>
      </c>
      <c r="B134" s="33">
        <v>1140</v>
      </c>
      <c r="C134" s="33" t="s">
        <v>380</v>
      </c>
      <c r="D134" s="33" t="s">
        <v>806</v>
      </c>
      <c r="E134" s="33" t="s">
        <v>484</v>
      </c>
      <c r="F134" s="33" t="s">
        <v>542</v>
      </c>
      <c r="G134" s="117">
        <v>2</v>
      </c>
      <c r="H134" s="34">
        <v>37737</v>
      </c>
      <c r="I134" s="34">
        <v>37891</v>
      </c>
      <c r="J134" s="34">
        <v>37891</v>
      </c>
      <c r="K134" s="34">
        <v>45046</v>
      </c>
      <c r="L134" s="34">
        <v>39751</v>
      </c>
      <c r="M134" s="34">
        <v>37924</v>
      </c>
      <c r="N134" s="113">
        <v>15</v>
      </c>
      <c r="O134" s="200">
        <v>183650000</v>
      </c>
      <c r="P134" s="200">
        <v>182868807.28999999</v>
      </c>
      <c r="Q134" s="200">
        <v>133908807.29000001</v>
      </c>
      <c r="R134" s="201">
        <v>17894288.079999998</v>
      </c>
      <c r="S134" s="33" t="s">
        <v>22</v>
      </c>
      <c r="T134" s="33" t="s">
        <v>22</v>
      </c>
      <c r="U134" s="33" t="s">
        <v>203</v>
      </c>
      <c r="V134" s="33"/>
      <c r="W134" s="33" t="s">
        <v>210</v>
      </c>
      <c r="X134" s="33" t="s">
        <v>209</v>
      </c>
      <c r="Y134" s="239" t="s">
        <v>209</v>
      </c>
      <c r="Z134" s="33" t="s">
        <v>209</v>
      </c>
      <c r="AA134" s="35" t="str">
        <f>_xlfn.IFNA(VLOOKUP(E134,'Lookup Table'!$J$33:$K$176,2,0),"B3")</f>
        <v>Ca-C</v>
      </c>
      <c r="AB134" s="35">
        <f>_xlfn.IFNA(VLOOKUP($AA134,'Rating Lookup'!$B$2:$I$27,8,0),15)</f>
        <v>15</v>
      </c>
      <c r="AC134" s="35" t="str">
        <f>_xlfn.IFNA(VLOOKUP(E134,'Lookup Table'!$M$33:$N$173,2,0),"B3")</f>
        <v>Ca-C</v>
      </c>
      <c r="AD134" s="35">
        <f>_xlfn.IFNA(VLOOKUP($AC134,'Rating Lookup'!$B$2:$I$27,8,0),15)</f>
        <v>15</v>
      </c>
      <c r="AE134" s="35">
        <f t="shared" si="44"/>
        <v>0</v>
      </c>
      <c r="AG134" s="35" t="str">
        <f t="shared" si="45"/>
        <v>MARWI DAM (ADDITIONAL LOAN)</v>
      </c>
      <c r="AH134" s="35" t="str">
        <f t="shared" si="46"/>
        <v>Government Loan</v>
      </c>
      <c r="AI134" s="202">
        <f>'ECL Calculation'!$B$1</f>
        <v>43465</v>
      </c>
      <c r="AJ134" s="202">
        <f t="shared" si="47"/>
        <v>39751</v>
      </c>
      <c r="AK134" s="202">
        <f t="shared" si="48"/>
        <v>37924</v>
      </c>
      <c r="AL134" s="127">
        <f t="shared" si="49"/>
        <v>15</v>
      </c>
      <c r="AM134" s="192">
        <f>IF(AND(IF(ISBLANK(K134),EOMONTH(AJ134,AL134*12),K134)&lt;'ECL Calculation'!$B$1,SUM('Input Sheet'!Q134,'Input Sheet'!R134)&gt;0),EOMONTH('ECL Calculation'!$B$1,12*5),IF(ISBLANK(K134),EOMONTH(AJ134,AL134*12),K134))</f>
        <v>45046</v>
      </c>
      <c r="AN134" s="203">
        <f t="shared" si="50"/>
        <v>183650000</v>
      </c>
      <c r="AO134" s="203">
        <f t="shared" si="51"/>
        <v>182868807.28999999</v>
      </c>
      <c r="AP134" s="203">
        <f t="shared" si="52"/>
        <v>781192.71000000834</v>
      </c>
      <c r="AQ134" s="126">
        <f>VLOOKUP(U134,'Lookup Table'!$B$2:$C$10,2,0)</f>
        <v>1</v>
      </c>
      <c r="AR134" s="127">
        <f>VLOOKUP(S134,'Lookup Table'!$B$2:$C$9,2,0)</f>
        <v>2</v>
      </c>
      <c r="AS134" s="127">
        <f>VLOOKUP(T134,'Lookup Table'!$B$2:$C$9,2,0)</f>
        <v>2</v>
      </c>
      <c r="AT134" s="136">
        <f t="shared" si="53"/>
        <v>133908807.29000001</v>
      </c>
      <c r="AU134" s="128">
        <f t="shared" si="54"/>
        <v>0.02</v>
      </c>
      <c r="AV134" s="136">
        <f t="shared" si="55"/>
        <v>17894288.079999998</v>
      </c>
      <c r="AW134" s="37" t="str">
        <f t="shared" si="56"/>
        <v>Ca-C</v>
      </c>
      <c r="AX134" s="128">
        <f>VLOOKUP(E134,'Lookup Table'!$B$12:$C$82,2,0)</f>
        <v>2.9249999999999998E-2</v>
      </c>
      <c r="AY134" s="128">
        <f>'Lookup Table'!$E$3</f>
        <v>0.45</v>
      </c>
      <c r="AZ134" s="129" t="str">
        <f t="shared" si="57"/>
        <v>Sudan</v>
      </c>
      <c r="BA134" s="37">
        <f>VLOOKUP(AA134,'Lookup Table'!$J$3:$K$27,2,0)</f>
        <v>1</v>
      </c>
      <c r="BB134" s="37">
        <f t="shared" si="58"/>
        <v>1</v>
      </c>
      <c r="BC134" s="37">
        <f t="shared" si="59"/>
        <v>1</v>
      </c>
      <c r="BD134" s="37">
        <f>IF(AND(K134&lt;'ECL Calculation'!$B$1,'Input Sheet'!W134="No"),3,IF(X134="Yes",2,1))</f>
        <v>2</v>
      </c>
      <c r="BE134" s="37">
        <f t="shared" si="60"/>
        <v>3</v>
      </c>
      <c r="BF134" s="37" t="str">
        <f t="shared" si="61"/>
        <v>Stage 3</v>
      </c>
      <c r="BG134" s="37" t="str">
        <f t="shared" si="62"/>
        <v>Yes</v>
      </c>
    </row>
    <row r="135" spans="1:59" x14ac:dyDescent="0.2">
      <c r="A135" s="35">
        <f t="shared" si="63"/>
        <v>133</v>
      </c>
      <c r="B135" s="33">
        <v>1141</v>
      </c>
      <c r="C135" s="33" t="s">
        <v>381</v>
      </c>
      <c r="D135" s="33" t="s">
        <v>806</v>
      </c>
      <c r="E135" s="33" t="s">
        <v>480</v>
      </c>
      <c r="F135" s="33" t="s">
        <v>542</v>
      </c>
      <c r="G135" s="117">
        <v>3</v>
      </c>
      <c r="H135" s="34">
        <v>37734</v>
      </c>
      <c r="I135" s="34">
        <v>37787</v>
      </c>
      <c r="J135" s="34">
        <v>37787</v>
      </c>
      <c r="K135" s="34">
        <v>45046</v>
      </c>
      <c r="L135" s="34">
        <v>39751</v>
      </c>
      <c r="M135" s="34">
        <v>37924</v>
      </c>
      <c r="N135" s="113">
        <v>14</v>
      </c>
      <c r="O135" s="200">
        <v>69668833.079999998</v>
      </c>
      <c r="P135" s="200">
        <v>69668833.079999998</v>
      </c>
      <c r="Q135" s="200">
        <v>18246233.079999998</v>
      </c>
      <c r="R135" s="201">
        <v>531777.93000000005</v>
      </c>
      <c r="S135" s="33" t="s">
        <v>22</v>
      </c>
      <c r="T135" s="33" t="s">
        <v>22</v>
      </c>
      <c r="U135" s="33" t="s">
        <v>203</v>
      </c>
      <c r="V135" s="33"/>
      <c r="W135" s="33" t="s">
        <v>210</v>
      </c>
      <c r="X135" s="33" t="s">
        <v>210</v>
      </c>
      <c r="Y135" s="33"/>
      <c r="Z135" s="33" t="s">
        <v>209</v>
      </c>
      <c r="AA135" s="35" t="str">
        <f>_xlfn.IFNA(VLOOKUP(E135,'Lookup Table'!$J$33:$K$176,2,0),"B3")</f>
        <v>Ba1</v>
      </c>
      <c r="AB135" s="35">
        <f>_xlfn.IFNA(VLOOKUP($AA135,'Rating Lookup'!$B$2:$I$27,8,0),15)</f>
        <v>11</v>
      </c>
      <c r="AC135" s="35" t="str">
        <f>_xlfn.IFNA(VLOOKUP(E135,'Lookup Table'!$M$33:$N$173,2,0),"B3")</f>
        <v>Ba1</v>
      </c>
      <c r="AD135" s="35">
        <f>_xlfn.IFNA(VLOOKUP($AC135,'Rating Lookup'!$B$2:$I$27,8,0),15)</f>
        <v>11</v>
      </c>
      <c r="AE135" s="35">
        <f t="shared" si="44"/>
        <v>0</v>
      </c>
      <c r="AG135" s="35" t="str">
        <f t="shared" si="45"/>
        <v>CIRCULAR ROAD AROUND SATTAT CITY</v>
      </c>
      <c r="AH135" s="35" t="str">
        <f t="shared" si="46"/>
        <v>Government Loan</v>
      </c>
      <c r="AI135" s="202">
        <f>'ECL Calculation'!$B$1</f>
        <v>43465</v>
      </c>
      <c r="AJ135" s="202">
        <f t="shared" si="47"/>
        <v>39751</v>
      </c>
      <c r="AK135" s="202">
        <f t="shared" si="48"/>
        <v>37924</v>
      </c>
      <c r="AL135" s="127">
        <f t="shared" si="49"/>
        <v>14</v>
      </c>
      <c r="AM135" s="192">
        <f>IF(AND(IF(ISBLANK(K135),EOMONTH(AJ135,AL135*12),K135)&lt;'ECL Calculation'!$B$1,SUM('Input Sheet'!Q135,'Input Sheet'!R135)&gt;0),EOMONTH('ECL Calculation'!$B$1,12*5),IF(ISBLANK(K135),EOMONTH(AJ135,AL135*12),K135))</f>
        <v>45046</v>
      </c>
      <c r="AN135" s="203">
        <f t="shared" si="50"/>
        <v>69668833.079999998</v>
      </c>
      <c r="AO135" s="203">
        <f t="shared" si="51"/>
        <v>69668833.079999998</v>
      </c>
      <c r="AP135" s="203">
        <f t="shared" si="52"/>
        <v>0</v>
      </c>
      <c r="AQ135" s="126">
        <f>VLOOKUP(U135,'Lookup Table'!$B$2:$C$10,2,0)</f>
        <v>1</v>
      </c>
      <c r="AR135" s="127">
        <f>VLOOKUP(S135,'Lookup Table'!$B$2:$C$9,2,0)</f>
        <v>2</v>
      </c>
      <c r="AS135" s="127">
        <f>VLOOKUP(T135,'Lookup Table'!$B$2:$C$9,2,0)</f>
        <v>2</v>
      </c>
      <c r="AT135" s="136">
        <f t="shared" si="53"/>
        <v>18246233.079999998</v>
      </c>
      <c r="AU135" s="128">
        <f t="shared" si="54"/>
        <v>0.03</v>
      </c>
      <c r="AV135" s="136">
        <f t="shared" si="55"/>
        <v>531777.93000000005</v>
      </c>
      <c r="AW135" s="37" t="str">
        <f t="shared" si="56"/>
        <v>Ba1</v>
      </c>
      <c r="AX135" s="128">
        <f>VLOOKUP(E135,'Lookup Table'!$B$12:$C$82,2,0)</f>
        <v>3.1662499999999996E-2</v>
      </c>
      <c r="AY135" s="128">
        <f>'Lookup Table'!$E$3</f>
        <v>0.45</v>
      </c>
      <c r="AZ135" s="129" t="str">
        <f t="shared" si="57"/>
        <v>Morocco</v>
      </c>
      <c r="BA135" s="37">
        <f>VLOOKUP(AA135,'Lookup Table'!$J$3:$K$27,2,0)</f>
        <v>1</v>
      </c>
      <c r="BB135" s="37">
        <f t="shared" si="58"/>
        <v>1</v>
      </c>
      <c r="BC135" s="37">
        <f t="shared" si="59"/>
        <v>1</v>
      </c>
      <c r="BD135" s="37">
        <f>IF(AND(K135&lt;'ECL Calculation'!$B$1,'Input Sheet'!W135="No"),3,IF(X135="Yes",2,1))</f>
        <v>1</v>
      </c>
      <c r="BE135" s="37">
        <f t="shared" si="60"/>
        <v>1</v>
      </c>
      <c r="BF135" s="37" t="str">
        <f t="shared" si="61"/>
        <v>Stage 1</v>
      </c>
      <c r="BG135" s="37" t="str">
        <f t="shared" si="62"/>
        <v>Yes</v>
      </c>
    </row>
    <row r="136" spans="1:59" x14ac:dyDescent="0.2">
      <c r="A136" s="35">
        <f t="shared" si="63"/>
        <v>134</v>
      </c>
      <c r="B136" s="33">
        <v>1142</v>
      </c>
      <c r="C136" s="33" t="s">
        <v>382</v>
      </c>
      <c r="D136" s="33" t="s">
        <v>806</v>
      </c>
      <c r="E136" s="33" t="s">
        <v>477</v>
      </c>
      <c r="F136" s="33" t="s">
        <v>542</v>
      </c>
      <c r="G136" s="117">
        <v>2.5</v>
      </c>
      <c r="H136" s="34">
        <v>37886</v>
      </c>
      <c r="I136" s="34">
        <v>37902</v>
      </c>
      <c r="J136" s="34">
        <v>37902</v>
      </c>
      <c r="K136" s="34">
        <v>45046</v>
      </c>
      <c r="L136" s="34">
        <v>39751</v>
      </c>
      <c r="M136" s="34">
        <v>37924</v>
      </c>
      <c r="N136" s="113">
        <v>15</v>
      </c>
      <c r="O136" s="200">
        <v>109658407.34</v>
      </c>
      <c r="P136" s="200">
        <v>109658407.34</v>
      </c>
      <c r="Q136" s="200">
        <v>32525407.34</v>
      </c>
      <c r="R136" s="201">
        <v>135267.57999999999</v>
      </c>
      <c r="S136" s="33" t="s">
        <v>22</v>
      </c>
      <c r="T136" s="33" t="s">
        <v>22</v>
      </c>
      <c r="U136" s="33" t="s">
        <v>203</v>
      </c>
      <c r="V136" s="33"/>
      <c r="W136" s="33" t="s">
        <v>210</v>
      </c>
      <c r="X136" s="33" t="s">
        <v>210</v>
      </c>
      <c r="Y136" s="33"/>
      <c r="Z136" s="33" t="s">
        <v>209</v>
      </c>
      <c r="AA136" s="35" t="str">
        <f>_xlfn.IFNA(VLOOKUP(E136,'Lookup Table'!$J$33:$K$176,2,0),"B3")</f>
        <v>B1</v>
      </c>
      <c r="AB136" s="35">
        <f>_xlfn.IFNA(VLOOKUP($AA136,'Rating Lookup'!$B$2:$I$27,8,0),15)</f>
        <v>14</v>
      </c>
      <c r="AC136" s="35" t="str">
        <f>_xlfn.IFNA(VLOOKUP(E136,'Lookup Table'!$M$33:$N$173,2,0),"B3")</f>
        <v>Ba2</v>
      </c>
      <c r="AD136" s="35">
        <f>_xlfn.IFNA(VLOOKUP($AC136,'Rating Lookup'!$B$2:$I$27,8,0),15)</f>
        <v>12</v>
      </c>
      <c r="AE136" s="35">
        <f t="shared" si="44"/>
        <v>2</v>
      </c>
      <c r="AG136" s="35" t="str">
        <f t="shared" si="45"/>
        <v>DEVELOPING SOUTHERN LOCATION OF AL-SHALALAH AT AL-AQABA</v>
      </c>
      <c r="AH136" s="35" t="str">
        <f t="shared" si="46"/>
        <v>Government Loan</v>
      </c>
      <c r="AI136" s="202">
        <f>'ECL Calculation'!$B$1</f>
        <v>43465</v>
      </c>
      <c r="AJ136" s="202">
        <f t="shared" si="47"/>
        <v>39751</v>
      </c>
      <c r="AK136" s="202">
        <f t="shared" si="48"/>
        <v>37924</v>
      </c>
      <c r="AL136" s="127">
        <f t="shared" si="49"/>
        <v>15</v>
      </c>
      <c r="AM136" s="192">
        <f>IF(AND(IF(ISBLANK(K136),EOMONTH(AJ136,AL136*12),K136)&lt;'ECL Calculation'!$B$1,SUM('Input Sheet'!Q136,'Input Sheet'!R136)&gt;0),EOMONTH('ECL Calculation'!$B$1,12*5),IF(ISBLANK(K136),EOMONTH(AJ136,AL136*12),K136))</f>
        <v>45046</v>
      </c>
      <c r="AN136" s="203">
        <f t="shared" si="50"/>
        <v>109658407.34</v>
      </c>
      <c r="AO136" s="203">
        <f t="shared" si="51"/>
        <v>109658407.34</v>
      </c>
      <c r="AP136" s="203">
        <f t="shared" si="52"/>
        <v>0</v>
      </c>
      <c r="AQ136" s="126">
        <f>VLOOKUP(U136,'Lookup Table'!$B$2:$C$10,2,0)</f>
        <v>1</v>
      </c>
      <c r="AR136" s="127">
        <f>VLOOKUP(S136,'Lookup Table'!$B$2:$C$9,2,0)</f>
        <v>2</v>
      </c>
      <c r="AS136" s="127">
        <f>VLOOKUP(T136,'Lookup Table'!$B$2:$C$9,2,0)</f>
        <v>2</v>
      </c>
      <c r="AT136" s="136">
        <f t="shared" si="53"/>
        <v>32525407.34</v>
      </c>
      <c r="AU136" s="128">
        <f t="shared" si="54"/>
        <v>2.5000000000000001E-2</v>
      </c>
      <c r="AV136" s="136">
        <f t="shared" si="55"/>
        <v>135267.57999999999</v>
      </c>
      <c r="AW136" s="37" t="str">
        <f t="shared" si="56"/>
        <v>B1</v>
      </c>
      <c r="AX136" s="128">
        <f>VLOOKUP(E136,'Lookup Table'!$B$12:$C$82,2,0)</f>
        <v>3.5909090909090911E-2</v>
      </c>
      <c r="AY136" s="128">
        <f>'Lookup Table'!$E$3</f>
        <v>0.45</v>
      </c>
      <c r="AZ136" s="129" t="str">
        <f t="shared" si="57"/>
        <v>Jordan</v>
      </c>
      <c r="BA136" s="37">
        <f>VLOOKUP(AA136,'Lookup Table'!$J$3:$K$27,2,0)</f>
        <v>1</v>
      </c>
      <c r="BB136" s="37">
        <f t="shared" si="58"/>
        <v>2</v>
      </c>
      <c r="BC136" s="37">
        <f t="shared" si="59"/>
        <v>1</v>
      </c>
      <c r="BD136" s="37">
        <f>IF(AND(K136&lt;'ECL Calculation'!$B$1,'Input Sheet'!W136="No"),3,IF(X136="Yes",2,1))</f>
        <v>1</v>
      </c>
      <c r="BE136" s="37">
        <f t="shared" si="60"/>
        <v>1</v>
      </c>
      <c r="BF136" s="37" t="str">
        <f t="shared" si="61"/>
        <v>Stage 2</v>
      </c>
      <c r="BG136" s="37" t="str">
        <f t="shared" si="62"/>
        <v>Yes</v>
      </c>
    </row>
    <row r="137" spans="1:59" x14ac:dyDescent="0.2">
      <c r="A137" s="35">
        <f t="shared" si="63"/>
        <v>135</v>
      </c>
      <c r="B137" s="33">
        <v>1143</v>
      </c>
      <c r="C137" s="33" t="s">
        <v>383</v>
      </c>
      <c r="D137" s="33" t="s">
        <v>806</v>
      </c>
      <c r="E137" s="33" t="s">
        <v>477</v>
      </c>
      <c r="F137" s="33" t="s">
        <v>542</v>
      </c>
      <c r="G137" s="117">
        <v>2.5</v>
      </c>
      <c r="H137" s="34">
        <v>37886</v>
      </c>
      <c r="I137" s="34">
        <v>37902</v>
      </c>
      <c r="J137" s="34">
        <v>37902</v>
      </c>
      <c r="K137" s="34">
        <v>45046</v>
      </c>
      <c r="L137" s="34">
        <v>39751</v>
      </c>
      <c r="M137" s="34">
        <v>37924</v>
      </c>
      <c r="N137" s="113">
        <v>15</v>
      </c>
      <c r="O137" s="200">
        <v>44076000</v>
      </c>
      <c r="P137" s="200">
        <v>44076000</v>
      </c>
      <c r="Q137" s="200">
        <v>13206000</v>
      </c>
      <c r="R137" s="201">
        <v>54895.87</v>
      </c>
      <c r="S137" s="33" t="s">
        <v>22</v>
      </c>
      <c r="T137" s="33" t="s">
        <v>22</v>
      </c>
      <c r="U137" s="33" t="s">
        <v>203</v>
      </c>
      <c r="V137" s="33"/>
      <c r="W137" s="33" t="s">
        <v>210</v>
      </c>
      <c r="X137" s="33" t="s">
        <v>210</v>
      </c>
      <c r="Y137" s="33"/>
      <c r="Z137" s="33" t="s">
        <v>209</v>
      </c>
      <c r="AA137" s="35" t="str">
        <f>_xlfn.IFNA(VLOOKUP(E137,'Lookup Table'!$J$33:$K$176,2,0),"B3")</f>
        <v>B1</v>
      </c>
      <c r="AB137" s="35">
        <f>_xlfn.IFNA(VLOOKUP($AA137,'Rating Lookup'!$B$2:$I$27,8,0),15)</f>
        <v>14</v>
      </c>
      <c r="AC137" s="35" t="str">
        <f>_xlfn.IFNA(VLOOKUP(E137,'Lookup Table'!$M$33:$N$173,2,0),"B3")</f>
        <v>Ba2</v>
      </c>
      <c r="AD137" s="35">
        <f>_xlfn.IFNA(VLOOKUP($AC137,'Rating Lookup'!$B$2:$I$27,8,0),15)</f>
        <v>12</v>
      </c>
      <c r="AE137" s="35">
        <f t="shared" si="44"/>
        <v>2</v>
      </c>
      <c r="AG137" s="35" t="str">
        <f t="shared" si="45"/>
        <v>CHILDREN HOSPITAL</v>
      </c>
      <c r="AH137" s="35" t="str">
        <f t="shared" si="46"/>
        <v>Government Loan</v>
      </c>
      <c r="AI137" s="202">
        <f>'ECL Calculation'!$B$1</f>
        <v>43465</v>
      </c>
      <c r="AJ137" s="202">
        <f t="shared" si="47"/>
        <v>39751</v>
      </c>
      <c r="AK137" s="202">
        <f t="shared" si="48"/>
        <v>37924</v>
      </c>
      <c r="AL137" s="127">
        <f t="shared" si="49"/>
        <v>15</v>
      </c>
      <c r="AM137" s="192">
        <f>IF(AND(IF(ISBLANK(K137),EOMONTH(AJ137,AL137*12),K137)&lt;'ECL Calculation'!$B$1,SUM('Input Sheet'!Q137,'Input Sheet'!R137)&gt;0),EOMONTH('ECL Calculation'!$B$1,12*5),IF(ISBLANK(K137),EOMONTH(AJ137,AL137*12),K137))</f>
        <v>45046</v>
      </c>
      <c r="AN137" s="203">
        <f t="shared" si="50"/>
        <v>44076000</v>
      </c>
      <c r="AO137" s="203">
        <f t="shared" si="51"/>
        <v>44076000</v>
      </c>
      <c r="AP137" s="203">
        <f t="shared" si="52"/>
        <v>0</v>
      </c>
      <c r="AQ137" s="126">
        <f>VLOOKUP(U137,'Lookup Table'!$B$2:$C$10,2,0)</f>
        <v>1</v>
      </c>
      <c r="AR137" s="127">
        <f>VLOOKUP(S137,'Lookup Table'!$B$2:$C$9,2,0)</f>
        <v>2</v>
      </c>
      <c r="AS137" s="127">
        <f>VLOOKUP(T137,'Lookup Table'!$B$2:$C$9,2,0)</f>
        <v>2</v>
      </c>
      <c r="AT137" s="136">
        <f t="shared" si="53"/>
        <v>13206000</v>
      </c>
      <c r="AU137" s="128">
        <f t="shared" si="54"/>
        <v>2.5000000000000001E-2</v>
      </c>
      <c r="AV137" s="136">
        <f t="shared" si="55"/>
        <v>54895.87</v>
      </c>
      <c r="AW137" s="37" t="str">
        <f t="shared" si="56"/>
        <v>B1</v>
      </c>
      <c r="AX137" s="128">
        <f>VLOOKUP(E137,'Lookup Table'!$B$12:$C$82,2,0)</f>
        <v>3.5909090909090911E-2</v>
      </c>
      <c r="AY137" s="128">
        <f>'Lookup Table'!$E$3</f>
        <v>0.45</v>
      </c>
      <c r="AZ137" s="129" t="str">
        <f t="shared" si="57"/>
        <v>Jordan</v>
      </c>
      <c r="BA137" s="37">
        <f>VLOOKUP(AA137,'Lookup Table'!$J$3:$K$27,2,0)</f>
        <v>1</v>
      </c>
      <c r="BB137" s="37">
        <f t="shared" si="58"/>
        <v>2</v>
      </c>
      <c r="BC137" s="37">
        <f t="shared" si="59"/>
        <v>1</v>
      </c>
      <c r="BD137" s="37">
        <f>IF(AND(K137&lt;'ECL Calculation'!$B$1,'Input Sheet'!W137="No"),3,IF(X137="Yes",2,1))</f>
        <v>1</v>
      </c>
      <c r="BE137" s="37">
        <f t="shared" si="60"/>
        <v>1</v>
      </c>
      <c r="BF137" s="37" t="str">
        <f t="shared" si="61"/>
        <v>Stage 2</v>
      </c>
      <c r="BG137" s="37" t="str">
        <f t="shared" si="62"/>
        <v>Yes</v>
      </c>
    </row>
    <row r="138" spans="1:59" x14ac:dyDescent="0.2">
      <c r="A138" s="35">
        <f t="shared" si="63"/>
        <v>136</v>
      </c>
      <c r="B138" s="33">
        <v>1144</v>
      </c>
      <c r="C138" s="33" t="s">
        <v>384</v>
      </c>
      <c r="D138" s="33" t="s">
        <v>806</v>
      </c>
      <c r="E138" s="33" t="s">
        <v>519</v>
      </c>
      <c r="F138" s="33" t="s">
        <v>542</v>
      </c>
      <c r="G138" s="117">
        <v>2.5</v>
      </c>
      <c r="H138" s="34">
        <v>38068</v>
      </c>
      <c r="I138" s="34">
        <v>38186</v>
      </c>
      <c r="J138" s="34">
        <v>38186</v>
      </c>
      <c r="K138" s="34">
        <v>45229</v>
      </c>
      <c r="L138" s="34">
        <v>39568</v>
      </c>
      <c r="M138" s="34">
        <v>38290</v>
      </c>
      <c r="N138" s="113">
        <v>16</v>
      </c>
      <c r="O138" s="200">
        <v>36729750.710000001</v>
      </c>
      <c r="P138" s="200">
        <v>36729750.710000001</v>
      </c>
      <c r="Q138" s="200">
        <v>0</v>
      </c>
      <c r="R138" s="201">
        <v>-79.87</v>
      </c>
      <c r="S138" s="33" t="s">
        <v>22</v>
      </c>
      <c r="T138" s="33" t="s">
        <v>22</v>
      </c>
      <c r="U138" s="33" t="s">
        <v>203</v>
      </c>
      <c r="V138" s="33"/>
      <c r="W138" s="33" t="s">
        <v>210</v>
      </c>
      <c r="X138" s="33" t="s">
        <v>210</v>
      </c>
      <c r="Y138" s="33"/>
      <c r="Z138" s="33" t="s">
        <v>209</v>
      </c>
      <c r="AA138" s="35" t="str">
        <f>_xlfn.IFNA(VLOOKUP(E138,'Lookup Table'!$J$33:$K$176,2,0),"B3")</f>
        <v>Ba2</v>
      </c>
      <c r="AB138" s="35">
        <f>_xlfn.IFNA(VLOOKUP($AA138,'Rating Lookup'!$B$2:$I$27,8,0),15)</f>
        <v>12</v>
      </c>
      <c r="AC138" s="35" t="str">
        <f>_xlfn.IFNA(VLOOKUP(E138,'Lookup Table'!$M$33:$N$173,2,0),"B3")</f>
        <v>Baa3</v>
      </c>
      <c r="AD138" s="35">
        <f>_xlfn.IFNA(VLOOKUP($AC138,'Rating Lookup'!$B$2:$I$27,8,0),15)</f>
        <v>10</v>
      </c>
      <c r="AE138" s="35">
        <f t="shared" si="44"/>
        <v>2</v>
      </c>
      <c r="AG138" s="35" t="str">
        <f t="shared" si="45"/>
        <v>BAKU BYPASS HIGHWAY</v>
      </c>
      <c r="AH138" s="35" t="str">
        <f t="shared" si="46"/>
        <v>Government Loan</v>
      </c>
      <c r="AI138" s="202">
        <f>'ECL Calculation'!$B$1</f>
        <v>43465</v>
      </c>
      <c r="AJ138" s="202">
        <f t="shared" si="47"/>
        <v>39568</v>
      </c>
      <c r="AK138" s="202">
        <f t="shared" si="48"/>
        <v>38290</v>
      </c>
      <c r="AL138" s="127">
        <f t="shared" si="49"/>
        <v>16</v>
      </c>
      <c r="AM138" s="192">
        <f>IF(AND(IF(ISBLANK(K138),EOMONTH(AJ138,AL138*12),K138)&lt;'ECL Calculation'!$B$1,SUM('Input Sheet'!Q138,'Input Sheet'!R138)&gt;0),EOMONTH('ECL Calculation'!$B$1,12*5),IF(ISBLANK(K138),EOMONTH(AJ138,AL138*12),K138))</f>
        <v>45229</v>
      </c>
      <c r="AN138" s="203">
        <f t="shared" si="50"/>
        <v>36729750.710000001</v>
      </c>
      <c r="AO138" s="203">
        <f t="shared" si="51"/>
        <v>36729750.710000001</v>
      </c>
      <c r="AP138" s="203">
        <f t="shared" si="52"/>
        <v>0</v>
      </c>
      <c r="AQ138" s="126">
        <f>VLOOKUP(U138,'Lookup Table'!$B$2:$C$10,2,0)</f>
        <v>1</v>
      </c>
      <c r="AR138" s="127">
        <f>VLOOKUP(S138,'Lookup Table'!$B$2:$C$9,2,0)</f>
        <v>2</v>
      </c>
      <c r="AS138" s="127">
        <f>VLOOKUP(T138,'Lookup Table'!$B$2:$C$9,2,0)</f>
        <v>2</v>
      </c>
      <c r="AT138" s="136">
        <f t="shared" si="53"/>
        <v>0</v>
      </c>
      <c r="AU138" s="128">
        <f t="shared" si="54"/>
        <v>2.5000000000000001E-2</v>
      </c>
      <c r="AV138" s="136">
        <f t="shared" si="55"/>
        <v>-79.87</v>
      </c>
      <c r="AW138" s="37" t="str">
        <f t="shared" si="56"/>
        <v>Ba2</v>
      </c>
      <c r="AX138" s="128">
        <f>VLOOKUP(E138,'Lookup Table'!$B$12:$C$82,2,0)</f>
        <v>4.2500000000000003E-2</v>
      </c>
      <c r="AY138" s="128">
        <f>'Lookup Table'!$E$3</f>
        <v>0.45</v>
      </c>
      <c r="AZ138" s="129" t="str">
        <f t="shared" si="57"/>
        <v>Azerbaijan</v>
      </c>
      <c r="BA138" s="37">
        <f>VLOOKUP(AA138,'Lookup Table'!$J$3:$K$27,2,0)</f>
        <v>1</v>
      </c>
      <c r="BB138" s="37">
        <f t="shared" si="58"/>
        <v>2</v>
      </c>
      <c r="BC138" s="37">
        <f t="shared" si="59"/>
        <v>1</v>
      </c>
      <c r="BD138" s="37">
        <f>IF(AND(K138&lt;'ECL Calculation'!$B$1,'Input Sheet'!W138="No"),3,IF(X138="Yes",2,1))</f>
        <v>1</v>
      </c>
      <c r="BE138" s="37">
        <f t="shared" si="60"/>
        <v>1</v>
      </c>
      <c r="BF138" s="37" t="str">
        <f t="shared" si="61"/>
        <v>Stage 2</v>
      </c>
      <c r="BG138" s="37" t="str">
        <f t="shared" si="62"/>
        <v>No</v>
      </c>
    </row>
    <row r="139" spans="1:59" x14ac:dyDescent="0.2">
      <c r="A139" s="35">
        <f t="shared" si="63"/>
        <v>137</v>
      </c>
      <c r="B139" s="33">
        <v>1145</v>
      </c>
      <c r="C139" s="33" t="s">
        <v>385</v>
      </c>
      <c r="D139" s="33" t="s">
        <v>806</v>
      </c>
      <c r="E139" s="33" t="s">
        <v>24</v>
      </c>
      <c r="F139" s="33" t="s">
        <v>542</v>
      </c>
      <c r="G139" s="117">
        <v>2.5</v>
      </c>
      <c r="H139" s="34">
        <v>38362</v>
      </c>
      <c r="I139" s="34">
        <v>38403</v>
      </c>
      <c r="J139" s="34">
        <v>38403</v>
      </c>
      <c r="K139" s="34">
        <v>44864</v>
      </c>
      <c r="L139" s="34">
        <v>39568</v>
      </c>
      <c r="M139" s="34">
        <v>38472</v>
      </c>
      <c r="N139" s="113">
        <v>3</v>
      </c>
      <c r="O139" s="200">
        <v>136858626.11000001</v>
      </c>
      <c r="P139" s="200">
        <v>136858626.11000001</v>
      </c>
      <c r="Q139" s="200">
        <v>0</v>
      </c>
      <c r="R139" s="201">
        <v>0</v>
      </c>
      <c r="S139" s="33" t="s">
        <v>22</v>
      </c>
      <c r="T139" s="33" t="s">
        <v>22</v>
      </c>
      <c r="U139" s="33" t="s">
        <v>203</v>
      </c>
      <c r="V139" s="33"/>
      <c r="W139" s="33" t="s">
        <v>210</v>
      </c>
      <c r="X139" s="33" t="s">
        <v>210</v>
      </c>
      <c r="Y139" s="33"/>
      <c r="Z139" s="33" t="s">
        <v>209</v>
      </c>
      <c r="AA139" s="35" t="str">
        <f>_xlfn.IFNA(VLOOKUP(E139,'Lookup Table'!$J$33:$K$176,2,0),"B3")</f>
        <v>Ba1</v>
      </c>
      <c r="AB139" s="35">
        <f>_xlfn.IFNA(VLOOKUP($AA139,'Rating Lookup'!$B$2:$I$27,8,0),15)</f>
        <v>11</v>
      </c>
      <c r="AC139" s="35" t="str">
        <f>_xlfn.IFNA(VLOOKUP(E139,'Lookup Table'!$M$33:$N$173,2,0),"B3")</f>
        <v>A1</v>
      </c>
      <c r="AD139" s="35">
        <f>_xlfn.IFNA(VLOOKUP($AC139,'Rating Lookup'!$B$2:$I$27,8,0),15)</f>
        <v>5</v>
      </c>
      <c r="AE139" s="35">
        <f t="shared" si="44"/>
        <v>6</v>
      </c>
      <c r="AG139" s="35" t="str">
        <f t="shared" si="45"/>
        <v>QRIAT-MUSCAT ROAD</v>
      </c>
      <c r="AH139" s="35" t="str">
        <f t="shared" si="46"/>
        <v>Government Loan</v>
      </c>
      <c r="AI139" s="202">
        <f>'ECL Calculation'!$B$1</f>
        <v>43465</v>
      </c>
      <c r="AJ139" s="202">
        <f t="shared" si="47"/>
        <v>39568</v>
      </c>
      <c r="AK139" s="202">
        <f t="shared" si="48"/>
        <v>38472</v>
      </c>
      <c r="AL139" s="127">
        <f t="shared" si="49"/>
        <v>3</v>
      </c>
      <c r="AM139" s="192">
        <f>IF(AND(IF(ISBLANK(K139),EOMONTH(AJ139,AL139*12),K139)&lt;'ECL Calculation'!$B$1,SUM('Input Sheet'!Q139,'Input Sheet'!R139)&gt;0),EOMONTH('ECL Calculation'!$B$1,12*5),IF(ISBLANK(K139),EOMONTH(AJ139,AL139*12),K139))</f>
        <v>44864</v>
      </c>
      <c r="AN139" s="203">
        <f t="shared" si="50"/>
        <v>136858626.11000001</v>
      </c>
      <c r="AO139" s="203">
        <f t="shared" si="51"/>
        <v>136858626.11000001</v>
      </c>
      <c r="AP139" s="203">
        <f t="shared" si="52"/>
        <v>0</v>
      </c>
      <c r="AQ139" s="126">
        <f>VLOOKUP(U139,'Lookup Table'!$B$2:$C$10,2,0)</f>
        <v>1</v>
      </c>
      <c r="AR139" s="127">
        <f>VLOOKUP(S139,'Lookup Table'!$B$2:$C$9,2,0)</f>
        <v>2</v>
      </c>
      <c r="AS139" s="127">
        <f>VLOOKUP(T139,'Lookup Table'!$B$2:$C$9,2,0)</f>
        <v>2</v>
      </c>
      <c r="AT139" s="136">
        <f t="shared" si="53"/>
        <v>0</v>
      </c>
      <c r="AU139" s="128">
        <f t="shared" si="54"/>
        <v>2.5000000000000001E-2</v>
      </c>
      <c r="AV139" s="136">
        <f t="shared" si="55"/>
        <v>0</v>
      </c>
      <c r="AW139" s="37" t="str">
        <f t="shared" si="56"/>
        <v>Ba1</v>
      </c>
      <c r="AX139" s="128">
        <f>VLOOKUP(E139,'Lookup Table'!$B$12:$C$82,2,0)</f>
        <v>3.6818181818181819E-2</v>
      </c>
      <c r="AY139" s="128">
        <f>'Lookup Table'!$E$3</f>
        <v>0.45</v>
      </c>
      <c r="AZ139" s="129" t="str">
        <f t="shared" si="57"/>
        <v>Oman</v>
      </c>
      <c r="BA139" s="37">
        <f>VLOOKUP(AA139,'Lookup Table'!$J$3:$K$27,2,0)</f>
        <v>1</v>
      </c>
      <c r="BB139" s="37">
        <f t="shared" si="58"/>
        <v>2</v>
      </c>
      <c r="BC139" s="37">
        <f t="shared" si="59"/>
        <v>1</v>
      </c>
      <c r="BD139" s="37">
        <f>IF(AND(K139&lt;'ECL Calculation'!$B$1,'Input Sheet'!W139="No"),3,IF(X139="Yes",2,1))</f>
        <v>1</v>
      </c>
      <c r="BE139" s="37">
        <f t="shared" si="60"/>
        <v>1</v>
      </c>
      <c r="BF139" s="37" t="str">
        <f t="shared" si="61"/>
        <v>Stage 2</v>
      </c>
      <c r="BG139" s="37" t="str">
        <f t="shared" si="62"/>
        <v>No</v>
      </c>
    </row>
    <row r="140" spans="1:59" x14ac:dyDescent="0.2">
      <c r="A140" s="35">
        <f t="shared" si="63"/>
        <v>138</v>
      </c>
      <c r="B140" s="33">
        <v>1146</v>
      </c>
      <c r="C140" s="33" t="s">
        <v>386</v>
      </c>
      <c r="D140" s="33" t="s">
        <v>806</v>
      </c>
      <c r="E140" s="33" t="s">
        <v>21</v>
      </c>
      <c r="F140" s="33" t="s">
        <v>542</v>
      </c>
      <c r="G140" s="117">
        <v>3</v>
      </c>
      <c r="H140" s="34">
        <v>38455</v>
      </c>
      <c r="I140" s="34">
        <v>38620</v>
      </c>
      <c r="J140" s="34">
        <v>38620</v>
      </c>
      <c r="K140" s="34">
        <v>44316</v>
      </c>
      <c r="L140" s="34">
        <v>40116</v>
      </c>
      <c r="M140" s="34">
        <v>38655</v>
      </c>
      <c r="N140" s="113">
        <v>12</v>
      </c>
      <c r="O140" s="200">
        <v>36730000</v>
      </c>
      <c r="P140" s="200">
        <v>36729999.969999999</v>
      </c>
      <c r="Q140" s="200">
        <v>7640999.9699999997</v>
      </c>
      <c r="R140" s="201">
        <v>38077.32</v>
      </c>
      <c r="S140" s="33" t="s">
        <v>22</v>
      </c>
      <c r="T140" s="33" t="s">
        <v>22</v>
      </c>
      <c r="U140" s="33" t="s">
        <v>203</v>
      </c>
      <c r="V140" s="33"/>
      <c r="W140" s="33" t="s">
        <v>210</v>
      </c>
      <c r="X140" s="33" t="s">
        <v>210</v>
      </c>
      <c r="Y140" s="33"/>
      <c r="Z140" s="33" t="s">
        <v>209</v>
      </c>
      <c r="AA140" s="35" t="str">
        <f>_xlfn.IFNA(VLOOKUP(E140,'Lookup Table'!$J$33:$K$176,2,0),"B3")</f>
        <v>Caa1</v>
      </c>
      <c r="AB140" s="35">
        <f>_xlfn.IFNA(VLOOKUP($AA140,'Rating Lookup'!$B$2:$I$27,8,0),15)</f>
        <v>17</v>
      </c>
      <c r="AC140" s="35" t="str">
        <f>_xlfn.IFNA(VLOOKUP(E140,'Lookup Table'!$M$33:$N$173,2,0),"B3")</f>
        <v>B1</v>
      </c>
      <c r="AD140" s="35">
        <f>_xlfn.IFNA(VLOOKUP($AC140,'Rating Lookup'!$B$2:$I$27,8,0),15)</f>
        <v>14</v>
      </c>
      <c r="AE140" s="35">
        <f t="shared" si="44"/>
        <v>3</v>
      </c>
      <c r="AG140" s="35" t="str">
        <f t="shared" si="45"/>
        <v>AL NABATIYA WATER PROJECT</v>
      </c>
      <c r="AH140" s="35" t="str">
        <f t="shared" si="46"/>
        <v>Government Loan</v>
      </c>
      <c r="AI140" s="202">
        <f>'ECL Calculation'!$B$1</f>
        <v>43465</v>
      </c>
      <c r="AJ140" s="202">
        <f t="shared" si="47"/>
        <v>40116</v>
      </c>
      <c r="AK140" s="202">
        <f t="shared" si="48"/>
        <v>38655</v>
      </c>
      <c r="AL140" s="127">
        <f t="shared" si="49"/>
        <v>12</v>
      </c>
      <c r="AM140" s="192">
        <f>IF(AND(IF(ISBLANK(K140),EOMONTH(AJ140,AL140*12),K140)&lt;'ECL Calculation'!$B$1,SUM('Input Sheet'!Q140,'Input Sheet'!R140)&gt;0),EOMONTH('ECL Calculation'!$B$1,12*5),IF(ISBLANK(K140),EOMONTH(AJ140,AL140*12),K140))</f>
        <v>44316</v>
      </c>
      <c r="AN140" s="203">
        <f t="shared" si="50"/>
        <v>36730000</v>
      </c>
      <c r="AO140" s="203">
        <f t="shared" si="51"/>
        <v>36729999.969999999</v>
      </c>
      <c r="AP140" s="203">
        <f t="shared" si="52"/>
        <v>3.0000001192092896E-2</v>
      </c>
      <c r="AQ140" s="126">
        <f>VLOOKUP(U140,'Lookup Table'!$B$2:$C$10,2,0)</f>
        <v>1</v>
      </c>
      <c r="AR140" s="127">
        <f>VLOOKUP(S140,'Lookup Table'!$B$2:$C$9,2,0)</f>
        <v>2</v>
      </c>
      <c r="AS140" s="127">
        <f>VLOOKUP(T140,'Lookup Table'!$B$2:$C$9,2,0)</f>
        <v>2</v>
      </c>
      <c r="AT140" s="136">
        <f t="shared" si="53"/>
        <v>7640999.9699999997</v>
      </c>
      <c r="AU140" s="128">
        <f t="shared" si="54"/>
        <v>0.03</v>
      </c>
      <c r="AV140" s="136">
        <f t="shared" si="55"/>
        <v>38077.32</v>
      </c>
      <c r="AW140" s="37" t="str">
        <f t="shared" si="56"/>
        <v>Caa1</v>
      </c>
      <c r="AX140" s="128">
        <f>VLOOKUP(E140,'Lookup Table'!$B$12:$C$82,2,0)</f>
        <v>3.2857142857142856E-2</v>
      </c>
      <c r="AY140" s="128">
        <f>'Lookup Table'!$E$3</f>
        <v>0.45</v>
      </c>
      <c r="AZ140" s="129" t="str">
        <f t="shared" si="57"/>
        <v>Lebanon</v>
      </c>
      <c r="BA140" s="37">
        <f>VLOOKUP(AA140,'Lookup Table'!$J$3:$K$27,2,0)</f>
        <v>1</v>
      </c>
      <c r="BB140" s="37">
        <f t="shared" si="58"/>
        <v>2</v>
      </c>
      <c r="BC140" s="37">
        <f t="shared" si="59"/>
        <v>1</v>
      </c>
      <c r="BD140" s="37">
        <f>IF(AND(K140&lt;'ECL Calculation'!$B$1,'Input Sheet'!W140="No"),3,IF(X140="Yes",2,1))</f>
        <v>1</v>
      </c>
      <c r="BE140" s="37">
        <f t="shared" si="60"/>
        <v>1</v>
      </c>
      <c r="BF140" s="37" t="str">
        <f t="shared" si="61"/>
        <v>Stage 2</v>
      </c>
      <c r="BG140" s="37" t="str">
        <f t="shared" si="62"/>
        <v>Yes</v>
      </c>
    </row>
    <row r="141" spans="1:59" x14ac:dyDescent="0.2">
      <c r="A141" s="35">
        <f t="shared" si="63"/>
        <v>139</v>
      </c>
      <c r="B141" s="33">
        <v>1147</v>
      </c>
      <c r="C141" s="33" t="s">
        <v>387</v>
      </c>
      <c r="D141" s="33" t="s">
        <v>806</v>
      </c>
      <c r="E141" s="33" t="s">
        <v>21</v>
      </c>
      <c r="F141" s="33" t="s">
        <v>542</v>
      </c>
      <c r="G141" s="117">
        <v>3</v>
      </c>
      <c r="H141" s="34">
        <v>38455</v>
      </c>
      <c r="I141" s="34">
        <v>38620</v>
      </c>
      <c r="J141" s="34">
        <v>38620</v>
      </c>
      <c r="K141" s="34">
        <v>44316</v>
      </c>
      <c r="L141" s="34">
        <v>40116</v>
      </c>
      <c r="M141" s="34">
        <v>38655</v>
      </c>
      <c r="N141" s="113">
        <v>12</v>
      </c>
      <c r="O141" s="200">
        <v>36730000</v>
      </c>
      <c r="P141" s="200">
        <v>36460476.630000003</v>
      </c>
      <c r="Q141" s="200">
        <v>10433476.630000001</v>
      </c>
      <c r="R141" s="201">
        <v>52039.85</v>
      </c>
      <c r="S141" s="33" t="s">
        <v>22</v>
      </c>
      <c r="T141" s="33" t="s">
        <v>22</v>
      </c>
      <c r="U141" s="33" t="s">
        <v>203</v>
      </c>
      <c r="V141" s="33"/>
      <c r="W141" s="33" t="s">
        <v>210</v>
      </c>
      <c r="X141" s="33" t="s">
        <v>210</v>
      </c>
      <c r="Y141" s="33"/>
      <c r="Z141" s="33" t="s">
        <v>209</v>
      </c>
      <c r="AA141" s="35" t="str">
        <f>_xlfn.IFNA(VLOOKUP(E141,'Lookup Table'!$J$33:$K$176,2,0),"B3")</f>
        <v>Caa1</v>
      </c>
      <c r="AB141" s="35">
        <f>_xlfn.IFNA(VLOOKUP($AA141,'Rating Lookup'!$B$2:$I$27,8,0),15)</f>
        <v>17</v>
      </c>
      <c r="AC141" s="35" t="str">
        <f>_xlfn.IFNA(VLOOKUP(E141,'Lookup Table'!$M$33:$N$173,2,0),"B3")</f>
        <v>B1</v>
      </c>
      <c r="AD141" s="35">
        <f>_xlfn.IFNA(VLOOKUP($AC141,'Rating Lookup'!$B$2:$I$27,8,0),15)</f>
        <v>14</v>
      </c>
      <c r="AE141" s="35">
        <f t="shared" si="44"/>
        <v>3</v>
      </c>
      <c r="AG141" s="35" t="str">
        <f t="shared" si="45"/>
        <v>SEWERAG PROJECT IN EHDEN AND KORAH DISTRIC</v>
      </c>
      <c r="AH141" s="35" t="str">
        <f t="shared" si="46"/>
        <v>Government Loan</v>
      </c>
      <c r="AI141" s="202">
        <f>'ECL Calculation'!$B$1</f>
        <v>43465</v>
      </c>
      <c r="AJ141" s="202">
        <f t="shared" si="47"/>
        <v>40116</v>
      </c>
      <c r="AK141" s="202">
        <f t="shared" si="48"/>
        <v>38655</v>
      </c>
      <c r="AL141" s="127">
        <f t="shared" si="49"/>
        <v>12</v>
      </c>
      <c r="AM141" s="192">
        <f>IF(AND(IF(ISBLANK(K141),EOMONTH(AJ141,AL141*12),K141)&lt;'ECL Calculation'!$B$1,SUM('Input Sheet'!Q141,'Input Sheet'!R141)&gt;0),EOMONTH('ECL Calculation'!$B$1,12*5),IF(ISBLANK(K141),EOMONTH(AJ141,AL141*12),K141))</f>
        <v>44316</v>
      </c>
      <c r="AN141" s="203">
        <f t="shared" si="50"/>
        <v>36730000</v>
      </c>
      <c r="AO141" s="203">
        <f t="shared" si="51"/>
        <v>36460476.630000003</v>
      </c>
      <c r="AP141" s="203">
        <f t="shared" si="52"/>
        <v>269523.36999999732</v>
      </c>
      <c r="AQ141" s="126">
        <f>VLOOKUP(U141,'Lookup Table'!$B$2:$C$10,2,0)</f>
        <v>1</v>
      </c>
      <c r="AR141" s="127">
        <f>VLOOKUP(S141,'Lookup Table'!$B$2:$C$9,2,0)</f>
        <v>2</v>
      </c>
      <c r="AS141" s="127">
        <f>VLOOKUP(T141,'Lookup Table'!$B$2:$C$9,2,0)</f>
        <v>2</v>
      </c>
      <c r="AT141" s="136">
        <f t="shared" si="53"/>
        <v>10433476.630000001</v>
      </c>
      <c r="AU141" s="128">
        <f t="shared" si="54"/>
        <v>0.03</v>
      </c>
      <c r="AV141" s="136">
        <f t="shared" si="55"/>
        <v>52039.85</v>
      </c>
      <c r="AW141" s="37" t="str">
        <f t="shared" si="56"/>
        <v>Caa1</v>
      </c>
      <c r="AX141" s="128">
        <f>VLOOKUP(E141,'Lookup Table'!$B$12:$C$82,2,0)</f>
        <v>3.2857142857142856E-2</v>
      </c>
      <c r="AY141" s="128">
        <f>'Lookup Table'!$E$3</f>
        <v>0.45</v>
      </c>
      <c r="AZ141" s="129" t="str">
        <f t="shared" si="57"/>
        <v>Lebanon</v>
      </c>
      <c r="BA141" s="37">
        <f>VLOOKUP(AA141,'Lookup Table'!$J$3:$K$27,2,0)</f>
        <v>1</v>
      </c>
      <c r="BB141" s="37">
        <f t="shared" si="58"/>
        <v>2</v>
      </c>
      <c r="BC141" s="37">
        <f t="shared" si="59"/>
        <v>1</v>
      </c>
      <c r="BD141" s="37">
        <f>IF(AND(K141&lt;'ECL Calculation'!$B$1,'Input Sheet'!W141="No"),3,IF(X141="Yes",2,1))</f>
        <v>1</v>
      </c>
      <c r="BE141" s="37">
        <f t="shared" si="60"/>
        <v>1</v>
      </c>
      <c r="BF141" s="37" t="str">
        <f t="shared" si="61"/>
        <v>Stage 2</v>
      </c>
      <c r="BG141" s="37" t="str">
        <f t="shared" si="62"/>
        <v>Yes</v>
      </c>
    </row>
    <row r="142" spans="1:59" x14ac:dyDescent="0.2">
      <c r="A142" s="35">
        <f t="shared" si="63"/>
        <v>140</v>
      </c>
      <c r="B142" s="33">
        <v>1148</v>
      </c>
      <c r="C142" s="33" t="s">
        <v>388</v>
      </c>
      <c r="D142" s="33" t="s">
        <v>806</v>
      </c>
      <c r="E142" s="33" t="s">
        <v>21</v>
      </c>
      <c r="F142" s="33" t="s">
        <v>542</v>
      </c>
      <c r="G142" s="117">
        <v>3</v>
      </c>
      <c r="H142" s="34">
        <v>38455</v>
      </c>
      <c r="I142" s="34">
        <v>38620</v>
      </c>
      <c r="J142" s="34">
        <v>38620</v>
      </c>
      <c r="K142" s="34">
        <v>44316</v>
      </c>
      <c r="L142" s="34">
        <v>40116</v>
      </c>
      <c r="M142" s="34">
        <v>38655</v>
      </c>
      <c r="N142" s="113">
        <v>12</v>
      </c>
      <c r="O142" s="200">
        <v>36730000</v>
      </c>
      <c r="P142" s="200">
        <v>33409866.16</v>
      </c>
      <c r="Q142" s="200">
        <v>8972259.9499999993</v>
      </c>
      <c r="R142" s="201">
        <v>44733.71</v>
      </c>
      <c r="S142" s="33" t="s">
        <v>22</v>
      </c>
      <c r="T142" s="33" t="s">
        <v>22</v>
      </c>
      <c r="U142" s="33" t="s">
        <v>203</v>
      </c>
      <c r="V142" s="33"/>
      <c r="W142" s="33" t="s">
        <v>210</v>
      </c>
      <c r="X142" s="33" t="s">
        <v>210</v>
      </c>
      <c r="Y142" s="33"/>
      <c r="Z142" s="33" t="s">
        <v>209</v>
      </c>
      <c r="AA142" s="35" t="str">
        <f>_xlfn.IFNA(VLOOKUP(E142,'Lookup Table'!$J$33:$K$176,2,0),"B3")</f>
        <v>Caa1</v>
      </c>
      <c r="AB142" s="35">
        <f>_xlfn.IFNA(VLOOKUP($AA142,'Rating Lookup'!$B$2:$I$27,8,0),15)</f>
        <v>17</v>
      </c>
      <c r="AC142" s="35" t="str">
        <f>_xlfn.IFNA(VLOOKUP(E142,'Lookup Table'!$M$33:$N$173,2,0),"B3")</f>
        <v>B1</v>
      </c>
      <c r="AD142" s="35">
        <f>_xlfn.IFNA(VLOOKUP($AC142,'Rating Lookup'!$B$2:$I$27,8,0),15)</f>
        <v>14</v>
      </c>
      <c r="AE142" s="35">
        <f t="shared" si="44"/>
        <v>3</v>
      </c>
      <c r="AG142" s="35" t="str">
        <f t="shared" si="45"/>
        <v>MAIN ROADS INTERCHANGES  IN BEIRUT</v>
      </c>
      <c r="AH142" s="35" t="str">
        <f t="shared" si="46"/>
        <v>Government Loan</v>
      </c>
      <c r="AI142" s="202">
        <f>'ECL Calculation'!$B$1</f>
        <v>43465</v>
      </c>
      <c r="AJ142" s="202">
        <f t="shared" si="47"/>
        <v>40116</v>
      </c>
      <c r="AK142" s="202">
        <f t="shared" si="48"/>
        <v>38655</v>
      </c>
      <c r="AL142" s="127">
        <f t="shared" si="49"/>
        <v>12</v>
      </c>
      <c r="AM142" s="192">
        <f>IF(AND(IF(ISBLANK(K142),EOMONTH(AJ142,AL142*12),K142)&lt;'ECL Calculation'!$B$1,SUM('Input Sheet'!Q142,'Input Sheet'!R142)&gt;0),EOMONTH('ECL Calculation'!$B$1,12*5),IF(ISBLANK(K142),EOMONTH(AJ142,AL142*12),K142))</f>
        <v>44316</v>
      </c>
      <c r="AN142" s="203">
        <f t="shared" si="50"/>
        <v>36730000</v>
      </c>
      <c r="AO142" s="203">
        <f t="shared" si="51"/>
        <v>33409866.16</v>
      </c>
      <c r="AP142" s="203">
        <f t="shared" si="52"/>
        <v>3320133.84</v>
      </c>
      <c r="AQ142" s="126">
        <f>VLOOKUP(U142,'Lookup Table'!$B$2:$C$10,2,0)</f>
        <v>1</v>
      </c>
      <c r="AR142" s="127">
        <f>VLOOKUP(S142,'Lookup Table'!$B$2:$C$9,2,0)</f>
        <v>2</v>
      </c>
      <c r="AS142" s="127">
        <f>VLOOKUP(T142,'Lookup Table'!$B$2:$C$9,2,0)</f>
        <v>2</v>
      </c>
      <c r="AT142" s="136">
        <f t="shared" si="53"/>
        <v>8972259.9499999993</v>
      </c>
      <c r="AU142" s="128">
        <f t="shared" si="54"/>
        <v>0.03</v>
      </c>
      <c r="AV142" s="136">
        <f t="shared" si="55"/>
        <v>44733.71</v>
      </c>
      <c r="AW142" s="37" t="str">
        <f t="shared" si="56"/>
        <v>Caa1</v>
      </c>
      <c r="AX142" s="128">
        <f>VLOOKUP(E142,'Lookup Table'!$B$12:$C$82,2,0)</f>
        <v>3.2857142857142856E-2</v>
      </c>
      <c r="AY142" s="128">
        <f>'Lookup Table'!$E$3</f>
        <v>0.45</v>
      </c>
      <c r="AZ142" s="129" t="str">
        <f t="shared" si="57"/>
        <v>Lebanon</v>
      </c>
      <c r="BA142" s="37">
        <f>VLOOKUP(AA142,'Lookup Table'!$J$3:$K$27,2,0)</f>
        <v>1</v>
      </c>
      <c r="BB142" s="37">
        <f t="shared" si="58"/>
        <v>2</v>
      </c>
      <c r="BC142" s="37">
        <f t="shared" si="59"/>
        <v>1</v>
      </c>
      <c r="BD142" s="37">
        <f>IF(AND(K142&lt;'ECL Calculation'!$B$1,'Input Sheet'!W142="No"),3,IF(X142="Yes",2,1))</f>
        <v>1</v>
      </c>
      <c r="BE142" s="37">
        <f t="shared" si="60"/>
        <v>1</v>
      </c>
      <c r="BF142" s="37" t="str">
        <f t="shared" si="61"/>
        <v>Stage 2</v>
      </c>
      <c r="BG142" s="37" t="str">
        <f t="shared" si="62"/>
        <v>Yes</v>
      </c>
    </row>
    <row r="143" spans="1:59" x14ac:dyDescent="0.2">
      <c r="A143" s="35">
        <f t="shared" si="63"/>
        <v>141</v>
      </c>
      <c r="B143" s="33">
        <v>1149</v>
      </c>
      <c r="C143" s="33" t="s">
        <v>389</v>
      </c>
      <c r="D143" s="33" t="s">
        <v>806</v>
      </c>
      <c r="E143" s="33" t="s">
        <v>21</v>
      </c>
      <c r="F143" s="33" t="s">
        <v>542</v>
      </c>
      <c r="G143" s="117">
        <v>3</v>
      </c>
      <c r="H143" s="34">
        <v>38455</v>
      </c>
      <c r="I143" s="34">
        <v>38620</v>
      </c>
      <c r="J143" s="34">
        <v>38620</v>
      </c>
      <c r="K143" s="34">
        <v>44316</v>
      </c>
      <c r="L143" s="34">
        <v>41212</v>
      </c>
      <c r="M143" s="34">
        <v>38655</v>
      </c>
      <c r="N143" s="113">
        <v>12</v>
      </c>
      <c r="O143" s="200">
        <v>27547500</v>
      </c>
      <c r="P143" s="200">
        <v>9343252.3699999992</v>
      </c>
      <c r="Q143" s="200">
        <v>2914971.45</v>
      </c>
      <c r="R143" s="201">
        <v>14730.89</v>
      </c>
      <c r="S143" s="33" t="s">
        <v>22</v>
      </c>
      <c r="T143" s="33" t="s">
        <v>22</v>
      </c>
      <c r="U143" s="33" t="s">
        <v>203</v>
      </c>
      <c r="V143" s="33"/>
      <c r="W143" s="33" t="s">
        <v>210</v>
      </c>
      <c r="X143" s="33" t="s">
        <v>210</v>
      </c>
      <c r="Y143" s="33"/>
      <c r="Z143" s="33" t="s">
        <v>209</v>
      </c>
      <c r="AA143" s="35" t="str">
        <f>_xlfn.IFNA(VLOOKUP(E143,'Lookup Table'!$J$33:$K$176,2,0),"B3")</f>
        <v>Caa1</v>
      </c>
      <c r="AB143" s="35">
        <f>_xlfn.IFNA(VLOOKUP($AA143,'Rating Lookup'!$B$2:$I$27,8,0),15)</f>
        <v>17</v>
      </c>
      <c r="AC143" s="35" t="str">
        <f>_xlfn.IFNA(VLOOKUP(E143,'Lookup Table'!$M$33:$N$173,2,0),"B3")</f>
        <v>B1</v>
      </c>
      <c r="AD143" s="35">
        <f>_xlfn.IFNA(VLOOKUP($AC143,'Rating Lookup'!$B$2:$I$27,8,0),15)</f>
        <v>14</v>
      </c>
      <c r="AE143" s="35">
        <f t="shared" si="44"/>
        <v>3</v>
      </c>
      <c r="AG143" s="35" t="str">
        <f t="shared" si="45"/>
        <v>REHABILITATION AND DEVELOPMENT OF SEWERAGE PROJECT IN THE NORTH REGIONS</v>
      </c>
      <c r="AH143" s="35" t="str">
        <f t="shared" si="46"/>
        <v>Government Loan</v>
      </c>
      <c r="AI143" s="202">
        <f>'ECL Calculation'!$B$1</f>
        <v>43465</v>
      </c>
      <c r="AJ143" s="202">
        <f t="shared" si="47"/>
        <v>41212</v>
      </c>
      <c r="AK143" s="202">
        <f t="shared" si="48"/>
        <v>38655</v>
      </c>
      <c r="AL143" s="127">
        <f t="shared" si="49"/>
        <v>12</v>
      </c>
      <c r="AM143" s="192">
        <f>IF(AND(IF(ISBLANK(K143),EOMONTH(AJ143,AL143*12),K143)&lt;'ECL Calculation'!$B$1,SUM('Input Sheet'!Q143,'Input Sheet'!R143)&gt;0),EOMONTH('ECL Calculation'!$B$1,12*5),IF(ISBLANK(K143),EOMONTH(AJ143,AL143*12),K143))</f>
        <v>44316</v>
      </c>
      <c r="AN143" s="203">
        <f t="shared" si="50"/>
        <v>27547500</v>
      </c>
      <c r="AO143" s="203">
        <f t="shared" si="51"/>
        <v>9343252.3699999992</v>
      </c>
      <c r="AP143" s="203">
        <f t="shared" si="52"/>
        <v>18204247.630000003</v>
      </c>
      <c r="AQ143" s="126">
        <f>VLOOKUP(U143,'Lookup Table'!$B$2:$C$10,2,0)</f>
        <v>1</v>
      </c>
      <c r="AR143" s="127">
        <f>VLOOKUP(S143,'Lookup Table'!$B$2:$C$9,2,0)</f>
        <v>2</v>
      </c>
      <c r="AS143" s="127">
        <f>VLOOKUP(T143,'Lookup Table'!$B$2:$C$9,2,0)</f>
        <v>2</v>
      </c>
      <c r="AT143" s="136">
        <f t="shared" si="53"/>
        <v>2914971.45</v>
      </c>
      <c r="AU143" s="128">
        <f t="shared" si="54"/>
        <v>0.03</v>
      </c>
      <c r="AV143" s="136">
        <f t="shared" si="55"/>
        <v>14730.89</v>
      </c>
      <c r="AW143" s="37" t="str">
        <f t="shared" si="56"/>
        <v>Caa1</v>
      </c>
      <c r="AX143" s="128">
        <f>VLOOKUP(E143,'Lookup Table'!$B$12:$C$82,2,0)</f>
        <v>3.2857142857142856E-2</v>
      </c>
      <c r="AY143" s="128">
        <f>'Lookup Table'!$E$3</f>
        <v>0.45</v>
      </c>
      <c r="AZ143" s="129" t="str">
        <f t="shared" si="57"/>
        <v>Lebanon</v>
      </c>
      <c r="BA143" s="37">
        <f>VLOOKUP(AA143,'Lookup Table'!$J$3:$K$27,2,0)</f>
        <v>1</v>
      </c>
      <c r="BB143" s="37">
        <f t="shared" si="58"/>
        <v>2</v>
      </c>
      <c r="BC143" s="37">
        <f t="shared" si="59"/>
        <v>1</v>
      </c>
      <c r="BD143" s="37">
        <f>IF(AND(K143&lt;'ECL Calculation'!$B$1,'Input Sheet'!W143="No"),3,IF(X143="Yes",2,1))</f>
        <v>1</v>
      </c>
      <c r="BE143" s="37">
        <f t="shared" si="60"/>
        <v>1</v>
      </c>
      <c r="BF143" s="37" t="str">
        <f t="shared" si="61"/>
        <v>Stage 2</v>
      </c>
      <c r="BG143" s="37" t="str">
        <f t="shared" si="62"/>
        <v>Yes</v>
      </c>
    </row>
    <row r="144" spans="1:59" x14ac:dyDescent="0.2">
      <c r="A144" s="35">
        <f t="shared" si="63"/>
        <v>142</v>
      </c>
      <c r="B144" s="33">
        <v>1150</v>
      </c>
      <c r="C144" s="33" t="s">
        <v>390</v>
      </c>
      <c r="D144" s="33" t="s">
        <v>806</v>
      </c>
      <c r="E144" s="33" t="s">
        <v>477</v>
      </c>
      <c r="F144" s="33" t="s">
        <v>542</v>
      </c>
      <c r="G144" s="117">
        <v>2.5</v>
      </c>
      <c r="H144" s="34">
        <v>38455</v>
      </c>
      <c r="I144" s="34">
        <v>38510</v>
      </c>
      <c r="J144" s="34">
        <v>38510</v>
      </c>
      <c r="K144" s="34">
        <v>45595</v>
      </c>
      <c r="L144" s="34">
        <v>40298</v>
      </c>
      <c r="M144" s="34">
        <v>38655</v>
      </c>
      <c r="N144" s="113">
        <v>15</v>
      </c>
      <c r="O144" s="200">
        <v>29384000</v>
      </c>
      <c r="P144" s="200">
        <v>29384000</v>
      </c>
      <c r="Q144" s="200">
        <v>11384000</v>
      </c>
      <c r="R144" s="201">
        <v>47363.85</v>
      </c>
      <c r="S144" s="33" t="s">
        <v>22</v>
      </c>
      <c r="T144" s="33" t="s">
        <v>22</v>
      </c>
      <c r="U144" s="33" t="s">
        <v>203</v>
      </c>
      <c r="V144" s="33"/>
      <c r="W144" s="33" t="s">
        <v>210</v>
      </c>
      <c r="X144" s="33" t="s">
        <v>210</v>
      </c>
      <c r="Y144" s="33"/>
      <c r="Z144" s="33" t="s">
        <v>209</v>
      </c>
      <c r="AA144" s="35" t="str">
        <f>_xlfn.IFNA(VLOOKUP(E144,'Lookup Table'!$J$33:$K$176,2,0),"B3")</f>
        <v>B1</v>
      </c>
      <c r="AB144" s="35">
        <f>_xlfn.IFNA(VLOOKUP($AA144,'Rating Lookup'!$B$2:$I$27,8,0),15)</f>
        <v>14</v>
      </c>
      <c r="AC144" s="35" t="str">
        <f>_xlfn.IFNA(VLOOKUP(E144,'Lookup Table'!$M$33:$N$173,2,0),"B3")</f>
        <v>Ba2</v>
      </c>
      <c r="AD144" s="35">
        <f>_xlfn.IFNA(VLOOKUP($AC144,'Rating Lookup'!$B$2:$I$27,8,0),15)</f>
        <v>12</v>
      </c>
      <c r="AE144" s="35">
        <f t="shared" si="44"/>
        <v>2</v>
      </c>
      <c r="AG144" s="35" t="str">
        <f t="shared" si="45"/>
        <v>PEDIATRIC HOSPITAL IN AL HUSSEIN MEDICAL CITY PROJECT</v>
      </c>
      <c r="AH144" s="35" t="str">
        <f t="shared" si="46"/>
        <v>Government Loan</v>
      </c>
      <c r="AI144" s="202">
        <f>'ECL Calculation'!$B$1</f>
        <v>43465</v>
      </c>
      <c r="AJ144" s="202">
        <f t="shared" si="47"/>
        <v>40298</v>
      </c>
      <c r="AK144" s="202">
        <f t="shared" si="48"/>
        <v>38655</v>
      </c>
      <c r="AL144" s="127">
        <f t="shared" si="49"/>
        <v>15</v>
      </c>
      <c r="AM144" s="192">
        <f>IF(AND(IF(ISBLANK(K144),EOMONTH(AJ144,AL144*12),K144)&lt;'ECL Calculation'!$B$1,SUM('Input Sheet'!Q144,'Input Sheet'!R144)&gt;0),EOMONTH('ECL Calculation'!$B$1,12*5),IF(ISBLANK(K144),EOMONTH(AJ144,AL144*12),K144))</f>
        <v>45595</v>
      </c>
      <c r="AN144" s="203">
        <f t="shared" si="50"/>
        <v>29384000</v>
      </c>
      <c r="AO144" s="203">
        <f t="shared" si="51"/>
        <v>29384000</v>
      </c>
      <c r="AP144" s="203">
        <f t="shared" si="52"/>
        <v>0</v>
      </c>
      <c r="AQ144" s="126">
        <f>VLOOKUP(U144,'Lookup Table'!$B$2:$C$10,2,0)</f>
        <v>1</v>
      </c>
      <c r="AR144" s="127">
        <f>VLOOKUP(S144,'Lookup Table'!$B$2:$C$9,2,0)</f>
        <v>2</v>
      </c>
      <c r="AS144" s="127">
        <f>VLOOKUP(T144,'Lookup Table'!$B$2:$C$9,2,0)</f>
        <v>2</v>
      </c>
      <c r="AT144" s="136">
        <f t="shared" si="53"/>
        <v>11384000</v>
      </c>
      <c r="AU144" s="128">
        <f t="shared" si="54"/>
        <v>2.5000000000000001E-2</v>
      </c>
      <c r="AV144" s="136">
        <f t="shared" si="55"/>
        <v>47363.85</v>
      </c>
      <c r="AW144" s="37" t="str">
        <f t="shared" si="56"/>
        <v>B1</v>
      </c>
      <c r="AX144" s="128">
        <f>VLOOKUP(E144,'Lookup Table'!$B$12:$C$82,2,0)</f>
        <v>3.5909090909090911E-2</v>
      </c>
      <c r="AY144" s="128">
        <f>'Lookup Table'!$E$3</f>
        <v>0.45</v>
      </c>
      <c r="AZ144" s="129" t="str">
        <f t="shared" si="57"/>
        <v>Jordan</v>
      </c>
      <c r="BA144" s="37">
        <f>VLOOKUP(AA144,'Lookup Table'!$J$3:$K$27,2,0)</f>
        <v>1</v>
      </c>
      <c r="BB144" s="37">
        <f t="shared" si="58"/>
        <v>2</v>
      </c>
      <c r="BC144" s="37">
        <f t="shared" si="59"/>
        <v>1</v>
      </c>
      <c r="BD144" s="37">
        <f>IF(AND(K144&lt;'ECL Calculation'!$B$1,'Input Sheet'!W144="No"),3,IF(X144="Yes",2,1))</f>
        <v>1</v>
      </c>
      <c r="BE144" s="37">
        <f t="shared" si="60"/>
        <v>1</v>
      </c>
      <c r="BF144" s="37" t="str">
        <f t="shared" si="61"/>
        <v>Stage 2</v>
      </c>
      <c r="BG144" s="37" t="str">
        <f t="shared" si="62"/>
        <v>Yes</v>
      </c>
    </row>
    <row r="145" spans="1:59" x14ac:dyDescent="0.2">
      <c r="A145" s="35">
        <f t="shared" si="63"/>
        <v>143</v>
      </c>
      <c r="B145" s="33">
        <v>1151</v>
      </c>
      <c r="C145" s="33" t="s">
        <v>391</v>
      </c>
      <c r="D145" s="33" t="s">
        <v>806</v>
      </c>
      <c r="E145" s="33" t="s">
        <v>504</v>
      </c>
      <c r="F145" s="33" t="s">
        <v>542</v>
      </c>
      <c r="G145" s="117">
        <v>2</v>
      </c>
      <c r="H145" s="34">
        <v>38490</v>
      </c>
      <c r="I145" s="34">
        <v>38696</v>
      </c>
      <c r="J145" s="34">
        <v>38696</v>
      </c>
      <c r="K145" s="34">
        <v>47603</v>
      </c>
      <c r="L145" s="34">
        <v>40481</v>
      </c>
      <c r="M145" s="34">
        <v>38655</v>
      </c>
      <c r="N145" s="113">
        <v>20</v>
      </c>
      <c r="O145" s="200">
        <v>147660325.36000001</v>
      </c>
      <c r="P145" s="200">
        <v>147660325.36000001</v>
      </c>
      <c r="Q145" s="200">
        <v>84420325.359999999</v>
      </c>
      <c r="R145" s="201">
        <v>231100.98</v>
      </c>
      <c r="S145" s="33" t="s">
        <v>22</v>
      </c>
      <c r="T145" s="33" t="s">
        <v>22</v>
      </c>
      <c r="U145" s="33" t="s">
        <v>203</v>
      </c>
      <c r="V145" s="33"/>
      <c r="W145" s="33" t="s">
        <v>210</v>
      </c>
      <c r="X145" s="33" t="s">
        <v>210</v>
      </c>
      <c r="Y145" s="33"/>
      <c r="Z145" s="33" t="s">
        <v>209</v>
      </c>
      <c r="AA145" s="35" t="str">
        <f>_xlfn.IFNA(VLOOKUP(E145,'Lookup Table'!$J$33:$K$176,2,0),"B3")</f>
        <v>Ba3</v>
      </c>
      <c r="AB145" s="35">
        <f>_xlfn.IFNA(VLOOKUP($AA145,'Rating Lookup'!$B$2:$I$27,8,0),15)</f>
        <v>13</v>
      </c>
      <c r="AC145" s="35" t="str">
        <f>_xlfn.IFNA(VLOOKUP(E145,'Lookup Table'!$M$33:$N$173,2,0),"B3")</f>
        <v>Ba1</v>
      </c>
      <c r="AD145" s="35">
        <f>_xlfn.IFNA(VLOOKUP($AC145,'Rating Lookup'!$B$2:$I$27,8,0),15)</f>
        <v>11</v>
      </c>
      <c r="AE145" s="35">
        <f t="shared" si="44"/>
        <v>2</v>
      </c>
      <c r="AG145" s="35" t="str">
        <f t="shared" si="45"/>
        <v>THE RECONSTRUCTION AND DEVELOPMENT OF EARTHQUAK AFFECTED REGION PROJECT 2</v>
      </c>
      <c r="AH145" s="35" t="str">
        <f t="shared" si="46"/>
        <v>Government Loan</v>
      </c>
      <c r="AI145" s="202">
        <f>'ECL Calculation'!$B$1</f>
        <v>43465</v>
      </c>
      <c r="AJ145" s="202">
        <f t="shared" si="47"/>
        <v>40481</v>
      </c>
      <c r="AK145" s="202">
        <f t="shared" si="48"/>
        <v>38655</v>
      </c>
      <c r="AL145" s="127">
        <f t="shared" si="49"/>
        <v>20</v>
      </c>
      <c r="AM145" s="192">
        <f>IF(AND(IF(ISBLANK(K145),EOMONTH(AJ145,AL145*12),K145)&lt;'ECL Calculation'!$B$1,SUM('Input Sheet'!Q145,'Input Sheet'!R145)&gt;0),EOMONTH('ECL Calculation'!$B$1,12*5),IF(ISBLANK(K145),EOMONTH(AJ145,AL145*12),K145))</f>
        <v>47603</v>
      </c>
      <c r="AN145" s="203">
        <f t="shared" si="50"/>
        <v>147660325.36000001</v>
      </c>
      <c r="AO145" s="203">
        <f t="shared" si="51"/>
        <v>147660325.36000001</v>
      </c>
      <c r="AP145" s="203">
        <f t="shared" si="52"/>
        <v>0</v>
      </c>
      <c r="AQ145" s="126">
        <f>VLOOKUP(U145,'Lookup Table'!$B$2:$C$10,2,0)</f>
        <v>1</v>
      </c>
      <c r="AR145" s="127">
        <f>VLOOKUP(S145,'Lookup Table'!$B$2:$C$9,2,0)</f>
        <v>2</v>
      </c>
      <c r="AS145" s="127">
        <f>VLOOKUP(T145,'Lookup Table'!$B$2:$C$9,2,0)</f>
        <v>2</v>
      </c>
      <c r="AT145" s="136">
        <f t="shared" si="53"/>
        <v>84420325.359999999</v>
      </c>
      <c r="AU145" s="128">
        <f t="shared" si="54"/>
        <v>0.02</v>
      </c>
      <c r="AV145" s="136">
        <f t="shared" si="55"/>
        <v>231100.98</v>
      </c>
      <c r="AW145" s="37" t="str">
        <f t="shared" si="56"/>
        <v>Ba3</v>
      </c>
      <c r="AX145" s="128">
        <f>VLOOKUP(E145,'Lookup Table'!$B$12:$C$82,2,0)</f>
        <v>3.1666666666666662E-2</v>
      </c>
      <c r="AY145" s="128">
        <f>'Lookup Table'!$E$3</f>
        <v>0.45</v>
      </c>
      <c r="AZ145" s="129" t="str">
        <f t="shared" si="57"/>
        <v>Turkey</v>
      </c>
      <c r="BA145" s="37">
        <f>VLOOKUP(AA145,'Lookup Table'!$J$3:$K$27,2,0)</f>
        <v>1</v>
      </c>
      <c r="BB145" s="37">
        <f t="shared" si="58"/>
        <v>2</v>
      </c>
      <c r="BC145" s="37">
        <f t="shared" si="59"/>
        <v>1</v>
      </c>
      <c r="BD145" s="37">
        <f>IF(AND(K145&lt;'ECL Calculation'!$B$1,'Input Sheet'!W145="No"),3,IF(X145="Yes",2,1))</f>
        <v>1</v>
      </c>
      <c r="BE145" s="37">
        <f t="shared" si="60"/>
        <v>1</v>
      </c>
      <c r="BF145" s="37" t="str">
        <f t="shared" si="61"/>
        <v>Stage 2</v>
      </c>
      <c r="BG145" s="37" t="str">
        <f t="shared" si="62"/>
        <v>Yes</v>
      </c>
    </row>
    <row r="146" spans="1:59" x14ac:dyDescent="0.2">
      <c r="A146" s="35">
        <f t="shared" si="63"/>
        <v>144</v>
      </c>
      <c r="B146" s="33">
        <v>1152</v>
      </c>
      <c r="C146" s="33" t="s">
        <v>392</v>
      </c>
      <c r="D146" s="33" t="s">
        <v>806</v>
      </c>
      <c r="E146" s="33" t="s">
        <v>479</v>
      </c>
      <c r="F146" s="33" t="s">
        <v>542</v>
      </c>
      <c r="G146" s="117">
        <v>3</v>
      </c>
      <c r="H146" s="34">
        <v>38627</v>
      </c>
      <c r="I146" s="34">
        <v>38840</v>
      </c>
      <c r="J146" s="34">
        <v>38840</v>
      </c>
      <c r="K146" s="34">
        <v>45960</v>
      </c>
      <c r="L146" s="34">
        <v>40481</v>
      </c>
      <c r="M146" s="34">
        <v>38837</v>
      </c>
      <c r="N146" s="113">
        <v>15</v>
      </c>
      <c r="O146" s="200">
        <v>55095000</v>
      </c>
      <c r="P146" s="200">
        <v>49892935.843000002</v>
      </c>
      <c r="Q146" s="200">
        <v>18680935.842999998</v>
      </c>
      <c r="R146" s="201">
        <v>92427.14</v>
      </c>
      <c r="S146" s="33" t="s">
        <v>22</v>
      </c>
      <c r="T146" s="33" t="s">
        <v>22</v>
      </c>
      <c r="U146" s="33" t="s">
        <v>724</v>
      </c>
      <c r="V146" s="33"/>
      <c r="W146" s="33" t="s">
        <v>210</v>
      </c>
      <c r="X146" s="33" t="s">
        <v>210</v>
      </c>
      <c r="Y146" s="33"/>
      <c r="Z146" s="33" t="s">
        <v>209</v>
      </c>
      <c r="AA146" s="35" t="str">
        <f>_xlfn.IFNA(VLOOKUP(E146,'Lookup Table'!$J$33:$K$176,2,0),"B3")</f>
        <v>B2</v>
      </c>
      <c r="AB146" s="35">
        <f>_xlfn.IFNA(VLOOKUP($AA146,'Rating Lookup'!$B$2:$I$27,8,0),15)</f>
        <v>15</v>
      </c>
      <c r="AC146" s="35" t="str">
        <f>_xlfn.IFNA(VLOOKUP(E146,'Lookup Table'!$M$33:$N$173,2,0),"B3")</f>
        <v>Baa3</v>
      </c>
      <c r="AD146" s="35">
        <f>_xlfn.IFNA(VLOOKUP($AC146,'Rating Lookup'!$B$2:$I$27,8,0),15)</f>
        <v>10</v>
      </c>
      <c r="AE146" s="35">
        <f t="shared" si="44"/>
        <v>5</v>
      </c>
      <c r="AG146" s="35" t="str">
        <f t="shared" si="45"/>
        <v>SERAT DAM</v>
      </c>
      <c r="AH146" s="35" t="str">
        <f t="shared" si="46"/>
        <v>Government Loan</v>
      </c>
      <c r="AI146" s="202">
        <f>'ECL Calculation'!$B$1</f>
        <v>43465</v>
      </c>
      <c r="AJ146" s="202">
        <f t="shared" si="47"/>
        <v>40481</v>
      </c>
      <c r="AK146" s="202">
        <f t="shared" si="48"/>
        <v>38837</v>
      </c>
      <c r="AL146" s="127">
        <f t="shared" si="49"/>
        <v>15</v>
      </c>
      <c r="AM146" s="192">
        <f>IF(AND(IF(ISBLANK(K146),EOMONTH(AJ146,AL146*12),K146)&lt;'ECL Calculation'!$B$1,SUM('Input Sheet'!Q146,'Input Sheet'!R146)&gt;0),EOMONTH('ECL Calculation'!$B$1,12*5),IF(ISBLANK(K146),EOMONTH(AJ146,AL146*12),K146))</f>
        <v>45960</v>
      </c>
      <c r="AN146" s="203">
        <f t="shared" si="50"/>
        <v>55095000</v>
      </c>
      <c r="AO146" s="203">
        <f t="shared" si="51"/>
        <v>49892935.843000002</v>
      </c>
      <c r="AP146" s="203">
        <f t="shared" si="52"/>
        <v>5202064.1569999978</v>
      </c>
      <c r="AQ146" s="126">
        <f>VLOOKUP(U146,'Lookup Table'!$B$2:$C$10,2,0)</f>
        <v>6</v>
      </c>
      <c r="AR146" s="127">
        <f>VLOOKUP(S146,'Lookup Table'!$B$2:$C$9,2,0)</f>
        <v>2</v>
      </c>
      <c r="AS146" s="127">
        <f>VLOOKUP(T146,'Lookup Table'!$B$2:$C$9,2,0)</f>
        <v>2</v>
      </c>
      <c r="AT146" s="136">
        <f t="shared" si="53"/>
        <v>18680935.842999998</v>
      </c>
      <c r="AU146" s="128">
        <f t="shared" si="54"/>
        <v>0.03</v>
      </c>
      <c r="AV146" s="136">
        <f t="shared" si="55"/>
        <v>92427.14</v>
      </c>
      <c r="AW146" s="37" t="str">
        <f t="shared" si="56"/>
        <v>B2</v>
      </c>
      <c r="AX146" s="128">
        <f>VLOOKUP(E146,'Lookup Table'!$B$12:$C$82,2,0)</f>
        <v>4.5999999999999999E-2</v>
      </c>
      <c r="AY146" s="128">
        <f>'Lookup Table'!$E$3</f>
        <v>0.45</v>
      </c>
      <c r="AZ146" s="129" t="str">
        <f t="shared" si="57"/>
        <v>Tunisia</v>
      </c>
      <c r="BA146" s="37">
        <f>VLOOKUP(AA146,'Lookup Table'!$J$3:$K$27,2,0)</f>
        <v>1</v>
      </c>
      <c r="BB146" s="37">
        <f t="shared" si="58"/>
        <v>2</v>
      </c>
      <c r="BC146" s="37">
        <f t="shared" si="59"/>
        <v>1</v>
      </c>
      <c r="BD146" s="37">
        <f>IF(AND(K146&lt;'ECL Calculation'!$B$1,'Input Sheet'!W146="No"),3,IF(X146="Yes",2,1))</f>
        <v>1</v>
      </c>
      <c r="BE146" s="37">
        <f t="shared" si="60"/>
        <v>1</v>
      </c>
      <c r="BF146" s="37" t="str">
        <f t="shared" si="61"/>
        <v>Stage 2</v>
      </c>
      <c r="BG146" s="37" t="str">
        <f t="shared" si="62"/>
        <v>Yes</v>
      </c>
    </row>
    <row r="147" spans="1:59" x14ac:dyDescent="0.2">
      <c r="A147" s="35">
        <f t="shared" si="63"/>
        <v>145</v>
      </c>
      <c r="B147" s="33">
        <v>1153</v>
      </c>
      <c r="C147" s="33" t="s">
        <v>393</v>
      </c>
      <c r="D147" s="33" t="s">
        <v>806</v>
      </c>
      <c r="E147" s="33" t="s">
        <v>476</v>
      </c>
      <c r="F147" s="33" t="s">
        <v>542</v>
      </c>
      <c r="G147" s="117">
        <v>4</v>
      </c>
      <c r="H147" s="34">
        <v>39426</v>
      </c>
      <c r="I147" s="34">
        <v>39624</v>
      </c>
      <c r="J147" s="34">
        <v>39624</v>
      </c>
      <c r="K147" s="34">
        <v>46507</v>
      </c>
      <c r="L147" s="34">
        <v>41212</v>
      </c>
      <c r="M147" s="34">
        <v>39568</v>
      </c>
      <c r="N147" s="113">
        <v>15</v>
      </c>
      <c r="O147" s="200">
        <v>367300000</v>
      </c>
      <c r="P147" s="200">
        <v>228487327.02000001</v>
      </c>
      <c r="Q147" s="200">
        <v>216244327.02000001</v>
      </c>
      <c r="R147" s="201">
        <v>57121179.090000004</v>
      </c>
      <c r="S147" s="33" t="s">
        <v>22</v>
      </c>
      <c r="T147" s="33" t="s">
        <v>22</v>
      </c>
      <c r="U147" s="33" t="s">
        <v>203</v>
      </c>
      <c r="V147" s="33"/>
      <c r="W147" s="33" t="s">
        <v>210</v>
      </c>
      <c r="X147" s="33" t="s">
        <v>209</v>
      </c>
      <c r="Y147" s="33" t="s">
        <v>209</v>
      </c>
      <c r="Z147" s="33" t="s">
        <v>209</v>
      </c>
      <c r="AA147" s="35" t="str">
        <f>_xlfn.IFNA(VLOOKUP(E147,'Lookup Table'!$J$33:$K$176,2,0),"B3")</f>
        <v>B3</v>
      </c>
      <c r="AB147" s="35">
        <f>_xlfn.IFNA(VLOOKUP($AA147,'Rating Lookup'!$B$2:$I$27,8,0),15)</f>
        <v>16</v>
      </c>
      <c r="AC147" s="35" t="str">
        <f>_xlfn.IFNA(VLOOKUP(E147,'Lookup Table'!$M$33:$N$173,2,0),"B3")</f>
        <v>B3</v>
      </c>
      <c r="AD147" s="35">
        <f>_xlfn.IFNA(VLOOKUP($AC147,'Rating Lookup'!$B$2:$I$27,8,0),15)</f>
        <v>16</v>
      </c>
      <c r="AE147" s="35">
        <f t="shared" si="44"/>
        <v>0</v>
      </c>
      <c r="AG147" s="35" t="str">
        <f t="shared" si="45"/>
        <v>EXTENTION OF DEIR ALI ELECTRICAL POWER STATION</v>
      </c>
      <c r="AH147" s="35" t="str">
        <f t="shared" si="46"/>
        <v>Government Loan</v>
      </c>
      <c r="AI147" s="202">
        <f>'ECL Calculation'!$B$1</f>
        <v>43465</v>
      </c>
      <c r="AJ147" s="202">
        <f t="shared" si="47"/>
        <v>41212</v>
      </c>
      <c r="AK147" s="202">
        <f t="shared" si="48"/>
        <v>39568</v>
      </c>
      <c r="AL147" s="127">
        <f t="shared" si="49"/>
        <v>15</v>
      </c>
      <c r="AM147" s="192">
        <f>IF(AND(IF(ISBLANK(K147),EOMONTH(AJ147,AL147*12),K147)&lt;'ECL Calculation'!$B$1,SUM('Input Sheet'!Q147,'Input Sheet'!R147)&gt;0),EOMONTH('ECL Calculation'!$B$1,12*5),IF(ISBLANK(K147),EOMONTH(AJ147,AL147*12),K147))</f>
        <v>46507</v>
      </c>
      <c r="AN147" s="203">
        <f t="shared" si="50"/>
        <v>367300000</v>
      </c>
      <c r="AO147" s="203">
        <f t="shared" si="51"/>
        <v>228487327.02000001</v>
      </c>
      <c r="AP147" s="203">
        <f t="shared" si="52"/>
        <v>138812672.97999999</v>
      </c>
      <c r="AQ147" s="126">
        <f>VLOOKUP(U147,'Lookup Table'!$B$2:$C$10,2,0)</f>
        <v>1</v>
      </c>
      <c r="AR147" s="127">
        <f>VLOOKUP(S147,'Lookup Table'!$B$2:$C$9,2,0)</f>
        <v>2</v>
      </c>
      <c r="AS147" s="127">
        <f>VLOOKUP(T147,'Lookup Table'!$B$2:$C$9,2,0)</f>
        <v>2</v>
      </c>
      <c r="AT147" s="136">
        <f t="shared" si="53"/>
        <v>216244327.02000001</v>
      </c>
      <c r="AU147" s="128">
        <f t="shared" si="54"/>
        <v>0.04</v>
      </c>
      <c r="AV147" s="136">
        <f t="shared" si="55"/>
        <v>57121179.090000004</v>
      </c>
      <c r="AW147" s="37" t="str">
        <f t="shared" si="56"/>
        <v>B3</v>
      </c>
      <c r="AX147" s="128">
        <f>VLOOKUP(E147,'Lookup Table'!$B$12:$C$82,2,0)</f>
        <v>3.6666666666666667E-2</v>
      </c>
      <c r="AY147" s="128">
        <f>'Lookup Table'!$E$3</f>
        <v>0.45</v>
      </c>
      <c r="AZ147" s="129" t="str">
        <f t="shared" si="57"/>
        <v>Syrian Arab Republic</v>
      </c>
      <c r="BA147" s="37">
        <f>VLOOKUP(AA147,'Lookup Table'!$J$3:$K$27,2,0)</f>
        <v>1</v>
      </c>
      <c r="BB147" s="37">
        <f t="shared" si="58"/>
        <v>1</v>
      </c>
      <c r="BC147" s="37">
        <f t="shared" si="59"/>
        <v>1</v>
      </c>
      <c r="BD147" s="37">
        <f>IF(AND(K147&lt;'ECL Calculation'!$B$1,'Input Sheet'!W147="No"),3,IF(X147="Yes",2,1))</f>
        <v>2</v>
      </c>
      <c r="BE147" s="37">
        <f t="shared" si="60"/>
        <v>3</v>
      </c>
      <c r="BF147" s="37" t="str">
        <f t="shared" si="61"/>
        <v>Stage 3</v>
      </c>
      <c r="BG147" s="37" t="str">
        <f t="shared" si="62"/>
        <v>Yes</v>
      </c>
    </row>
    <row r="148" spans="1:59" x14ac:dyDescent="0.2">
      <c r="A148" s="35">
        <f t="shared" si="63"/>
        <v>146</v>
      </c>
      <c r="B148" s="33">
        <v>1154</v>
      </c>
      <c r="C148" s="33" t="s">
        <v>394</v>
      </c>
      <c r="D148" s="33" t="s">
        <v>806</v>
      </c>
      <c r="E148" s="33" t="s">
        <v>520</v>
      </c>
      <c r="F148" s="33" t="s">
        <v>542</v>
      </c>
      <c r="G148" s="117">
        <v>3.5</v>
      </c>
      <c r="H148" s="34">
        <v>39428</v>
      </c>
      <c r="I148" s="34">
        <v>39576</v>
      </c>
      <c r="J148" s="34">
        <v>39576</v>
      </c>
      <c r="K148" s="34">
        <v>46690</v>
      </c>
      <c r="L148" s="34">
        <v>41212</v>
      </c>
      <c r="M148" s="34">
        <v>39568</v>
      </c>
      <c r="N148" s="113">
        <v>15</v>
      </c>
      <c r="O148" s="200">
        <v>36730000</v>
      </c>
      <c r="P148" s="200">
        <v>35232969.719999999</v>
      </c>
      <c r="Q148" s="200">
        <v>19320969.719999999</v>
      </c>
      <c r="R148" s="201">
        <v>112264.87</v>
      </c>
      <c r="S148" s="33" t="s">
        <v>22</v>
      </c>
      <c r="T148" s="33" t="s">
        <v>22</v>
      </c>
      <c r="U148" s="33" t="s">
        <v>204</v>
      </c>
      <c r="V148" s="33"/>
      <c r="W148" s="33" t="s">
        <v>210</v>
      </c>
      <c r="X148" s="33" t="s">
        <v>210</v>
      </c>
      <c r="Y148" s="33"/>
      <c r="Z148" s="33" t="s">
        <v>209</v>
      </c>
      <c r="AA148" s="35" t="str">
        <f>_xlfn.IFNA(VLOOKUP(E148,'Lookup Table'!$J$33:$K$176,2,0),"B3")</f>
        <v>B1</v>
      </c>
      <c r="AB148" s="35">
        <f>_xlfn.IFNA(VLOOKUP($AA148,'Rating Lookup'!$B$2:$I$27,8,0),15)</f>
        <v>14</v>
      </c>
      <c r="AC148" s="35" t="str">
        <f>_xlfn.IFNA(VLOOKUP(E148,'Lookup Table'!$M$33:$N$173,2,0),"B3")</f>
        <v>Ba2</v>
      </c>
      <c r="AD148" s="35">
        <f>_xlfn.IFNA(VLOOKUP($AC148,'Rating Lookup'!$B$2:$I$27,8,0),15)</f>
        <v>12</v>
      </c>
      <c r="AE148" s="35">
        <f t="shared" si="44"/>
        <v>2</v>
      </c>
      <c r="AG148" s="35" t="str">
        <f t="shared" si="45"/>
        <v>THE REHABILITATION OF ARPA-SEVEN TUNNEL PROJECT</v>
      </c>
      <c r="AH148" s="35" t="str">
        <f t="shared" si="46"/>
        <v>Government Loan</v>
      </c>
      <c r="AI148" s="202">
        <f>'ECL Calculation'!$B$1</f>
        <v>43465</v>
      </c>
      <c r="AJ148" s="202">
        <f t="shared" si="47"/>
        <v>41212</v>
      </c>
      <c r="AK148" s="202">
        <f t="shared" si="48"/>
        <v>39568</v>
      </c>
      <c r="AL148" s="127">
        <f t="shared" si="49"/>
        <v>15</v>
      </c>
      <c r="AM148" s="192">
        <f>IF(AND(IF(ISBLANK(K148),EOMONTH(AJ148,AL148*12),K148)&lt;'ECL Calculation'!$B$1,SUM('Input Sheet'!Q148,'Input Sheet'!R148)&gt;0),EOMONTH('ECL Calculation'!$B$1,12*5),IF(ISBLANK(K148),EOMONTH(AJ148,AL148*12),K148))</f>
        <v>46690</v>
      </c>
      <c r="AN148" s="203">
        <f t="shared" si="50"/>
        <v>36730000</v>
      </c>
      <c r="AO148" s="203">
        <f t="shared" si="51"/>
        <v>35232969.719999999</v>
      </c>
      <c r="AP148" s="203">
        <f t="shared" si="52"/>
        <v>1497030.2800000012</v>
      </c>
      <c r="AQ148" s="126">
        <f>VLOOKUP(U148,'Lookup Table'!$B$2:$C$10,2,0)</f>
        <v>4</v>
      </c>
      <c r="AR148" s="127">
        <f>VLOOKUP(S148,'Lookup Table'!$B$2:$C$9,2,0)</f>
        <v>2</v>
      </c>
      <c r="AS148" s="127">
        <f>VLOOKUP(T148,'Lookup Table'!$B$2:$C$9,2,0)</f>
        <v>2</v>
      </c>
      <c r="AT148" s="136">
        <f t="shared" si="53"/>
        <v>19320969.719999999</v>
      </c>
      <c r="AU148" s="128">
        <f t="shared" si="54"/>
        <v>3.5000000000000003E-2</v>
      </c>
      <c r="AV148" s="136">
        <f t="shared" si="55"/>
        <v>112264.87</v>
      </c>
      <c r="AW148" s="37" t="str">
        <f t="shared" si="56"/>
        <v>B1</v>
      </c>
      <c r="AX148" s="128">
        <f>VLOOKUP(E148,'Lookup Table'!$B$12:$C$82,2,0)</f>
        <v>3.5000000000000003E-2</v>
      </c>
      <c r="AY148" s="128">
        <f>'Lookup Table'!$E$3</f>
        <v>0.45</v>
      </c>
      <c r="AZ148" s="129" t="str">
        <f t="shared" si="57"/>
        <v>Armenia</v>
      </c>
      <c r="BA148" s="37">
        <f>VLOOKUP(AA148,'Lookup Table'!$J$3:$K$27,2,0)</f>
        <v>1</v>
      </c>
      <c r="BB148" s="37">
        <f t="shared" si="58"/>
        <v>2</v>
      </c>
      <c r="BC148" s="37">
        <f t="shared" si="59"/>
        <v>1</v>
      </c>
      <c r="BD148" s="37">
        <f>IF(AND(K148&lt;'ECL Calculation'!$B$1,'Input Sheet'!W148="No"),3,IF(X148="Yes",2,1))</f>
        <v>1</v>
      </c>
      <c r="BE148" s="37">
        <f t="shared" si="60"/>
        <v>1</v>
      </c>
      <c r="BF148" s="37" t="str">
        <f t="shared" si="61"/>
        <v>Stage 2</v>
      </c>
      <c r="BG148" s="37" t="str">
        <f t="shared" si="62"/>
        <v>Yes</v>
      </c>
    </row>
    <row r="149" spans="1:59" x14ac:dyDescent="0.2">
      <c r="A149" s="35">
        <f t="shared" si="63"/>
        <v>147</v>
      </c>
      <c r="B149" s="33">
        <v>1155</v>
      </c>
      <c r="C149" s="33" t="s">
        <v>395</v>
      </c>
      <c r="D149" s="33" t="s">
        <v>806</v>
      </c>
      <c r="E149" s="33" t="s">
        <v>480</v>
      </c>
      <c r="F149" s="33" t="s">
        <v>542</v>
      </c>
      <c r="G149" s="117">
        <v>3.5</v>
      </c>
      <c r="H149" s="34">
        <v>39426</v>
      </c>
      <c r="I149" s="34">
        <v>39587</v>
      </c>
      <c r="J149" s="34">
        <v>39587</v>
      </c>
      <c r="K149" s="34">
        <v>44681</v>
      </c>
      <c r="L149" s="34">
        <v>40481</v>
      </c>
      <c r="M149" s="34">
        <v>39568</v>
      </c>
      <c r="N149" s="113">
        <v>12</v>
      </c>
      <c r="O149" s="200">
        <v>153973019.66</v>
      </c>
      <c r="P149" s="200">
        <v>153973019.66</v>
      </c>
      <c r="Q149" s="200">
        <v>42643019.659999996</v>
      </c>
      <c r="R149" s="201">
        <v>247566.61</v>
      </c>
      <c r="S149" s="33" t="s">
        <v>22</v>
      </c>
      <c r="T149" s="33" t="s">
        <v>22</v>
      </c>
      <c r="U149" s="33" t="s">
        <v>203</v>
      </c>
      <c r="V149" s="33"/>
      <c r="W149" s="33" t="s">
        <v>210</v>
      </c>
      <c r="X149" s="33" t="s">
        <v>210</v>
      </c>
      <c r="Y149" s="33"/>
      <c r="Z149" s="33" t="s">
        <v>209</v>
      </c>
      <c r="AA149" s="35" t="str">
        <f>_xlfn.IFNA(VLOOKUP(E149,'Lookup Table'!$J$33:$K$176,2,0),"B3")</f>
        <v>Ba1</v>
      </c>
      <c r="AB149" s="35">
        <f>_xlfn.IFNA(VLOOKUP($AA149,'Rating Lookup'!$B$2:$I$27,8,0),15)</f>
        <v>11</v>
      </c>
      <c r="AC149" s="35" t="str">
        <f>_xlfn.IFNA(VLOOKUP(E149,'Lookup Table'!$M$33:$N$173,2,0),"B3")</f>
        <v>Ba1</v>
      </c>
      <c r="AD149" s="35">
        <f>_xlfn.IFNA(VLOOKUP($AC149,'Rating Lookup'!$B$2:$I$27,8,0),15)</f>
        <v>11</v>
      </c>
      <c r="AE149" s="35">
        <f t="shared" si="44"/>
        <v>0</v>
      </c>
      <c r="AG149" s="35" t="str">
        <f t="shared" si="45"/>
        <v>THE HIGHWAY BETWEEN FAS &amp; WEJDA</v>
      </c>
      <c r="AH149" s="35" t="str">
        <f t="shared" si="46"/>
        <v>Government Loan</v>
      </c>
      <c r="AI149" s="202">
        <f>'ECL Calculation'!$B$1</f>
        <v>43465</v>
      </c>
      <c r="AJ149" s="202">
        <f t="shared" si="47"/>
        <v>40481</v>
      </c>
      <c r="AK149" s="202">
        <f t="shared" si="48"/>
        <v>39568</v>
      </c>
      <c r="AL149" s="127">
        <f t="shared" si="49"/>
        <v>12</v>
      </c>
      <c r="AM149" s="192">
        <f>IF(AND(IF(ISBLANK(K149),EOMONTH(AJ149,AL149*12),K149)&lt;'ECL Calculation'!$B$1,SUM('Input Sheet'!Q149,'Input Sheet'!R149)&gt;0),EOMONTH('ECL Calculation'!$B$1,12*5),IF(ISBLANK(K149),EOMONTH(AJ149,AL149*12),K149))</f>
        <v>44681</v>
      </c>
      <c r="AN149" s="203">
        <f t="shared" si="50"/>
        <v>153973019.66</v>
      </c>
      <c r="AO149" s="203">
        <f t="shared" si="51"/>
        <v>153973019.66</v>
      </c>
      <c r="AP149" s="203">
        <f t="shared" si="52"/>
        <v>0</v>
      </c>
      <c r="AQ149" s="126">
        <f>VLOOKUP(U149,'Lookup Table'!$B$2:$C$10,2,0)</f>
        <v>1</v>
      </c>
      <c r="AR149" s="127">
        <f>VLOOKUP(S149,'Lookup Table'!$B$2:$C$9,2,0)</f>
        <v>2</v>
      </c>
      <c r="AS149" s="127">
        <f>VLOOKUP(T149,'Lookup Table'!$B$2:$C$9,2,0)</f>
        <v>2</v>
      </c>
      <c r="AT149" s="136">
        <f t="shared" si="53"/>
        <v>42643019.659999996</v>
      </c>
      <c r="AU149" s="128">
        <f t="shared" si="54"/>
        <v>3.5000000000000003E-2</v>
      </c>
      <c r="AV149" s="136">
        <f t="shared" si="55"/>
        <v>247566.61</v>
      </c>
      <c r="AW149" s="37" t="str">
        <f t="shared" si="56"/>
        <v>Ba1</v>
      </c>
      <c r="AX149" s="128">
        <f>VLOOKUP(E149,'Lookup Table'!$B$12:$C$82,2,0)</f>
        <v>3.1662499999999996E-2</v>
      </c>
      <c r="AY149" s="128">
        <f>'Lookup Table'!$E$3</f>
        <v>0.45</v>
      </c>
      <c r="AZ149" s="129" t="str">
        <f t="shared" si="57"/>
        <v>Morocco</v>
      </c>
      <c r="BA149" s="37">
        <f>VLOOKUP(AA149,'Lookup Table'!$J$3:$K$27,2,0)</f>
        <v>1</v>
      </c>
      <c r="BB149" s="37">
        <f t="shared" si="58"/>
        <v>1</v>
      </c>
      <c r="BC149" s="37">
        <f t="shared" si="59"/>
        <v>1</v>
      </c>
      <c r="BD149" s="37">
        <f>IF(AND(K149&lt;'ECL Calculation'!$B$1,'Input Sheet'!W149="No"),3,IF(X149="Yes",2,1))</f>
        <v>1</v>
      </c>
      <c r="BE149" s="37">
        <f t="shared" si="60"/>
        <v>1</v>
      </c>
      <c r="BF149" s="37" t="str">
        <f t="shared" si="61"/>
        <v>Stage 1</v>
      </c>
      <c r="BG149" s="37" t="str">
        <f t="shared" si="62"/>
        <v>Yes</v>
      </c>
    </row>
    <row r="150" spans="1:59" x14ac:dyDescent="0.2">
      <c r="A150" s="35">
        <f t="shared" si="63"/>
        <v>148</v>
      </c>
      <c r="B150" s="33">
        <v>1156</v>
      </c>
      <c r="C150" s="33" t="s">
        <v>396</v>
      </c>
      <c r="D150" s="33" t="s">
        <v>806</v>
      </c>
      <c r="E150" s="33" t="s">
        <v>512</v>
      </c>
      <c r="F150" s="33" t="s">
        <v>542</v>
      </c>
      <c r="G150" s="117">
        <v>3.5</v>
      </c>
      <c r="H150" s="34">
        <v>39426</v>
      </c>
      <c r="I150" s="34">
        <v>39664</v>
      </c>
      <c r="J150" s="34">
        <v>39664</v>
      </c>
      <c r="K150" s="34">
        <v>48334</v>
      </c>
      <c r="L150" s="34">
        <v>41942</v>
      </c>
      <c r="M150" s="34">
        <v>39568</v>
      </c>
      <c r="N150" s="113">
        <v>30</v>
      </c>
      <c r="O150" s="200">
        <v>25711000</v>
      </c>
      <c r="P150" s="200">
        <v>22955392.350000001</v>
      </c>
      <c r="Q150" s="200">
        <v>22955392.350000001</v>
      </c>
      <c r="R150" s="201">
        <v>5757977.79</v>
      </c>
      <c r="S150" s="33" t="s">
        <v>22</v>
      </c>
      <c r="T150" s="33" t="s">
        <v>22</v>
      </c>
      <c r="U150" s="33" t="s">
        <v>203</v>
      </c>
      <c r="V150" s="33"/>
      <c r="W150" s="33" t="s">
        <v>210</v>
      </c>
      <c r="X150" s="33" t="s">
        <v>209</v>
      </c>
      <c r="Y150" s="33" t="s">
        <v>209</v>
      </c>
      <c r="Z150" s="33" t="s">
        <v>209</v>
      </c>
      <c r="AA150" s="35" t="str">
        <f>_xlfn.IFNA(VLOOKUP(E150,'Lookup Table'!$J$33:$K$176,2,0),"B3")</f>
        <v>B3</v>
      </c>
      <c r="AB150" s="35">
        <f>_xlfn.IFNA(VLOOKUP($AA150,'Rating Lookup'!$B$2:$I$27,8,0),15)</f>
        <v>16</v>
      </c>
      <c r="AC150" s="35" t="str">
        <f>_xlfn.IFNA(VLOOKUP(E150,'Lookup Table'!$M$33:$N$173,2,0),"B3")</f>
        <v>B3</v>
      </c>
      <c r="AD150" s="35">
        <f>_xlfn.IFNA(VLOOKUP($AC150,'Rating Lookup'!$B$2:$I$27,8,0),15)</f>
        <v>16</v>
      </c>
      <c r="AE150" s="35">
        <f t="shared" si="44"/>
        <v>0</v>
      </c>
      <c r="AG150" s="35" t="str">
        <f t="shared" si="45"/>
        <v>SOCIAL HOUSING (PHASE 2)</v>
      </c>
      <c r="AH150" s="35" t="str">
        <f t="shared" si="46"/>
        <v>Government Loan</v>
      </c>
      <c r="AI150" s="202">
        <f>'ECL Calculation'!$B$1</f>
        <v>43465</v>
      </c>
      <c r="AJ150" s="202">
        <f t="shared" si="47"/>
        <v>41942</v>
      </c>
      <c r="AK150" s="202">
        <f t="shared" si="48"/>
        <v>39568</v>
      </c>
      <c r="AL150" s="127">
        <f t="shared" si="49"/>
        <v>30</v>
      </c>
      <c r="AM150" s="192">
        <f>IF(AND(IF(ISBLANK(K150),EOMONTH(AJ150,AL150*12),K150)&lt;'ECL Calculation'!$B$1,SUM('Input Sheet'!Q150,'Input Sheet'!R150)&gt;0),EOMONTH('ECL Calculation'!$B$1,12*5),IF(ISBLANK(K150),EOMONTH(AJ150,AL150*12),K150))</f>
        <v>48334</v>
      </c>
      <c r="AN150" s="203">
        <f t="shared" si="50"/>
        <v>25711000</v>
      </c>
      <c r="AO150" s="203">
        <f t="shared" si="51"/>
        <v>22955392.350000001</v>
      </c>
      <c r="AP150" s="203">
        <f t="shared" si="52"/>
        <v>2755607.6499999985</v>
      </c>
      <c r="AQ150" s="126">
        <f>VLOOKUP(U150,'Lookup Table'!$B$2:$C$10,2,0)</f>
        <v>1</v>
      </c>
      <c r="AR150" s="127">
        <f>VLOOKUP(S150,'Lookup Table'!$B$2:$C$9,2,0)</f>
        <v>2</v>
      </c>
      <c r="AS150" s="127">
        <f>VLOOKUP(T150,'Lookup Table'!$B$2:$C$9,2,0)</f>
        <v>2</v>
      </c>
      <c r="AT150" s="136">
        <f t="shared" si="53"/>
        <v>22955392.350000001</v>
      </c>
      <c r="AU150" s="128">
        <f t="shared" si="54"/>
        <v>3.5000000000000003E-2</v>
      </c>
      <c r="AV150" s="136">
        <f t="shared" si="55"/>
        <v>5757977.79</v>
      </c>
      <c r="AW150" s="37" t="str">
        <f t="shared" si="56"/>
        <v>B3</v>
      </c>
      <c r="AX150" s="128">
        <f>VLOOKUP(E150,'Lookup Table'!$B$12:$C$82,2,0)</f>
        <v>3.6666666666666667E-2</v>
      </c>
      <c r="AY150" s="128">
        <f>'Lookup Table'!$E$3</f>
        <v>0.45</v>
      </c>
      <c r="AZ150" s="129" t="str">
        <f t="shared" si="57"/>
        <v>Djibouti</v>
      </c>
      <c r="BA150" s="37">
        <f>VLOOKUP(AA150,'Lookup Table'!$J$3:$K$27,2,0)</f>
        <v>1</v>
      </c>
      <c r="BB150" s="37">
        <f t="shared" si="58"/>
        <v>1</v>
      </c>
      <c r="BC150" s="37">
        <f t="shared" si="59"/>
        <v>1</v>
      </c>
      <c r="BD150" s="37">
        <f>IF(AND(K150&lt;'ECL Calculation'!$B$1,'Input Sheet'!W150="No"),3,IF(X150="Yes",2,1))</f>
        <v>2</v>
      </c>
      <c r="BE150" s="37">
        <f t="shared" si="60"/>
        <v>3</v>
      </c>
      <c r="BF150" s="37" t="str">
        <f t="shared" si="61"/>
        <v>Stage 3</v>
      </c>
      <c r="BG150" s="37" t="str">
        <f t="shared" si="62"/>
        <v>Yes</v>
      </c>
    </row>
    <row r="151" spans="1:59" x14ac:dyDescent="0.2">
      <c r="A151" s="35">
        <f t="shared" si="63"/>
        <v>149</v>
      </c>
      <c r="B151" s="33">
        <v>1157</v>
      </c>
      <c r="C151" s="33" t="s">
        <v>397</v>
      </c>
      <c r="D151" s="33" t="s">
        <v>806</v>
      </c>
      <c r="E151" s="33" t="s">
        <v>480</v>
      </c>
      <c r="F151" s="33" t="s">
        <v>542</v>
      </c>
      <c r="G151" s="117">
        <v>2.33</v>
      </c>
      <c r="H151" s="34">
        <v>39511</v>
      </c>
      <c r="I151" s="34">
        <v>40203</v>
      </c>
      <c r="J151" s="34">
        <v>40203</v>
      </c>
      <c r="K151" s="34">
        <v>44834</v>
      </c>
      <c r="L151" s="34">
        <v>40542</v>
      </c>
      <c r="M151" s="34">
        <v>39537</v>
      </c>
      <c r="N151" s="113">
        <v>12</v>
      </c>
      <c r="O151" s="200">
        <v>0</v>
      </c>
      <c r="P151" s="200">
        <v>0</v>
      </c>
      <c r="Q151" s="200">
        <v>0</v>
      </c>
      <c r="R151" s="201">
        <v>0</v>
      </c>
      <c r="S151" s="33" t="s">
        <v>22</v>
      </c>
      <c r="T151" s="33" t="s">
        <v>22</v>
      </c>
      <c r="U151" s="33" t="s">
        <v>203</v>
      </c>
      <c r="V151" s="33"/>
      <c r="W151" s="33" t="s">
        <v>210</v>
      </c>
      <c r="X151" s="33" t="s">
        <v>210</v>
      </c>
      <c r="Y151" s="33"/>
      <c r="Z151" s="33" t="s">
        <v>209</v>
      </c>
      <c r="AA151" s="35" t="str">
        <f>_xlfn.IFNA(VLOOKUP(E151,'Lookup Table'!$J$33:$K$176,2,0),"B3")</f>
        <v>Ba1</v>
      </c>
      <c r="AB151" s="35">
        <f>_xlfn.IFNA(VLOOKUP($AA151,'Rating Lookup'!$B$2:$I$27,8,0),15)</f>
        <v>11</v>
      </c>
      <c r="AC151" s="35" t="str">
        <f>_xlfn.IFNA(VLOOKUP(E151,'Lookup Table'!$M$33:$N$173,2,0),"B3")</f>
        <v>Ba1</v>
      </c>
      <c r="AD151" s="35">
        <f>_xlfn.IFNA(VLOOKUP($AC151,'Rating Lookup'!$B$2:$I$27,8,0),15)</f>
        <v>11</v>
      </c>
      <c r="AE151" s="35">
        <f t="shared" si="44"/>
        <v>0</v>
      </c>
      <c r="AG151" s="35" t="str">
        <f t="shared" si="45"/>
        <v>PRIMARY SCHOOL IN ASSAILAH</v>
      </c>
      <c r="AH151" s="35" t="str">
        <f t="shared" si="46"/>
        <v>Government Loan</v>
      </c>
      <c r="AI151" s="202">
        <f>'ECL Calculation'!$B$1</f>
        <v>43465</v>
      </c>
      <c r="AJ151" s="202">
        <f t="shared" si="47"/>
        <v>40542</v>
      </c>
      <c r="AK151" s="202">
        <f t="shared" si="48"/>
        <v>39537</v>
      </c>
      <c r="AL151" s="127">
        <f t="shared" si="49"/>
        <v>12</v>
      </c>
      <c r="AM151" s="192">
        <f>IF(AND(IF(ISBLANK(K151),EOMONTH(AJ151,AL151*12),K151)&lt;'ECL Calculation'!$B$1,SUM('Input Sheet'!Q151,'Input Sheet'!R151)&gt;0),EOMONTH('ECL Calculation'!$B$1,12*5),IF(ISBLANK(K151),EOMONTH(AJ151,AL151*12),K151))</f>
        <v>44834</v>
      </c>
      <c r="AN151" s="203">
        <f t="shared" si="50"/>
        <v>0</v>
      </c>
      <c r="AO151" s="203">
        <f t="shared" si="51"/>
        <v>0</v>
      </c>
      <c r="AP151" s="203">
        <f t="shared" si="52"/>
        <v>0</v>
      </c>
      <c r="AQ151" s="126">
        <f>VLOOKUP(U151,'Lookup Table'!$B$2:$C$10,2,0)</f>
        <v>1</v>
      </c>
      <c r="AR151" s="127">
        <f>VLOOKUP(S151,'Lookup Table'!$B$2:$C$9,2,0)</f>
        <v>2</v>
      </c>
      <c r="AS151" s="127">
        <f>VLOOKUP(T151,'Lookup Table'!$B$2:$C$9,2,0)</f>
        <v>2</v>
      </c>
      <c r="AT151" s="136">
        <f t="shared" si="53"/>
        <v>0</v>
      </c>
      <c r="AU151" s="128">
        <f t="shared" si="54"/>
        <v>2.3300000000000001E-2</v>
      </c>
      <c r="AV151" s="136">
        <f t="shared" si="55"/>
        <v>0</v>
      </c>
      <c r="AW151" s="37" t="str">
        <f t="shared" si="56"/>
        <v>Ba1</v>
      </c>
      <c r="AX151" s="128">
        <f>VLOOKUP(E151,'Lookup Table'!$B$12:$C$82,2,0)</f>
        <v>3.1662499999999996E-2</v>
      </c>
      <c r="AY151" s="128">
        <f>'Lookup Table'!$E$3</f>
        <v>0.45</v>
      </c>
      <c r="AZ151" s="129" t="str">
        <f t="shared" si="57"/>
        <v>Morocco</v>
      </c>
      <c r="BA151" s="37">
        <f>VLOOKUP(AA151,'Lookup Table'!$J$3:$K$27,2,0)</f>
        <v>1</v>
      </c>
      <c r="BB151" s="37">
        <f t="shared" si="58"/>
        <v>1</v>
      </c>
      <c r="BC151" s="37">
        <f t="shared" si="59"/>
        <v>1</v>
      </c>
      <c r="BD151" s="37">
        <f>IF(AND(K151&lt;'ECL Calculation'!$B$1,'Input Sheet'!W151="No"),3,IF(X151="Yes",2,1))</f>
        <v>1</v>
      </c>
      <c r="BE151" s="37">
        <f t="shared" si="60"/>
        <v>1</v>
      </c>
      <c r="BF151" s="37" t="str">
        <f t="shared" si="61"/>
        <v>Stage 1</v>
      </c>
      <c r="BG151" s="37" t="str">
        <f t="shared" si="62"/>
        <v>No</v>
      </c>
    </row>
    <row r="152" spans="1:59" x14ac:dyDescent="0.2">
      <c r="A152" s="35">
        <f t="shared" si="63"/>
        <v>150</v>
      </c>
      <c r="B152" s="33">
        <v>1158</v>
      </c>
      <c r="C152" s="33" t="s">
        <v>398</v>
      </c>
      <c r="D152" s="33" t="s">
        <v>806</v>
      </c>
      <c r="E152" s="33" t="s">
        <v>480</v>
      </c>
      <c r="F152" s="33" t="s">
        <v>542</v>
      </c>
      <c r="G152" s="117">
        <v>2.33</v>
      </c>
      <c r="H152" s="34">
        <v>39511</v>
      </c>
      <c r="I152" s="34">
        <v>40203</v>
      </c>
      <c r="J152" s="34">
        <v>40203</v>
      </c>
      <c r="K152" s="34">
        <v>44834</v>
      </c>
      <c r="L152" s="34">
        <v>40542</v>
      </c>
      <c r="M152" s="34">
        <v>39537</v>
      </c>
      <c r="N152" s="113">
        <v>12</v>
      </c>
      <c r="O152" s="200">
        <v>0</v>
      </c>
      <c r="P152" s="200">
        <v>0</v>
      </c>
      <c r="Q152" s="200">
        <v>0</v>
      </c>
      <c r="R152" s="201">
        <v>0</v>
      </c>
      <c r="S152" s="33" t="s">
        <v>22</v>
      </c>
      <c r="T152" s="33" t="s">
        <v>22</v>
      </c>
      <c r="U152" s="33" t="s">
        <v>203</v>
      </c>
      <c r="V152" s="33"/>
      <c r="W152" s="33" t="s">
        <v>210</v>
      </c>
      <c r="X152" s="33" t="s">
        <v>210</v>
      </c>
      <c r="Y152" s="33"/>
      <c r="Z152" s="33" t="s">
        <v>209</v>
      </c>
      <c r="AA152" s="35" t="str">
        <f>_xlfn.IFNA(VLOOKUP(E152,'Lookup Table'!$J$33:$K$176,2,0),"B3")</f>
        <v>Ba1</v>
      </c>
      <c r="AB152" s="35">
        <f>_xlfn.IFNA(VLOOKUP($AA152,'Rating Lookup'!$B$2:$I$27,8,0),15)</f>
        <v>11</v>
      </c>
      <c r="AC152" s="35" t="str">
        <f>_xlfn.IFNA(VLOOKUP(E152,'Lookup Table'!$M$33:$N$173,2,0),"B3")</f>
        <v>Ba1</v>
      </c>
      <c r="AD152" s="35">
        <f>_xlfn.IFNA(VLOOKUP($AC152,'Rating Lookup'!$B$2:$I$27,8,0),15)</f>
        <v>11</v>
      </c>
      <c r="AE152" s="35">
        <f t="shared" si="44"/>
        <v>0</v>
      </c>
      <c r="AG152" s="35" t="str">
        <f t="shared" si="45"/>
        <v>AUTO TERMINAL STATION IN ASSAILAH</v>
      </c>
      <c r="AH152" s="35" t="str">
        <f t="shared" si="46"/>
        <v>Government Loan</v>
      </c>
      <c r="AI152" s="202">
        <f>'ECL Calculation'!$B$1</f>
        <v>43465</v>
      </c>
      <c r="AJ152" s="202">
        <f t="shared" si="47"/>
        <v>40542</v>
      </c>
      <c r="AK152" s="202">
        <f t="shared" si="48"/>
        <v>39537</v>
      </c>
      <c r="AL152" s="127">
        <f t="shared" si="49"/>
        <v>12</v>
      </c>
      <c r="AM152" s="192">
        <f>IF(AND(IF(ISBLANK(K152),EOMONTH(AJ152,AL152*12),K152)&lt;'ECL Calculation'!$B$1,SUM('Input Sheet'!Q152,'Input Sheet'!R152)&gt;0),EOMONTH('ECL Calculation'!$B$1,12*5),IF(ISBLANK(K152),EOMONTH(AJ152,AL152*12),K152))</f>
        <v>44834</v>
      </c>
      <c r="AN152" s="203">
        <f t="shared" si="50"/>
        <v>0</v>
      </c>
      <c r="AO152" s="203">
        <f t="shared" si="51"/>
        <v>0</v>
      </c>
      <c r="AP152" s="203">
        <f t="shared" si="52"/>
        <v>0</v>
      </c>
      <c r="AQ152" s="126">
        <f>VLOOKUP(U152,'Lookup Table'!$B$2:$C$10,2,0)</f>
        <v>1</v>
      </c>
      <c r="AR152" s="127">
        <f>VLOOKUP(S152,'Lookup Table'!$B$2:$C$9,2,0)</f>
        <v>2</v>
      </c>
      <c r="AS152" s="127">
        <f>VLOOKUP(T152,'Lookup Table'!$B$2:$C$9,2,0)</f>
        <v>2</v>
      </c>
      <c r="AT152" s="136">
        <f t="shared" si="53"/>
        <v>0</v>
      </c>
      <c r="AU152" s="128">
        <f t="shared" si="54"/>
        <v>2.3300000000000001E-2</v>
      </c>
      <c r="AV152" s="136">
        <f t="shared" si="55"/>
        <v>0</v>
      </c>
      <c r="AW152" s="37" t="str">
        <f t="shared" si="56"/>
        <v>Ba1</v>
      </c>
      <c r="AX152" s="128">
        <f>VLOOKUP(E152,'Lookup Table'!$B$12:$C$82,2,0)</f>
        <v>3.1662499999999996E-2</v>
      </c>
      <c r="AY152" s="128">
        <f>'Lookup Table'!$E$3</f>
        <v>0.45</v>
      </c>
      <c r="AZ152" s="129" t="str">
        <f t="shared" si="57"/>
        <v>Morocco</v>
      </c>
      <c r="BA152" s="37">
        <f>VLOOKUP(AA152,'Lookup Table'!$J$3:$K$27,2,0)</f>
        <v>1</v>
      </c>
      <c r="BB152" s="37">
        <f t="shared" si="58"/>
        <v>1</v>
      </c>
      <c r="BC152" s="37">
        <f t="shared" si="59"/>
        <v>1</v>
      </c>
      <c r="BD152" s="37">
        <f>IF(AND(K152&lt;'ECL Calculation'!$B$1,'Input Sheet'!W152="No"),3,IF(X152="Yes",2,1))</f>
        <v>1</v>
      </c>
      <c r="BE152" s="37">
        <f t="shared" si="60"/>
        <v>1</v>
      </c>
      <c r="BF152" s="37" t="str">
        <f t="shared" si="61"/>
        <v>Stage 1</v>
      </c>
      <c r="BG152" s="37" t="str">
        <f t="shared" si="62"/>
        <v>No</v>
      </c>
    </row>
    <row r="153" spans="1:59" x14ac:dyDescent="0.2">
      <c r="A153" s="35">
        <f t="shared" si="63"/>
        <v>151</v>
      </c>
      <c r="B153" s="33">
        <v>1159</v>
      </c>
      <c r="C153" s="33" t="s">
        <v>399</v>
      </c>
      <c r="D153" s="33" t="s">
        <v>806</v>
      </c>
      <c r="E153" s="33" t="s">
        <v>484</v>
      </c>
      <c r="F153" s="33" t="s">
        <v>542</v>
      </c>
      <c r="G153" s="117">
        <v>2</v>
      </c>
      <c r="H153" s="34">
        <v>39588</v>
      </c>
      <c r="I153" s="34">
        <v>39665</v>
      </c>
      <c r="J153" s="34">
        <v>39665</v>
      </c>
      <c r="K153" s="34">
        <v>46690</v>
      </c>
      <c r="L153" s="34">
        <v>41394</v>
      </c>
      <c r="M153" s="34">
        <v>39751</v>
      </c>
      <c r="N153" s="113">
        <v>15</v>
      </c>
      <c r="O153" s="200">
        <v>183650000</v>
      </c>
      <c r="P153" s="200">
        <v>116287752.92</v>
      </c>
      <c r="Q153" s="200">
        <v>116287752.92</v>
      </c>
      <c r="R153" s="201">
        <v>15505033.59</v>
      </c>
      <c r="S153" s="33" t="s">
        <v>22</v>
      </c>
      <c r="T153" s="33" t="s">
        <v>22</v>
      </c>
      <c r="U153" s="33" t="s">
        <v>203</v>
      </c>
      <c r="V153" s="33"/>
      <c r="W153" s="33" t="s">
        <v>210</v>
      </c>
      <c r="X153" s="33" t="s">
        <v>209</v>
      </c>
      <c r="Y153" s="239" t="s">
        <v>209</v>
      </c>
      <c r="Z153" s="33" t="s">
        <v>209</v>
      </c>
      <c r="AA153" s="35" t="str">
        <f>_xlfn.IFNA(VLOOKUP(E153,'Lookup Table'!$J$33:$K$176,2,0),"B3")</f>
        <v>Ca-C</v>
      </c>
      <c r="AB153" s="35">
        <f>_xlfn.IFNA(VLOOKUP($AA153,'Rating Lookup'!$B$2:$I$27,8,0),15)</f>
        <v>15</v>
      </c>
      <c r="AC153" s="35" t="str">
        <f>_xlfn.IFNA(VLOOKUP(E153,'Lookup Table'!$M$33:$N$173,2,0),"B3")</f>
        <v>Ca-C</v>
      </c>
      <c r="AD153" s="35">
        <f>_xlfn.IFNA(VLOOKUP($AC153,'Rating Lookup'!$B$2:$I$27,8,0),15)</f>
        <v>15</v>
      </c>
      <c r="AE153" s="35">
        <f t="shared" si="44"/>
        <v>0</v>
      </c>
      <c r="AG153" s="35" t="str">
        <f t="shared" si="45"/>
        <v>MARWI  DAM  ( ADDITIONAL LOAN  # 2  ) .</v>
      </c>
      <c r="AH153" s="35" t="str">
        <f t="shared" si="46"/>
        <v>Government Loan</v>
      </c>
      <c r="AI153" s="202">
        <f>'ECL Calculation'!$B$1</f>
        <v>43465</v>
      </c>
      <c r="AJ153" s="202">
        <f t="shared" si="47"/>
        <v>41394</v>
      </c>
      <c r="AK153" s="202">
        <f t="shared" si="48"/>
        <v>39751</v>
      </c>
      <c r="AL153" s="127">
        <f t="shared" si="49"/>
        <v>15</v>
      </c>
      <c r="AM153" s="192">
        <f>IF(AND(IF(ISBLANK(K153),EOMONTH(AJ153,AL153*12),K153)&lt;'ECL Calculation'!$B$1,SUM('Input Sheet'!Q153,'Input Sheet'!R153)&gt;0),EOMONTH('ECL Calculation'!$B$1,12*5),IF(ISBLANK(K153),EOMONTH(AJ153,AL153*12),K153))</f>
        <v>46690</v>
      </c>
      <c r="AN153" s="203">
        <f t="shared" si="50"/>
        <v>183650000</v>
      </c>
      <c r="AO153" s="203">
        <f t="shared" si="51"/>
        <v>116287752.92</v>
      </c>
      <c r="AP153" s="203">
        <f t="shared" si="52"/>
        <v>67362247.079999998</v>
      </c>
      <c r="AQ153" s="126">
        <f>VLOOKUP(U153,'Lookup Table'!$B$2:$C$10,2,0)</f>
        <v>1</v>
      </c>
      <c r="AR153" s="127">
        <f>VLOOKUP(S153,'Lookup Table'!$B$2:$C$9,2,0)</f>
        <v>2</v>
      </c>
      <c r="AS153" s="127">
        <f>VLOOKUP(T153,'Lookup Table'!$B$2:$C$9,2,0)</f>
        <v>2</v>
      </c>
      <c r="AT153" s="136">
        <f t="shared" si="53"/>
        <v>116287752.92</v>
      </c>
      <c r="AU153" s="128">
        <f t="shared" si="54"/>
        <v>0.02</v>
      </c>
      <c r="AV153" s="136">
        <f t="shared" si="55"/>
        <v>15505033.59</v>
      </c>
      <c r="AW153" s="37" t="str">
        <f t="shared" si="56"/>
        <v>Ca-C</v>
      </c>
      <c r="AX153" s="128">
        <f>VLOOKUP(E153,'Lookup Table'!$B$12:$C$82,2,0)</f>
        <v>2.9249999999999998E-2</v>
      </c>
      <c r="AY153" s="128">
        <f>'Lookup Table'!$E$3</f>
        <v>0.45</v>
      </c>
      <c r="AZ153" s="129" t="str">
        <f t="shared" si="57"/>
        <v>Sudan</v>
      </c>
      <c r="BA153" s="37">
        <f>VLOOKUP(AA153,'Lookup Table'!$J$3:$K$27,2,0)</f>
        <v>1</v>
      </c>
      <c r="BB153" s="37">
        <f t="shared" si="58"/>
        <v>1</v>
      </c>
      <c r="BC153" s="37">
        <f t="shared" si="59"/>
        <v>1</v>
      </c>
      <c r="BD153" s="37">
        <f>IF(AND(K153&lt;'ECL Calculation'!$B$1,'Input Sheet'!W153="No"),3,IF(X153="Yes",2,1))</f>
        <v>2</v>
      </c>
      <c r="BE153" s="37">
        <f t="shared" si="60"/>
        <v>3</v>
      </c>
      <c r="BF153" s="37" t="str">
        <f t="shared" si="61"/>
        <v>Stage 3</v>
      </c>
      <c r="BG153" s="37" t="str">
        <f t="shared" si="62"/>
        <v>Yes</v>
      </c>
    </row>
    <row r="154" spans="1:59" x14ac:dyDescent="0.2">
      <c r="A154" s="35">
        <f t="shared" si="63"/>
        <v>152</v>
      </c>
      <c r="B154" s="33">
        <v>1160</v>
      </c>
      <c r="C154" s="33" t="s">
        <v>400</v>
      </c>
      <c r="D154" s="33" t="s">
        <v>806</v>
      </c>
      <c r="E154" s="33" t="s">
        <v>484</v>
      </c>
      <c r="F154" s="33" t="s">
        <v>542</v>
      </c>
      <c r="G154" s="117">
        <v>2</v>
      </c>
      <c r="H154" s="34">
        <v>39588</v>
      </c>
      <c r="I154" s="34">
        <v>39665</v>
      </c>
      <c r="J154" s="34">
        <v>39665</v>
      </c>
      <c r="K154" s="34">
        <v>46690</v>
      </c>
      <c r="L154" s="34">
        <v>41394</v>
      </c>
      <c r="M154" s="34">
        <v>39751</v>
      </c>
      <c r="N154" s="113">
        <v>15</v>
      </c>
      <c r="O154" s="200">
        <v>91825000</v>
      </c>
      <c r="P154" s="200">
        <v>67276648.659999996</v>
      </c>
      <c r="Q154" s="200">
        <v>67276648.659999996</v>
      </c>
      <c r="R154" s="201">
        <v>8937297.3499999996</v>
      </c>
      <c r="S154" s="33" t="s">
        <v>22</v>
      </c>
      <c r="T154" s="33" t="s">
        <v>22</v>
      </c>
      <c r="U154" s="33" t="s">
        <v>203</v>
      </c>
      <c r="V154" s="33"/>
      <c r="W154" s="33" t="s">
        <v>210</v>
      </c>
      <c r="X154" s="33" t="s">
        <v>209</v>
      </c>
      <c r="Y154" s="239" t="s">
        <v>209</v>
      </c>
      <c r="Z154" s="33" t="s">
        <v>209</v>
      </c>
      <c r="AA154" s="35" t="str">
        <f>_xlfn.IFNA(VLOOKUP(E154,'Lookup Table'!$J$33:$K$176,2,0),"B3")</f>
        <v>Ca-C</v>
      </c>
      <c r="AB154" s="35">
        <f>_xlfn.IFNA(VLOOKUP($AA154,'Rating Lookup'!$B$2:$I$27,8,0),15)</f>
        <v>15</v>
      </c>
      <c r="AC154" s="35" t="str">
        <f>_xlfn.IFNA(VLOOKUP(E154,'Lookup Table'!$M$33:$N$173,2,0),"B3")</f>
        <v>Ca-C</v>
      </c>
      <c r="AD154" s="35">
        <f>_xlfn.IFNA(VLOOKUP($AC154,'Rating Lookup'!$B$2:$I$27,8,0),15)</f>
        <v>15</v>
      </c>
      <c r="AE154" s="35">
        <f t="shared" si="44"/>
        <v>0</v>
      </c>
      <c r="AG154" s="35" t="str">
        <f t="shared" si="45"/>
        <v>THE RAISE OF ROSEIRES DAM</v>
      </c>
      <c r="AH154" s="35" t="str">
        <f t="shared" si="46"/>
        <v>Government Loan</v>
      </c>
      <c r="AI154" s="202">
        <f>'ECL Calculation'!$B$1</f>
        <v>43465</v>
      </c>
      <c r="AJ154" s="202">
        <f t="shared" si="47"/>
        <v>41394</v>
      </c>
      <c r="AK154" s="202">
        <f t="shared" si="48"/>
        <v>39751</v>
      </c>
      <c r="AL154" s="127">
        <f t="shared" si="49"/>
        <v>15</v>
      </c>
      <c r="AM154" s="192">
        <f>IF(AND(IF(ISBLANK(K154),EOMONTH(AJ154,AL154*12),K154)&lt;'ECL Calculation'!$B$1,SUM('Input Sheet'!Q154,'Input Sheet'!R154)&gt;0),EOMONTH('ECL Calculation'!$B$1,12*5),IF(ISBLANK(K154),EOMONTH(AJ154,AL154*12),K154))</f>
        <v>46690</v>
      </c>
      <c r="AN154" s="203">
        <f t="shared" si="50"/>
        <v>91825000</v>
      </c>
      <c r="AO154" s="203">
        <f t="shared" si="51"/>
        <v>67276648.659999996</v>
      </c>
      <c r="AP154" s="203">
        <f t="shared" si="52"/>
        <v>24548351.340000004</v>
      </c>
      <c r="AQ154" s="126">
        <f>VLOOKUP(U154,'Lookup Table'!$B$2:$C$10,2,0)</f>
        <v>1</v>
      </c>
      <c r="AR154" s="127">
        <f>VLOOKUP(S154,'Lookup Table'!$B$2:$C$9,2,0)</f>
        <v>2</v>
      </c>
      <c r="AS154" s="127">
        <f>VLOOKUP(T154,'Lookup Table'!$B$2:$C$9,2,0)</f>
        <v>2</v>
      </c>
      <c r="AT154" s="136">
        <f t="shared" si="53"/>
        <v>67276648.659999996</v>
      </c>
      <c r="AU154" s="128">
        <f t="shared" si="54"/>
        <v>0.02</v>
      </c>
      <c r="AV154" s="136">
        <f t="shared" si="55"/>
        <v>8937297.3499999996</v>
      </c>
      <c r="AW154" s="37" t="str">
        <f t="shared" si="56"/>
        <v>Ca-C</v>
      </c>
      <c r="AX154" s="128">
        <f>VLOOKUP(E154,'Lookup Table'!$B$12:$C$82,2,0)</f>
        <v>2.9249999999999998E-2</v>
      </c>
      <c r="AY154" s="128">
        <f>'Lookup Table'!$E$3</f>
        <v>0.45</v>
      </c>
      <c r="AZ154" s="129" t="str">
        <f t="shared" si="57"/>
        <v>Sudan</v>
      </c>
      <c r="BA154" s="37">
        <f>VLOOKUP(AA154,'Lookup Table'!$J$3:$K$27,2,0)</f>
        <v>1</v>
      </c>
      <c r="BB154" s="37">
        <f t="shared" si="58"/>
        <v>1</v>
      </c>
      <c r="BC154" s="37">
        <f t="shared" si="59"/>
        <v>1</v>
      </c>
      <c r="BD154" s="37">
        <f>IF(AND(K154&lt;'ECL Calculation'!$B$1,'Input Sheet'!W154="No"),3,IF(X154="Yes",2,1))</f>
        <v>2</v>
      </c>
      <c r="BE154" s="37">
        <f t="shared" si="60"/>
        <v>3</v>
      </c>
      <c r="BF154" s="37" t="str">
        <f t="shared" si="61"/>
        <v>Stage 3</v>
      </c>
      <c r="BG154" s="37" t="str">
        <f t="shared" si="62"/>
        <v>Yes</v>
      </c>
    </row>
    <row r="155" spans="1:59" x14ac:dyDescent="0.2">
      <c r="A155" s="35">
        <f t="shared" si="63"/>
        <v>153</v>
      </c>
      <c r="B155" s="33">
        <v>1161</v>
      </c>
      <c r="C155" s="33" t="s">
        <v>401</v>
      </c>
      <c r="D155" s="33" t="s">
        <v>806</v>
      </c>
      <c r="E155" s="33" t="s">
        <v>484</v>
      </c>
      <c r="F155" s="33" t="s">
        <v>542</v>
      </c>
      <c r="G155" s="117">
        <v>3</v>
      </c>
      <c r="H155" s="34">
        <v>39694</v>
      </c>
      <c r="I155" s="34">
        <v>39859</v>
      </c>
      <c r="J155" s="34">
        <v>39859</v>
      </c>
      <c r="K155" s="34">
        <v>43220</v>
      </c>
      <c r="L155" s="34">
        <v>40846</v>
      </c>
      <c r="M155" s="34">
        <v>39751</v>
      </c>
      <c r="N155" s="113">
        <v>7</v>
      </c>
      <c r="O155" s="200">
        <v>0</v>
      </c>
      <c r="P155" s="200">
        <v>0</v>
      </c>
      <c r="Q155" s="200">
        <v>0</v>
      </c>
      <c r="R155" s="201">
        <v>0</v>
      </c>
      <c r="S155" s="33" t="s">
        <v>22</v>
      </c>
      <c r="T155" s="33" t="s">
        <v>22</v>
      </c>
      <c r="U155" s="33" t="s">
        <v>203</v>
      </c>
      <c r="V155" s="33"/>
      <c r="W155" s="33" t="s">
        <v>210</v>
      </c>
      <c r="X155" s="33" t="s">
        <v>210</v>
      </c>
      <c r="Y155" s="33"/>
      <c r="Z155" s="33" t="s">
        <v>209</v>
      </c>
      <c r="AA155" s="35" t="str">
        <f>_xlfn.IFNA(VLOOKUP(E155,'Lookup Table'!$J$33:$K$176,2,0),"B3")</f>
        <v>Ca-C</v>
      </c>
      <c r="AB155" s="35">
        <f>_xlfn.IFNA(VLOOKUP($AA155,'Rating Lookup'!$B$2:$I$27,8,0),15)</f>
        <v>15</v>
      </c>
      <c r="AC155" s="35" t="str">
        <f>_xlfn.IFNA(VLOOKUP(E155,'Lookup Table'!$M$33:$N$173,2,0),"B3")</f>
        <v>Ca-C</v>
      </c>
      <c r="AD155" s="35">
        <f>_xlfn.IFNA(VLOOKUP($AC155,'Rating Lookup'!$B$2:$I$27,8,0),15)</f>
        <v>15</v>
      </c>
      <c r="AE155" s="35">
        <f t="shared" si="44"/>
        <v>0</v>
      </c>
      <c r="AG155" s="35" t="str">
        <f t="shared" si="45"/>
        <v>BALANCE OF PAYMENT</v>
      </c>
      <c r="AH155" s="35" t="str">
        <f t="shared" si="46"/>
        <v>Government Loan</v>
      </c>
      <c r="AI155" s="202">
        <f>'ECL Calculation'!$B$1</f>
        <v>43465</v>
      </c>
      <c r="AJ155" s="202">
        <f t="shared" si="47"/>
        <v>40846</v>
      </c>
      <c r="AK155" s="202">
        <f t="shared" si="48"/>
        <v>39751</v>
      </c>
      <c r="AL155" s="127">
        <f t="shared" si="49"/>
        <v>7</v>
      </c>
      <c r="AM155" s="192">
        <f>IF(AND(IF(ISBLANK(K155),EOMONTH(AJ155,AL155*12),K155)&lt;'ECL Calculation'!$B$1,SUM('Input Sheet'!Q155,'Input Sheet'!R155)&gt;0),EOMONTH('ECL Calculation'!$B$1,12*5),IF(ISBLANK(K155),EOMONTH(AJ155,AL155*12),K155))</f>
        <v>43220</v>
      </c>
      <c r="AN155" s="203">
        <f t="shared" si="50"/>
        <v>0</v>
      </c>
      <c r="AO155" s="203">
        <f t="shared" si="51"/>
        <v>0</v>
      </c>
      <c r="AP155" s="203">
        <f t="shared" si="52"/>
        <v>0</v>
      </c>
      <c r="AQ155" s="126">
        <f>VLOOKUP(U155,'Lookup Table'!$B$2:$C$10,2,0)</f>
        <v>1</v>
      </c>
      <c r="AR155" s="127">
        <f>VLOOKUP(S155,'Lookup Table'!$B$2:$C$9,2,0)</f>
        <v>2</v>
      </c>
      <c r="AS155" s="127">
        <f>VLOOKUP(T155,'Lookup Table'!$B$2:$C$9,2,0)</f>
        <v>2</v>
      </c>
      <c r="AT155" s="136">
        <f t="shared" si="53"/>
        <v>0</v>
      </c>
      <c r="AU155" s="128">
        <f t="shared" si="54"/>
        <v>0.03</v>
      </c>
      <c r="AV155" s="136">
        <f t="shared" si="55"/>
        <v>0</v>
      </c>
      <c r="AW155" s="37" t="str">
        <f t="shared" si="56"/>
        <v>Ca-C</v>
      </c>
      <c r="AX155" s="128">
        <f>VLOOKUP(E155,'Lookup Table'!$B$12:$C$82,2,0)</f>
        <v>2.9249999999999998E-2</v>
      </c>
      <c r="AY155" s="128">
        <f>'Lookup Table'!$E$3</f>
        <v>0.45</v>
      </c>
      <c r="AZ155" s="129" t="str">
        <f t="shared" si="57"/>
        <v>Sudan</v>
      </c>
      <c r="BA155" s="37">
        <f>VLOOKUP(AA155,'Lookup Table'!$J$3:$K$27,2,0)</f>
        <v>1</v>
      </c>
      <c r="BB155" s="37">
        <f t="shared" si="58"/>
        <v>1</v>
      </c>
      <c r="BC155" s="37">
        <f t="shared" si="59"/>
        <v>1</v>
      </c>
      <c r="BD155" s="37">
        <f>IF(AND(K155&lt;'ECL Calculation'!$B$1,'Input Sheet'!W155="No"),3,IF(X155="Yes",2,1))</f>
        <v>3</v>
      </c>
      <c r="BE155" s="37">
        <f t="shared" si="60"/>
        <v>1</v>
      </c>
      <c r="BF155" s="37" t="str">
        <f t="shared" si="61"/>
        <v>Stage 3</v>
      </c>
      <c r="BG155" s="37" t="str">
        <f t="shared" si="62"/>
        <v>No</v>
      </c>
    </row>
    <row r="156" spans="1:59" x14ac:dyDescent="0.2">
      <c r="A156" s="35">
        <f t="shared" si="63"/>
        <v>154</v>
      </c>
      <c r="B156" s="33">
        <v>1162</v>
      </c>
      <c r="C156" s="33" t="s">
        <v>402</v>
      </c>
      <c r="D156" s="33" t="s">
        <v>806</v>
      </c>
      <c r="E156" s="33" t="s">
        <v>514</v>
      </c>
      <c r="F156" s="33" t="s">
        <v>542</v>
      </c>
      <c r="G156" s="117">
        <v>2</v>
      </c>
      <c r="H156" s="34">
        <v>39826</v>
      </c>
      <c r="I156" s="34">
        <v>39859</v>
      </c>
      <c r="J156" s="34">
        <v>39859</v>
      </c>
      <c r="K156" s="34">
        <v>47056</v>
      </c>
      <c r="L156" s="34">
        <v>41759</v>
      </c>
      <c r="M156" s="34">
        <v>39933</v>
      </c>
      <c r="N156" s="113">
        <v>15</v>
      </c>
      <c r="O156" s="200">
        <v>73460000</v>
      </c>
      <c r="P156" s="200">
        <v>36218705.359999999</v>
      </c>
      <c r="Q156" s="200">
        <v>36218705.359999999</v>
      </c>
      <c r="R156" s="201">
        <v>3811883.11</v>
      </c>
      <c r="S156" s="33" t="s">
        <v>22</v>
      </c>
      <c r="T156" s="33" t="s">
        <v>22</v>
      </c>
      <c r="U156" s="33" t="s">
        <v>203</v>
      </c>
      <c r="V156" s="33"/>
      <c r="W156" s="33" t="s">
        <v>210</v>
      </c>
      <c r="X156" s="33" t="s">
        <v>209</v>
      </c>
      <c r="Y156" s="33"/>
      <c r="Z156" s="33" t="s">
        <v>209</v>
      </c>
      <c r="AA156" s="35" t="str">
        <f>_xlfn.IFNA(VLOOKUP(E156,'Lookup Table'!$J$33:$K$176,2,0),"B3")</f>
        <v>B3</v>
      </c>
      <c r="AB156" s="35">
        <f>_xlfn.IFNA(VLOOKUP($AA156,'Rating Lookup'!$B$2:$I$27,8,0),15)</f>
        <v>16</v>
      </c>
      <c r="AC156" s="35" t="str">
        <f>_xlfn.IFNA(VLOOKUP(E156,'Lookup Table'!$M$33:$N$173,2,0),"B3")</f>
        <v>B3</v>
      </c>
      <c r="AD156" s="35">
        <f>_xlfn.IFNA(VLOOKUP($AC156,'Rating Lookup'!$B$2:$I$27,8,0),15)</f>
        <v>16</v>
      </c>
      <c r="AE156" s="35">
        <f t="shared" si="44"/>
        <v>0</v>
      </c>
      <c r="AG156" s="35" t="str">
        <f t="shared" si="45"/>
        <v>INFRASTRUCTURE PROJECTS  .</v>
      </c>
      <c r="AH156" s="35" t="str">
        <f t="shared" si="46"/>
        <v>Government Loan</v>
      </c>
      <c r="AI156" s="202">
        <f>'ECL Calculation'!$B$1</f>
        <v>43465</v>
      </c>
      <c r="AJ156" s="202">
        <f t="shared" si="47"/>
        <v>41759</v>
      </c>
      <c r="AK156" s="202">
        <f t="shared" si="48"/>
        <v>39933</v>
      </c>
      <c r="AL156" s="127">
        <f t="shared" si="49"/>
        <v>15</v>
      </c>
      <c r="AM156" s="192">
        <f>IF(AND(IF(ISBLANK(K156),EOMONTH(AJ156,AL156*12),K156)&lt;'ECL Calculation'!$B$1,SUM('Input Sheet'!Q156,'Input Sheet'!R156)&gt;0),EOMONTH('ECL Calculation'!$B$1,12*5),IF(ISBLANK(K156),EOMONTH(AJ156,AL156*12),K156))</f>
        <v>47056</v>
      </c>
      <c r="AN156" s="203">
        <f t="shared" si="50"/>
        <v>73460000</v>
      </c>
      <c r="AO156" s="203">
        <f t="shared" si="51"/>
        <v>36218705.359999999</v>
      </c>
      <c r="AP156" s="203">
        <f t="shared" si="52"/>
        <v>37241294.640000001</v>
      </c>
      <c r="AQ156" s="126">
        <f>VLOOKUP(U156,'Lookup Table'!$B$2:$C$10,2,0)</f>
        <v>1</v>
      </c>
      <c r="AR156" s="127">
        <f>VLOOKUP(S156,'Lookup Table'!$B$2:$C$9,2,0)</f>
        <v>2</v>
      </c>
      <c r="AS156" s="127">
        <f>VLOOKUP(T156,'Lookup Table'!$B$2:$C$9,2,0)</f>
        <v>2</v>
      </c>
      <c r="AT156" s="136">
        <f t="shared" si="53"/>
        <v>36218705.359999999</v>
      </c>
      <c r="AU156" s="128">
        <f t="shared" si="54"/>
        <v>0.02</v>
      </c>
      <c r="AV156" s="136">
        <f t="shared" si="55"/>
        <v>3811883.11</v>
      </c>
      <c r="AW156" s="37" t="str">
        <f t="shared" si="56"/>
        <v>B3</v>
      </c>
      <c r="AX156" s="128">
        <f>VLOOKUP(E156,'Lookup Table'!$B$12:$C$82,2,0)</f>
        <v>2.5000000000000001E-2</v>
      </c>
      <c r="AY156" s="128">
        <f>'Lookup Table'!$E$3</f>
        <v>0.45</v>
      </c>
      <c r="AZ156" s="129" t="str">
        <f t="shared" si="57"/>
        <v>Eritrea</v>
      </c>
      <c r="BA156" s="37">
        <f>VLOOKUP(AA156,'Lookup Table'!$J$3:$K$27,2,0)</f>
        <v>1</v>
      </c>
      <c r="BB156" s="37">
        <f t="shared" si="58"/>
        <v>1</v>
      </c>
      <c r="BC156" s="37">
        <f t="shared" si="59"/>
        <v>1</v>
      </c>
      <c r="BD156" s="37">
        <f>IF(AND(K156&lt;'ECL Calculation'!$B$1,'Input Sheet'!W156="No"),3,IF(X156="Yes",2,1))</f>
        <v>2</v>
      </c>
      <c r="BE156" s="37">
        <f t="shared" si="60"/>
        <v>1</v>
      </c>
      <c r="BF156" s="37" t="str">
        <f t="shared" si="61"/>
        <v>Stage 2</v>
      </c>
      <c r="BG156" s="37" t="str">
        <f t="shared" si="62"/>
        <v>Yes</v>
      </c>
    </row>
    <row r="157" spans="1:59" x14ac:dyDescent="0.2">
      <c r="A157" s="35">
        <f t="shared" si="63"/>
        <v>155</v>
      </c>
      <c r="B157" s="33">
        <v>1163</v>
      </c>
      <c r="C157" s="33" t="s">
        <v>403</v>
      </c>
      <c r="D157" s="33" t="s">
        <v>806</v>
      </c>
      <c r="E157" s="33" t="s">
        <v>484</v>
      </c>
      <c r="F157" s="33" t="s">
        <v>542</v>
      </c>
      <c r="G157" s="117">
        <v>5.75</v>
      </c>
      <c r="H157" s="34">
        <v>39755</v>
      </c>
      <c r="I157" s="34">
        <v>40023</v>
      </c>
      <c r="J157" s="34">
        <v>40023</v>
      </c>
      <c r="K157" s="34">
        <v>44134</v>
      </c>
      <c r="L157" s="34">
        <v>41212</v>
      </c>
      <c r="M157" s="34">
        <v>39933</v>
      </c>
      <c r="N157" s="113">
        <v>8</v>
      </c>
      <c r="O157" s="200">
        <v>183650000</v>
      </c>
      <c r="P157" s="200">
        <v>181691937.72999999</v>
      </c>
      <c r="Q157" s="200">
        <v>181691937.72999999</v>
      </c>
      <c r="R157" s="201">
        <v>69573104.829999998</v>
      </c>
      <c r="S157" s="33" t="s">
        <v>22</v>
      </c>
      <c r="T157" s="33" t="s">
        <v>22</v>
      </c>
      <c r="U157" s="33" t="s">
        <v>203</v>
      </c>
      <c r="V157" s="33"/>
      <c r="W157" s="33" t="s">
        <v>210</v>
      </c>
      <c r="X157" s="33" t="s">
        <v>209</v>
      </c>
      <c r="Y157" s="239" t="s">
        <v>209</v>
      </c>
      <c r="Z157" s="33" t="s">
        <v>209</v>
      </c>
      <c r="AA157" s="35" t="str">
        <f>_xlfn.IFNA(VLOOKUP(E157,'Lookup Table'!$J$33:$K$176,2,0),"B3")</f>
        <v>Ca-C</v>
      </c>
      <c r="AB157" s="35">
        <f>_xlfn.IFNA(VLOOKUP($AA157,'Rating Lookup'!$B$2:$I$27,8,0),15)</f>
        <v>15</v>
      </c>
      <c r="AC157" s="35" t="str">
        <f>_xlfn.IFNA(VLOOKUP(E157,'Lookup Table'!$M$33:$N$173,2,0),"B3")</f>
        <v>Ca-C</v>
      </c>
      <c r="AD157" s="35">
        <f>_xlfn.IFNA(VLOOKUP($AC157,'Rating Lookup'!$B$2:$I$27,8,0),15)</f>
        <v>15</v>
      </c>
      <c r="AE157" s="35">
        <f t="shared" si="44"/>
        <v>0</v>
      </c>
      <c r="AG157" s="35" t="str">
        <f t="shared" si="45"/>
        <v>WHITE NILE SUGAR CO. LTD.</v>
      </c>
      <c r="AH157" s="35" t="str">
        <f t="shared" si="46"/>
        <v>Government Loan</v>
      </c>
      <c r="AI157" s="202">
        <f>'ECL Calculation'!$B$1</f>
        <v>43465</v>
      </c>
      <c r="AJ157" s="202">
        <f t="shared" si="47"/>
        <v>41212</v>
      </c>
      <c r="AK157" s="202">
        <f t="shared" si="48"/>
        <v>39933</v>
      </c>
      <c r="AL157" s="127">
        <f t="shared" si="49"/>
        <v>8</v>
      </c>
      <c r="AM157" s="192">
        <f>IF(AND(IF(ISBLANK(K157),EOMONTH(AJ157,AL157*12),K157)&lt;'ECL Calculation'!$B$1,SUM('Input Sheet'!Q157,'Input Sheet'!R157)&gt;0),EOMONTH('ECL Calculation'!$B$1,12*5),IF(ISBLANK(K157),EOMONTH(AJ157,AL157*12),K157))</f>
        <v>44134</v>
      </c>
      <c r="AN157" s="203">
        <f t="shared" si="50"/>
        <v>183650000</v>
      </c>
      <c r="AO157" s="203">
        <f t="shared" si="51"/>
        <v>181691937.72999999</v>
      </c>
      <c r="AP157" s="203">
        <f t="shared" si="52"/>
        <v>1958062.2700000107</v>
      </c>
      <c r="AQ157" s="126">
        <f>VLOOKUP(U157,'Lookup Table'!$B$2:$C$10,2,0)</f>
        <v>1</v>
      </c>
      <c r="AR157" s="127">
        <f>VLOOKUP(S157,'Lookup Table'!$B$2:$C$9,2,0)</f>
        <v>2</v>
      </c>
      <c r="AS157" s="127">
        <f>VLOOKUP(T157,'Lookup Table'!$B$2:$C$9,2,0)</f>
        <v>2</v>
      </c>
      <c r="AT157" s="136">
        <f t="shared" si="53"/>
        <v>181691937.72999999</v>
      </c>
      <c r="AU157" s="128">
        <f t="shared" si="54"/>
        <v>5.7500000000000002E-2</v>
      </c>
      <c r="AV157" s="136">
        <f t="shared" si="55"/>
        <v>69573104.829999998</v>
      </c>
      <c r="AW157" s="37" t="str">
        <f t="shared" si="56"/>
        <v>Ca-C</v>
      </c>
      <c r="AX157" s="128">
        <f>VLOOKUP(E157,'Lookup Table'!$B$12:$C$82,2,0)</f>
        <v>2.9249999999999998E-2</v>
      </c>
      <c r="AY157" s="128">
        <f>'Lookup Table'!$E$3</f>
        <v>0.45</v>
      </c>
      <c r="AZ157" s="129" t="str">
        <f t="shared" si="57"/>
        <v>Sudan</v>
      </c>
      <c r="BA157" s="37">
        <f>VLOOKUP(AA157,'Lookup Table'!$J$3:$K$27,2,0)</f>
        <v>1</v>
      </c>
      <c r="BB157" s="37">
        <f t="shared" si="58"/>
        <v>1</v>
      </c>
      <c r="BC157" s="37">
        <f t="shared" si="59"/>
        <v>1</v>
      </c>
      <c r="BD157" s="37">
        <f>IF(AND(K157&lt;'ECL Calculation'!$B$1,'Input Sheet'!W157="No"),3,IF(X157="Yes",2,1))</f>
        <v>2</v>
      </c>
      <c r="BE157" s="37">
        <f t="shared" si="60"/>
        <v>3</v>
      </c>
      <c r="BF157" s="37" t="str">
        <f t="shared" si="61"/>
        <v>Stage 3</v>
      </c>
      <c r="BG157" s="37" t="str">
        <f t="shared" si="62"/>
        <v>Yes</v>
      </c>
    </row>
    <row r="158" spans="1:59" x14ac:dyDescent="0.2">
      <c r="A158" s="35">
        <f t="shared" si="63"/>
        <v>156</v>
      </c>
      <c r="B158" s="33">
        <v>1164</v>
      </c>
      <c r="C158" s="33" t="s">
        <v>404</v>
      </c>
      <c r="D158" s="33" t="s">
        <v>806</v>
      </c>
      <c r="E158" s="33" t="s">
        <v>494</v>
      </c>
      <c r="F158" s="33" t="s">
        <v>542</v>
      </c>
      <c r="G158" s="117">
        <v>2</v>
      </c>
      <c r="H158" s="34">
        <v>39965</v>
      </c>
      <c r="I158" s="34">
        <v>41324</v>
      </c>
      <c r="J158" s="34">
        <v>41324</v>
      </c>
      <c r="K158" s="34">
        <v>47056</v>
      </c>
      <c r="L158" s="34">
        <v>41759</v>
      </c>
      <c r="M158" s="34">
        <v>40116</v>
      </c>
      <c r="N158" s="113">
        <v>15</v>
      </c>
      <c r="O158" s="200">
        <v>18365000</v>
      </c>
      <c r="P158" s="200">
        <v>0</v>
      </c>
      <c r="Q158" s="200">
        <v>0</v>
      </c>
      <c r="R158" s="201">
        <v>0</v>
      </c>
      <c r="S158" s="33" t="s">
        <v>22</v>
      </c>
      <c r="T158" s="33" t="s">
        <v>22</v>
      </c>
      <c r="U158" s="33" t="s">
        <v>203</v>
      </c>
      <c r="V158" s="33"/>
      <c r="W158" s="33" t="s">
        <v>210</v>
      </c>
      <c r="X158" s="33" t="s">
        <v>210</v>
      </c>
      <c r="Y158" s="33"/>
      <c r="Z158" s="33" t="s">
        <v>209</v>
      </c>
      <c r="AA158" s="35" t="str">
        <f>_xlfn.IFNA(VLOOKUP(E158,'Lookup Table'!$J$33:$K$176,2,0),"B3")</f>
        <v>B3</v>
      </c>
      <c r="AB158" s="35">
        <f>_xlfn.IFNA(VLOOKUP($AA158,'Rating Lookup'!$B$2:$I$27,8,0),15)</f>
        <v>16</v>
      </c>
      <c r="AC158" s="35" t="str">
        <f>_xlfn.IFNA(VLOOKUP(E158,'Lookup Table'!$M$33:$N$173,2,0),"B3")</f>
        <v>B3</v>
      </c>
      <c r="AD158" s="35">
        <f>_xlfn.IFNA(VLOOKUP($AC158,'Rating Lookup'!$B$2:$I$27,8,0),15)</f>
        <v>16</v>
      </c>
      <c r="AE158" s="35">
        <f t="shared" si="44"/>
        <v>0</v>
      </c>
      <c r="AG158" s="35" t="str">
        <f t="shared" si="45"/>
        <v>LABE - SERIBA - MADINA GOUNASSE ROAD  PROJECT  .</v>
      </c>
      <c r="AH158" s="35" t="str">
        <f t="shared" si="46"/>
        <v>Government Loan</v>
      </c>
      <c r="AI158" s="202">
        <f>'ECL Calculation'!$B$1</f>
        <v>43465</v>
      </c>
      <c r="AJ158" s="202">
        <f t="shared" si="47"/>
        <v>41759</v>
      </c>
      <c r="AK158" s="202">
        <f t="shared" si="48"/>
        <v>40116</v>
      </c>
      <c r="AL158" s="127">
        <f t="shared" si="49"/>
        <v>15</v>
      </c>
      <c r="AM158" s="192">
        <f>IF(AND(IF(ISBLANK(K158),EOMONTH(AJ158,AL158*12),K158)&lt;'ECL Calculation'!$B$1,SUM('Input Sheet'!Q158,'Input Sheet'!R158)&gt;0),EOMONTH('ECL Calculation'!$B$1,12*5),IF(ISBLANK(K158),EOMONTH(AJ158,AL158*12),K158))</f>
        <v>47056</v>
      </c>
      <c r="AN158" s="203">
        <f t="shared" si="50"/>
        <v>18365000</v>
      </c>
      <c r="AO158" s="203">
        <f t="shared" si="51"/>
        <v>0</v>
      </c>
      <c r="AP158" s="203">
        <f t="shared" si="52"/>
        <v>18365000</v>
      </c>
      <c r="AQ158" s="126">
        <f>VLOOKUP(U158,'Lookup Table'!$B$2:$C$10,2,0)</f>
        <v>1</v>
      </c>
      <c r="AR158" s="127">
        <f>VLOOKUP(S158,'Lookup Table'!$B$2:$C$9,2,0)</f>
        <v>2</v>
      </c>
      <c r="AS158" s="127">
        <f>VLOOKUP(T158,'Lookup Table'!$B$2:$C$9,2,0)</f>
        <v>2</v>
      </c>
      <c r="AT158" s="136">
        <f t="shared" si="53"/>
        <v>0</v>
      </c>
      <c r="AU158" s="128">
        <f t="shared" si="54"/>
        <v>0.02</v>
      </c>
      <c r="AV158" s="136">
        <f t="shared" si="55"/>
        <v>0</v>
      </c>
      <c r="AW158" s="37" t="str">
        <f t="shared" si="56"/>
        <v>B3</v>
      </c>
      <c r="AX158" s="128">
        <f>VLOOKUP(E158,'Lookup Table'!$B$12:$C$82,2,0)</f>
        <v>3.5000000000000003E-2</v>
      </c>
      <c r="AY158" s="128">
        <f>'Lookup Table'!$E$3</f>
        <v>0.45</v>
      </c>
      <c r="AZ158" s="129" t="str">
        <f t="shared" si="57"/>
        <v>Guinea</v>
      </c>
      <c r="BA158" s="37">
        <f>VLOOKUP(AA158,'Lookup Table'!$J$3:$K$27,2,0)</f>
        <v>1</v>
      </c>
      <c r="BB158" s="37">
        <f t="shared" si="58"/>
        <v>1</v>
      </c>
      <c r="BC158" s="37">
        <f t="shared" si="59"/>
        <v>1</v>
      </c>
      <c r="BD158" s="37">
        <f>IF(AND(K158&lt;'ECL Calculation'!$B$1,'Input Sheet'!W158="No"),3,IF(X158="Yes",2,1))</f>
        <v>1</v>
      </c>
      <c r="BE158" s="37">
        <f t="shared" si="60"/>
        <v>1</v>
      </c>
      <c r="BF158" s="37" t="str">
        <f t="shared" si="61"/>
        <v>Stage 1</v>
      </c>
      <c r="BG158" s="37" t="str">
        <f t="shared" si="62"/>
        <v>No</v>
      </c>
    </row>
    <row r="159" spans="1:59" x14ac:dyDescent="0.2">
      <c r="A159" s="35">
        <f t="shared" si="63"/>
        <v>157</v>
      </c>
      <c r="B159" s="33">
        <v>1165</v>
      </c>
      <c r="C159" s="33" t="s">
        <v>405</v>
      </c>
      <c r="D159" s="33" t="s">
        <v>806</v>
      </c>
      <c r="E159" s="33" t="s">
        <v>521</v>
      </c>
      <c r="F159" s="33" t="s">
        <v>542</v>
      </c>
      <c r="G159" s="117">
        <v>2.5</v>
      </c>
      <c r="H159" s="34">
        <v>40021</v>
      </c>
      <c r="I159" s="34">
        <v>40986</v>
      </c>
      <c r="J159" s="34">
        <v>40986</v>
      </c>
      <c r="K159" s="34">
        <v>47664</v>
      </c>
      <c r="L159" s="34">
        <v>42368</v>
      </c>
      <c r="M159" s="34">
        <v>40116</v>
      </c>
      <c r="N159" s="113">
        <v>15</v>
      </c>
      <c r="O159" s="200">
        <v>36730000</v>
      </c>
      <c r="P159" s="200">
        <v>24345870.57</v>
      </c>
      <c r="Q159" s="200">
        <v>15777870.57</v>
      </c>
      <c r="R159" s="201">
        <v>105173.65</v>
      </c>
      <c r="S159" s="33" t="s">
        <v>22</v>
      </c>
      <c r="T159" s="33" t="s">
        <v>22</v>
      </c>
      <c r="U159" s="33" t="s">
        <v>203</v>
      </c>
      <c r="V159" s="33"/>
      <c r="W159" s="33" t="s">
        <v>210</v>
      </c>
      <c r="X159" s="33" t="s">
        <v>210</v>
      </c>
      <c r="Y159" s="33"/>
      <c r="Z159" s="33" t="s">
        <v>209</v>
      </c>
      <c r="AA159" s="35" t="str">
        <f>_xlfn.IFNA(VLOOKUP(E159,'Lookup Table'!$J$33:$K$176,2,0),"B3")</f>
        <v>B3</v>
      </c>
      <c r="AB159" s="35">
        <f>_xlfn.IFNA(VLOOKUP($AA159,'Rating Lookup'!$B$2:$I$27,8,0),15)</f>
        <v>16</v>
      </c>
      <c r="AC159" s="35">
        <f>_xlfn.IFNA(VLOOKUP(E159,'Lookup Table'!$M$33:$N$173,2,0),"B3")</f>
        <v>0</v>
      </c>
      <c r="AD159" s="35">
        <f>_xlfn.IFNA(VLOOKUP($AC159,'Rating Lookup'!$B$2:$I$27,8,0),15)</f>
        <v>15</v>
      </c>
      <c r="AE159" s="35">
        <f t="shared" si="44"/>
        <v>1</v>
      </c>
      <c r="AG159" s="35" t="str">
        <f t="shared" si="45"/>
        <v>Ouidah - Allada &amp; Pahou Tori Road Project</v>
      </c>
      <c r="AH159" s="35" t="str">
        <f t="shared" si="46"/>
        <v>Government Loan</v>
      </c>
      <c r="AI159" s="202">
        <f>'ECL Calculation'!$B$1</f>
        <v>43465</v>
      </c>
      <c r="AJ159" s="202">
        <f t="shared" si="47"/>
        <v>42368</v>
      </c>
      <c r="AK159" s="202">
        <f t="shared" si="48"/>
        <v>40116</v>
      </c>
      <c r="AL159" s="127">
        <f t="shared" si="49"/>
        <v>15</v>
      </c>
      <c r="AM159" s="192">
        <f>IF(AND(IF(ISBLANK(K159),EOMONTH(AJ159,AL159*12),K159)&lt;'ECL Calculation'!$B$1,SUM('Input Sheet'!Q159,'Input Sheet'!R159)&gt;0),EOMONTH('ECL Calculation'!$B$1,12*5),IF(ISBLANK(K159),EOMONTH(AJ159,AL159*12),K159))</f>
        <v>47664</v>
      </c>
      <c r="AN159" s="203">
        <f t="shared" si="50"/>
        <v>36730000</v>
      </c>
      <c r="AO159" s="203">
        <f t="shared" si="51"/>
        <v>24345870.57</v>
      </c>
      <c r="AP159" s="203">
        <f t="shared" si="52"/>
        <v>12384129.43</v>
      </c>
      <c r="AQ159" s="126">
        <f>VLOOKUP(U159,'Lookup Table'!$B$2:$C$10,2,0)</f>
        <v>1</v>
      </c>
      <c r="AR159" s="127">
        <f>VLOOKUP(S159,'Lookup Table'!$B$2:$C$9,2,0)</f>
        <v>2</v>
      </c>
      <c r="AS159" s="127">
        <f>VLOOKUP(T159,'Lookup Table'!$B$2:$C$9,2,0)</f>
        <v>2</v>
      </c>
      <c r="AT159" s="136">
        <f t="shared" si="53"/>
        <v>15777870.57</v>
      </c>
      <c r="AU159" s="128">
        <f t="shared" si="54"/>
        <v>2.5000000000000001E-2</v>
      </c>
      <c r="AV159" s="136">
        <f t="shared" si="55"/>
        <v>105173.65</v>
      </c>
      <c r="AW159" s="37" t="str">
        <f t="shared" si="56"/>
        <v>B3</v>
      </c>
      <c r="AX159" s="128">
        <f>VLOOKUP(E159,'Lookup Table'!$B$12:$C$82,2,0)</f>
        <v>2.5000000000000001E-2</v>
      </c>
      <c r="AY159" s="128">
        <f>'Lookup Table'!$E$3</f>
        <v>0.45</v>
      </c>
      <c r="AZ159" s="129" t="str">
        <f t="shared" si="57"/>
        <v>Benin</v>
      </c>
      <c r="BA159" s="37">
        <f>VLOOKUP(AA159,'Lookup Table'!$J$3:$K$27,2,0)</f>
        <v>1</v>
      </c>
      <c r="BB159" s="37">
        <f t="shared" si="58"/>
        <v>2</v>
      </c>
      <c r="BC159" s="37">
        <f t="shared" si="59"/>
        <v>1</v>
      </c>
      <c r="BD159" s="37">
        <f>IF(AND(K159&lt;'ECL Calculation'!$B$1,'Input Sheet'!W159="No"),3,IF(X159="Yes",2,1))</f>
        <v>1</v>
      </c>
      <c r="BE159" s="37">
        <f t="shared" si="60"/>
        <v>1</v>
      </c>
      <c r="BF159" s="37" t="str">
        <f t="shared" si="61"/>
        <v>Stage 2</v>
      </c>
      <c r="BG159" s="37" t="str">
        <f t="shared" si="62"/>
        <v>Yes</v>
      </c>
    </row>
    <row r="160" spans="1:59" x14ac:dyDescent="0.2">
      <c r="A160" s="35">
        <f t="shared" si="63"/>
        <v>158</v>
      </c>
      <c r="B160" s="33">
        <v>1166</v>
      </c>
      <c r="C160" s="33" t="s">
        <v>406</v>
      </c>
      <c r="D160" s="33" t="s">
        <v>806</v>
      </c>
      <c r="E160" s="33" t="s">
        <v>492</v>
      </c>
      <c r="F160" s="33" t="s">
        <v>542</v>
      </c>
      <c r="G160" s="117">
        <v>2</v>
      </c>
      <c r="H160" s="34">
        <v>40114</v>
      </c>
      <c r="I160" s="34">
        <v>40246</v>
      </c>
      <c r="J160" s="34">
        <v>40246</v>
      </c>
      <c r="K160" s="34">
        <v>47056</v>
      </c>
      <c r="L160" s="34">
        <v>41759</v>
      </c>
      <c r="M160" s="34">
        <v>40298</v>
      </c>
      <c r="N160" s="113">
        <v>15</v>
      </c>
      <c r="O160" s="200">
        <v>169383671</v>
      </c>
      <c r="P160" s="200">
        <v>150953992.66</v>
      </c>
      <c r="Q160" s="200">
        <v>94493992.659999996</v>
      </c>
      <c r="R160" s="201">
        <v>355988.6</v>
      </c>
      <c r="S160" s="33" t="s">
        <v>22</v>
      </c>
      <c r="T160" s="33" t="s">
        <v>22</v>
      </c>
      <c r="U160" s="33" t="s">
        <v>203</v>
      </c>
      <c r="V160" s="33"/>
      <c r="W160" s="33" t="s">
        <v>210</v>
      </c>
      <c r="X160" s="33" t="s">
        <v>210</v>
      </c>
      <c r="Y160" s="33"/>
      <c r="Z160" s="33" t="s">
        <v>209</v>
      </c>
      <c r="AA160" s="35" t="str">
        <f>_xlfn.IFNA(VLOOKUP(E160,'Lookup Table'!$J$33:$K$176,2,0),"B3")</f>
        <v>B3</v>
      </c>
      <c r="AB160" s="35">
        <f>_xlfn.IFNA(VLOOKUP($AA160,'Rating Lookup'!$B$2:$I$27,8,0),15)</f>
        <v>16</v>
      </c>
      <c r="AC160" s="35" t="str">
        <f>_xlfn.IFNA(VLOOKUP(E160,'Lookup Table'!$M$33:$N$173,2,0),"B3")</f>
        <v>B3</v>
      </c>
      <c r="AD160" s="35">
        <f>_xlfn.IFNA(VLOOKUP($AC160,'Rating Lookup'!$B$2:$I$27,8,0),15)</f>
        <v>16</v>
      </c>
      <c r="AE160" s="35">
        <f t="shared" si="44"/>
        <v>0</v>
      </c>
      <c r="AG160" s="35" t="str">
        <f t="shared" si="45"/>
        <v>KIDAHWE _ UVINZA ROAD PROJECT   .</v>
      </c>
      <c r="AH160" s="35" t="str">
        <f t="shared" si="46"/>
        <v>Government Loan</v>
      </c>
      <c r="AI160" s="202">
        <f>'ECL Calculation'!$B$1</f>
        <v>43465</v>
      </c>
      <c r="AJ160" s="202">
        <f t="shared" si="47"/>
        <v>41759</v>
      </c>
      <c r="AK160" s="202">
        <f t="shared" si="48"/>
        <v>40298</v>
      </c>
      <c r="AL160" s="127">
        <f t="shared" si="49"/>
        <v>15</v>
      </c>
      <c r="AM160" s="192">
        <f>IF(AND(IF(ISBLANK(K160),EOMONTH(AJ160,AL160*12),K160)&lt;'ECL Calculation'!$B$1,SUM('Input Sheet'!Q160,'Input Sheet'!R160)&gt;0),EOMONTH('ECL Calculation'!$B$1,12*5),IF(ISBLANK(K160),EOMONTH(AJ160,AL160*12),K160))</f>
        <v>47056</v>
      </c>
      <c r="AN160" s="203">
        <f t="shared" si="50"/>
        <v>169383671</v>
      </c>
      <c r="AO160" s="203">
        <f t="shared" si="51"/>
        <v>150953992.66</v>
      </c>
      <c r="AP160" s="203">
        <f t="shared" si="52"/>
        <v>18429678.340000004</v>
      </c>
      <c r="AQ160" s="126">
        <f>VLOOKUP(U160,'Lookup Table'!$B$2:$C$10,2,0)</f>
        <v>1</v>
      </c>
      <c r="AR160" s="127">
        <f>VLOOKUP(S160,'Lookup Table'!$B$2:$C$9,2,0)</f>
        <v>2</v>
      </c>
      <c r="AS160" s="127">
        <f>VLOOKUP(T160,'Lookup Table'!$B$2:$C$9,2,0)</f>
        <v>2</v>
      </c>
      <c r="AT160" s="136">
        <f t="shared" si="53"/>
        <v>94493992.659999996</v>
      </c>
      <c r="AU160" s="128">
        <f t="shared" si="54"/>
        <v>0.02</v>
      </c>
      <c r="AV160" s="136">
        <f t="shared" si="55"/>
        <v>355988.6</v>
      </c>
      <c r="AW160" s="37" t="str">
        <f t="shared" si="56"/>
        <v>B3</v>
      </c>
      <c r="AX160" s="128">
        <f>VLOOKUP(E160,'Lookup Table'!$B$12:$C$82,2,0)</f>
        <v>3.2500000000000001E-2</v>
      </c>
      <c r="AY160" s="128">
        <f>'Lookup Table'!$E$3</f>
        <v>0.45</v>
      </c>
      <c r="AZ160" s="129" t="str">
        <f t="shared" si="57"/>
        <v>Tanzania, United Republic of</v>
      </c>
      <c r="BA160" s="37">
        <f>VLOOKUP(AA160,'Lookup Table'!$J$3:$K$27,2,0)</f>
        <v>1</v>
      </c>
      <c r="BB160" s="37">
        <f t="shared" si="58"/>
        <v>1</v>
      </c>
      <c r="BC160" s="37">
        <f t="shared" si="59"/>
        <v>1</v>
      </c>
      <c r="BD160" s="37">
        <f>IF(AND(K160&lt;'ECL Calculation'!$B$1,'Input Sheet'!W160="No"),3,IF(X160="Yes",2,1))</f>
        <v>1</v>
      </c>
      <c r="BE160" s="37">
        <f t="shared" si="60"/>
        <v>1</v>
      </c>
      <c r="BF160" s="37" t="str">
        <f t="shared" si="61"/>
        <v>Stage 1</v>
      </c>
      <c r="BG160" s="37" t="str">
        <f t="shared" si="62"/>
        <v>Yes</v>
      </c>
    </row>
    <row r="161" spans="1:59" x14ac:dyDescent="0.2">
      <c r="A161" s="35">
        <f t="shared" si="63"/>
        <v>159</v>
      </c>
      <c r="B161" s="33">
        <v>1167</v>
      </c>
      <c r="C161" s="33" t="s">
        <v>407</v>
      </c>
      <c r="D161" s="33" t="s">
        <v>806</v>
      </c>
      <c r="E161" s="33" t="s">
        <v>515</v>
      </c>
      <c r="F161" s="33" t="s">
        <v>542</v>
      </c>
      <c r="G161" s="117">
        <v>2</v>
      </c>
      <c r="H161" s="34">
        <v>40126</v>
      </c>
      <c r="I161" s="34">
        <v>40353</v>
      </c>
      <c r="J161" s="34">
        <v>40353</v>
      </c>
      <c r="K161" s="34">
        <v>47056</v>
      </c>
      <c r="L161" s="34">
        <v>41759</v>
      </c>
      <c r="M161" s="34">
        <v>40298</v>
      </c>
      <c r="N161" s="113">
        <v>15</v>
      </c>
      <c r="O161" s="200">
        <v>36730000</v>
      </c>
      <c r="P161" s="200">
        <v>36730000</v>
      </c>
      <c r="Q161" s="200">
        <v>24490000</v>
      </c>
      <c r="R161" s="201">
        <v>-1753180.79</v>
      </c>
      <c r="S161" s="33" t="s">
        <v>22</v>
      </c>
      <c r="T161" s="33" t="s">
        <v>22</v>
      </c>
      <c r="U161" s="33" t="s">
        <v>203</v>
      </c>
      <c r="V161" s="33"/>
      <c r="W161" s="33" t="s">
        <v>210</v>
      </c>
      <c r="X161" s="33" t="s">
        <v>210</v>
      </c>
      <c r="Y161" s="33"/>
      <c r="Z161" s="33" t="s">
        <v>209</v>
      </c>
      <c r="AA161" s="35" t="str">
        <f>_xlfn.IFNA(VLOOKUP(E161,'Lookup Table'!$J$33:$K$176,2,0),"B3")</f>
        <v>B3</v>
      </c>
      <c r="AB161" s="35">
        <f>_xlfn.IFNA(VLOOKUP($AA161,'Rating Lookup'!$B$2:$I$27,8,0),15)</f>
        <v>16</v>
      </c>
      <c r="AC161" s="35">
        <f>_xlfn.IFNA(VLOOKUP(E161,'Lookup Table'!$M$33:$N$173,2,0),"B3")</f>
        <v>0</v>
      </c>
      <c r="AD161" s="35">
        <f>_xlfn.IFNA(VLOOKUP($AC161,'Rating Lookup'!$B$2:$I$27,8,0),15)</f>
        <v>15</v>
      </c>
      <c r="AE161" s="35">
        <f t="shared" si="44"/>
        <v>1</v>
      </c>
      <c r="AG161" s="35" t="str">
        <f t="shared" si="45"/>
        <v>SAMENDENI DAM PROJECT   .</v>
      </c>
      <c r="AH161" s="35" t="str">
        <f t="shared" si="46"/>
        <v>Government Loan</v>
      </c>
      <c r="AI161" s="202">
        <f>'ECL Calculation'!$B$1</f>
        <v>43465</v>
      </c>
      <c r="AJ161" s="202">
        <f t="shared" si="47"/>
        <v>41759</v>
      </c>
      <c r="AK161" s="202">
        <f t="shared" si="48"/>
        <v>40298</v>
      </c>
      <c r="AL161" s="127">
        <f t="shared" si="49"/>
        <v>15</v>
      </c>
      <c r="AM161" s="192">
        <f>IF(AND(IF(ISBLANK(K161),EOMONTH(AJ161,AL161*12),K161)&lt;'ECL Calculation'!$B$1,SUM('Input Sheet'!Q161,'Input Sheet'!R161)&gt;0),EOMONTH('ECL Calculation'!$B$1,12*5),IF(ISBLANK(K161),EOMONTH(AJ161,AL161*12),K161))</f>
        <v>47056</v>
      </c>
      <c r="AN161" s="203">
        <f t="shared" si="50"/>
        <v>36730000</v>
      </c>
      <c r="AO161" s="203">
        <f t="shared" si="51"/>
        <v>36730000</v>
      </c>
      <c r="AP161" s="203">
        <f t="shared" si="52"/>
        <v>0</v>
      </c>
      <c r="AQ161" s="126">
        <f>VLOOKUP(U161,'Lookup Table'!$B$2:$C$10,2,0)</f>
        <v>1</v>
      </c>
      <c r="AR161" s="127">
        <f>VLOOKUP(S161,'Lookup Table'!$B$2:$C$9,2,0)</f>
        <v>2</v>
      </c>
      <c r="AS161" s="127">
        <f>VLOOKUP(T161,'Lookup Table'!$B$2:$C$9,2,0)</f>
        <v>2</v>
      </c>
      <c r="AT161" s="136">
        <f t="shared" si="53"/>
        <v>24490000</v>
      </c>
      <c r="AU161" s="128">
        <f t="shared" si="54"/>
        <v>0.02</v>
      </c>
      <c r="AV161" s="136">
        <f t="shared" si="55"/>
        <v>-1753180.79</v>
      </c>
      <c r="AW161" s="37" t="str">
        <f t="shared" si="56"/>
        <v>B3</v>
      </c>
      <c r="AX161" s="128">
        <f>VLOOKUP(E161,'Lookup Table'!$B$12:$C$82,2,0)</f>
        <v>2.75E-2</v>
      </c>
      <c r="AY161" s="128">
        <f>'Lookup Table'!$E$3</f>
        <v>0.45</v>
      </c>
      <c r="AZ161" s="129" t="str">
        <f t="shared" si="57"/>
        <v>Burkina Faso</v>
      </c>
      <c r="BA161" s="37">
        <f>VLOOKUP(AA161,'Lookup Table'!$J$3:$K$27,2,0)</f>
        <v>1</v>
      </c>
      <c r="BB161" s="37">
        <f t="shared" si="58"/>
        <v>2</v>
      </c>
      <c r="BC161" s="37">
        <f t="shared" si="59"/>
        <v>1</v>
      </c>
      <c r="BD161" s="37">
        <f>IF(AND(K161&lt;'ECL Calculation'!$B$1,'Input Sheet'!W161="No"),3,IF(X161="Yes",2,1))</f>
        <v>1</v>
      </c>
      <c r="BE161" s="37">
        <f t="shared" si="60"/>
        <v>1</v>
      </c>
      <c r="BF161" s="37" t="str">
        <f t="shared" si="61"/>
        <v>Stage 2</v>
      </c>
      <c r="BG161" s="37" t="str">
        <f t="shared" si="62"/>
        <v>Yes</v>
      </c>
    </row>
    <row r="162" spans="1:59" x14ac:dyDescent="0.2">
      <c r="A162" s="35">
        <f t="shared" si="63"/>
        <v>160</v>
      </c>
      <c r="B162" s="33">
        <v>1168</v>
      </c>
      <c r="C162" s="33" t="s">
        <v>408</v>
      </c>
      <c r="D162" s="33" t="s">
        <v>806</v>
      </c>
      <c r="E162" s="33" t="s">
        <v>480</v>
      </c>
      <c r="F162" s="33" t="s">
        <v>542</v>
      </c>
      <c r="G162" s="117">
        <v>4</v>
      </c>
      <c r="H162" s="34">
        <v>40135</v>
      </c>
      <c r="I162" s="34">
        <v>40286</v>
      </c>
      <c r="J162" s="34">
        <v>40286</v>
      </c>
      <c r="K162" s="34">
        <v>45229</v>
      </c>
      <c r="L162" s="34">
        <v>41029</v>
      </c>
      <c r="M162" s="34">
        <v>40298</v>
      </c>
      <c r="N162" s="113">
        <v>12</v>
      </c>
      <c r="O162" s="200">
        <v>62441000</v>
      </c>
      <c r="P162" s="200">
        <v>53200635.530000001</v>
      </c>
      <c r="Q162" s="200">
        <v>16800635.530000001</v>
      </c>
      <c r="R162" s="201">
        <v>119226.5</v>
      </c>
      <c r="S162" s="33" t="s">
        <v>22</v>
      </c>
      <c r="T162" s="33" t="s">
        <v>22</v>
      </c>
      <c r="U162" s="33" t="s">
        <v>203</v>
      </c>
      <c r="V162" s="33"/>
      <c r="W162" s="33" t="s">
        <v>210</v>
      </c>
      <c r="X162" s="33" t="s">
        <v>210</v>
      </c>
      <c r="Y162" s="33"/>
      <c r="Z162" s="33" t="s">
        <v>209</v>
      </c>
      <c r="AA162" s="35" t="str">
        <f>_xlfn.IFNA(VLOOKUP(E162,'Lookup Table'!$J$33:$K$176,2,0),"B3")</f>
        <v>Ba1</v>
      </c>
      <c r="AB162" s="35">
        <f>_xlfn.IFNA(VLOOKUP($AA162,'Rating Lookup'!$B$2:$I$27,8,0),15)</f>
        <v>11</v>
      </c>
      <c r="AC162" s="35" t="str">
        <f>_xlfn.IFNA(VLOOKUP(E162,'Lookup Table'!$M$33:$N$173,2,0),"B3")</f>
        <v>Ba1</v>
      </c>
      <c r="AD162" s="35">
        <f>_xlfn.IFNA(VLOOKUP($AC162,'Rating Lookup'!$B$2:$I$27,8,0),15)</f>
        <v>11</v>
      </c>
      <c r="AE162" s="35">
        <f t="shared" si="44"/>
        <v>0</v>
      </c>
      <c r="AG162" s="35" t="str">
        <f t="shared" si="45"/>
        <v>TIMKIT DAM</v>
      </c>
      <c r="AH162" s="35" t="str">
        <f t="shared" si="46"/>
        <v>Government Loan</v>
      </c>
      <c r="AI162" s="202">
        <f>'ECL Calculation'!$B$1</f>
        <v>43465</v>
      </c>
      <c r="AJ162" s="202">
        <f t="shared" si="47"/>
        <v>41029</v>
      </c>
      <c r="AK162" s="202">
        <f t="shared" si="48"/>
        <v>40298</v>
      </c>
      <c r="AL162" s="127">
        <f t="shared" si="49"/>
        <v>12</v>
      </c>
      <c r="AM162" s="192">
        <f>IF(AND(IF(ISBLANK(K162),EOMONTH(AJ162,AL162*12),K162)&lt;'ECL Calculation'!$B$1,SUM('Input Sheet'!Q162,'Input Sheet'!R162)&gt;0),EOMONTH('ECL Calculation'!$B$1,12*5),IF(ISBLANK(K162),EOMONTH(AJ162,AL162*12),K162))</f>
        <v>45229</v>
      </c>
      <c r="AN162" s="203">
        <f t="shared" si="50"/>
        <v>62441000</v>
      </c>
      <c r="AO162" s="203">
        <f t="shared" si="51"/>
        <v>53200635.530000001</v>
      </c>
      <c r="AP162" s="203">
        <f t="shared" si="52"/>
        <v>9240364.4699999988</v>
      </c>
      <c r="AQ162" s="126">
        <f>VLOOKUP(U162,'Lookup Table'!$B$2:$C$10,2,0)</f>
        <v>1</v>
      </c>
      <c r="AR162" s="127">
        <f>VLOOKUP(S162,'Lookup Table'!$B$2:$C$9,2,0)</f>
        <v>2</v>
      </c>
      <c r="AS162" s="127">
        <f>VLOOKUP(T162,'Lookup Table'!$B$2:$C$9,2,0)</f>
        <v>2</v>
      </c>
      <c r="AT162" s="136">
        <f t="shared" si="53"/>
        <v>16800635.530000001</v>
      </c>
      <c r="AU162" s="128">
        <f t="shared" si="54"/>
        <v>0.04</v>
      </c>
      <c r="AV162" s="136">
        <f t="shared" si="55"/>
        <v>119226.5</v>
      </c>
      <c r="AW162" s="37" t="str">
        <f t="shared" si="56"/>
        <v>Ba1</v>
      </c>
      <c r="AX162" s="128">
        <f>VLOOKUP(E162,'Lookup Table'!$B$12:$C$82,2,0)</f>
        <v>3.1662499999999996E-2</v>
      </c>
      <c r="AY162" s="128">
        <f>'Lookup Table'!$E$3</f>
        <v>0.45</v>
      </c>
      <c r="AZ162" s="129" t="str">
        <f t="shared" si="57"/>
        <v>Morocco</v>
      </c>
      <c r="BA162" s="37">
        <f>VLOOKUP(AA162,'Lookup Table'!$J$3:$K$27,2,0)</f>
        <v>1</v>
      </c>
      <c r="BB162" s="37">
        <f t="shared" si="58"/>
        <v>1</v>
      </c>
      <c r="BC162" s="37">
        <f t="shared" si="59"/>
        <v>1</v>
      </c>
      <c r="BD162" s="37">
        <f>IF(AND(K162&lt;'ECL Calculation'!$B$1,'Input Sheet'!W162="No"),3,IF(X162="Yes",2,1))</f>
        <v>1</v>
      </c>
      <c r="BE162" s="37">
        <f t="shared" si="60"/>
        <v>1</v>
      </c>
      <c r="BF162" s="37" t="str">
        <f t="shared" si="61"/>
        <v>Stage 1</v>
      </c>
      <c r="BG162" s="37" t="str">
        <f t="shared" si="62"/>
        <v>Yes</v>
      </c>
    </row>
    <row r="163" spans="1:59" x14ac:dyDescent="0.2">
      <c r="A163" s="35">
        <f t="shared" si="63"/>
        <v>161</v>
      </c>
      <c r="B163" s="33">
        <v>1169</v>
      </c>
      <c r="C163" s="33" t="s">
        <v>409</v>
      </c>
      <c r="D163" s="33" t="s">
        <v>806</v>
      </c>
      <c r="E163" s="33" t="s">
        <v>499</v>
      </c>
      <c r="F163" s="33" t="s">
        <v>542</v>
      </c>
      <c r="G163" s="117">
        <v>5</v>
      </c>
      <c r="H163" s="34">
        <v>40142</v>
      </c>
      <c r="I163" s="34">
        <v>40190</v>
      </c>
      <c r="J163" s="34">
        <v>40190</v>
      </c>
      <c r="K163" s="34">
        <v>45412</v>
      </c>
      <c r="L163" s="34">
        <v>41212</v>
      </c>
      <c r="M163" s="34">
        <v>40298</v>
      </c>
      <c r="N163" s="113">
        <v>12</v>
      </c>
      <c r="O163" s="200">
        <v>55095000</v>
      </c>
      <c r="P163" s="200">
        <v>39457945.899999999</v>
      </c>
      <c r="Q163" s="200">
        <v>9614820.9000000004</v>
      </c>
      <c r="R163" s="201">
        <v>82831.87</v>
      </c>
      <c r="S163" s="33" t="s">
        <v>22</v>
      </c>
      <c r="T163" s="33" t="s">
        <v>22</v>
      </c>
      <c r="U163" s="33" t="s">
        <v>203</v>
      </c>
      <c r="V163" s="33"/>
      <c r="W163" s="33" t="s">
        <v>210</v>
      </c>
      <c r="X163" s="33" t="s">
        <v>210</v>
      </c>
      <c r="Y163" s="33"/>
      <c r="Z163" s="33" t="s">
        <v>209</v>
      </c>
      <c r="AA163" s="35" t="str">
        <f>_xlfn.IFNA(VLOOKUP(E163,'Lookup Table'!$J$33:$K$176,2,0),"B3")</f>
        <v>B2</v>
      </c>
      <c r="AB163" s="35">
        <f>_xlfn.IFNA(VLOOKUP($AA163,'Rating Lookup'!$B$2:$I$27,8,0),15)</f>
        <v>15</v>
      </c>
      <c r="AC163" s="35" t="str">
        <f>_xlfn.IFNA(VLOOKUP(E163,'Lookup Table'!$M$33:$N$173,2,0),"B3")</f>
        <v>B3</v>
      </c>
      <c r="AD163" s="35">
        <f>_xlfn.IFNA(VLOOKUP($AC163,'Rating Lookup'!$B$2:$I$27,8,0),15)</f>
        <v>16</v>
      </c>
      <c r="AE163" s="35">
        <f t="shared" si="44"/>
        <v>0</v>
      </c>
      <c r="AG163" s="35" t="str">
        <f t="shared" si="45"/>
        <v>HOUSING &amp; INFRASTRUCTURE PROJECTS IN TSUNAMI AFFECTED AREAS  .</v>
      </c>
      <c r="AH163" s="35" t="str">
        <f t="shared" si="46"/>
        <v>Government Loan</v>
      </c>
      <c r="AI163" s="202">
        <f>'ECL Calculation'!$B$1</f>
        <v>43465</v>
      </c>
      <c r="AJ163" s="202">
        <f t="shared" si="47"/>
        <v>41212</v>
      </c>
      <c r="AK163" s="202">
        <f t="shared" si="48"/>
        <v>40298</v>
      </c>
      <c r="AL163" s="127">
        <f t="shared" si="49"/>
        <v>12</v>
      </c>
      <c r="AM163" s="192">
        <f>IF(AND(IF(ISBLANK(K163),EOMONTH(AJ163,AL163*12),K163)&lt;'ECL Calculation'!$B$1,SUM('Input Sheet'!Q163,'Input Sheet'!R163)&gt;0),EOMONTH('ECL Calculation'!$B$1,12*5),IF(ISBLANK(K163),EOMONTH(AJ163,AL163*12),K163))</f>
        <v>45412</v>
      </c>
      <c r="AN163" s="203">
        <f t="shared" si="50"/>
        <v>55095000</v>
      </c>
      <c r="AO163" s="203">
        <f t="shared" si="51"/>
        <v>39457945.899999999</v>
      </c>
      <c r="AP163" s="203">
        <f t="shared" si="52"/>
        <v>15637054.100000001</v>
      </c>
      <c r="AQ163" s="126">
        <f>VLOOKUP(U163,'Lookup Table'!$B$2:$C$10,2,0)</f>
        <v>1</v>
      </c>
      <c r="AR163" s="127">
        <f>VLOOKUP(S163,'Lookup Table'!$B$2:$C$9,2,0)</f>
        <v>2</v>
      </c>
      <c r="AS163" s="127">
        <f>VLOOKUP(T163,'Lookup Table'!$B$2:$C$9,2,0)</f>
        <v>2</v>
      </c>
      <c r="AT163" s="136">
        <f t="shared" si="53"/>
        <v>9614820.9000000004</v>
      </c>
      <c r="AU163" s="128">
        <f t="shared" si="54"/>
        <v>0.05</v>
      </c>
      <c r="AV163" s="136">
        <f t="shared" si="55"/>
        <v>82831.87</v>
      </c>
      <c r="AW163" s="37" t="str">
        <f t="shared" si="56"/>
        <v>B2</v>
      </c>
      <c r="AX163" s="128">
        <f>VLOOKUP(E163,'Lookup Table'!$B$12:$C$82,2,0)</f>
        <v>3.6249999999999998E-2</v>
      </c>
      <c r="AY163" s="128">
        <f>'Lookup Table'!$E$3</f>
        <v>0.45</v>
      </c>
      <c r="AZ163" s="129" t="str">
        <f t="shared" si="57"/>
        <v>Maldives</v>
      </c>
      <c r="BA163" s="37">
        <f>VLOOKUP(AA163,'Lookup Table'!$J$3:$K$27,2,0)</f>
        <v>1</v>
      </c>
      <c r="BB163" s="37">
        <f t="shared" si="58"/>
        <v>1</v>
      </c>
      <c r="BC163" s="37">
        <f t="shared" si="59"/>
        <v>1</v>
      </c>
      <c r="BD163" s="37">
        <f>IF(AND(K163&lt;'ECL Calculation'!$B$1,'Input Sheet'!W163="No"),3,IF(X163="Yes",2,1))</f>
        <v>1</v>
      </c>
      <c r="BE163" s="37">
        <f t="shared" si="60"/>
        <v>1</v>
      </c>
      <c r="BF163" s="37" t="str">
        <f t="shared" si="61"/>
        <v>Stage 1</v>
      </c>
      <c r="BG163" s="37" t="str">
        <f t="shared" si="62"/>
        <v>Yes</v>
      </c>
    </row>
    <row r="164" spans="1:59" x14ac:dyDescent="0.2">
      <c r="A164" s="35">
        <f t="shared" si="63"/>
        <v>162</v>
      </c>
      <c r="B164" s="33">
        <v>1170</v>
      </c>
      <c r="C164" s="33" t="s">
        <v>410</v>
      </c>
      <c r="D164" s="33" t="s">
        <v>806</v>
      </c>
      <c r="E164" s="33" t="s">
        <v>480</v>
      </c>
      <c r="F164" s="33" t="s">
        <v>542</v>
      </c>
      <c r="G164" s="117">
        <v>2</v>
      </c>
      <c r="H164" s="34">
        <v>40198</v>
      </c>
      <c r="I164" s="34">
        <v>40198</v>
      </c>
      <c r="J164" s="34">
        <v>40198</v>
      </c>
      <c r="K164" s="34">
        <v>47421</v>
      </c>
      <c r="L164" s="34">
        <v>42124</v>
      </c>
      <c r="M164" s="34">
        <v>40298</v>
      </c>
      <c r="N164" s="113">
        <v>15</v>
      </c>
      <c r="O164" s="200">
        <v>0</v>
      </c>
      <c r="P164" s="200">
        <v>0</v>
      </c>
      <c r="Q164" s="200">
        <v>0</v>
      </c>
      <c r="R164" s="201">
        <v>0</v>
      </c>
      <c r="S164" s="33" t="s">
        <v>22</v>
      </c>
      <c r="T164" s="33" t="s">
        <v>22</v>
      </c>
      <c r="U164" s="33" t="s">
        <v>203</v>
      </c>
      <c r="V164" s="33"/>
      <c r="W164" s="33" t="s">
        <v>210</v>
      </c>
      <c r="X164" s="33" t="s">
        <v>210</v>
      </c>
      <c r="Y164" s="33"/>
      <c r="Z164" s="33" t="s">
        <v>209</v>
      </c>
      <c r="AA164" s="35" t="str">
        <f>_xlfn.IFNA(VLOOKUP(E164,'Lookup Table'!$J$33:$K$176,2,0),"B3")</f>
        <v>Ba1</v>
      </c>
      <c r="AB164" s="35">
        <f>_xlfn.IFNA(VLOOKUP($AA164,'Rating Lookup'!$B$2:$I$27,8,0),15)</f>
        <v>11</v>
      </c>
      <c r="AC164" s="35" t="str">
        <f>_xlfn.IFNA(VLOOKUP(E164,'Lookup Table'!$M$33:$N$173,2,0),"B3")</f>
        <v>Ba1</v>
      </c>
      <c r="AD164" s="35">
        <f>_xlfn.IFNA(VLOOKUP($AC164,'Rating Lookup'!$B$2:$I$27,8,0),15)</f>
        <v>11</v>
      </c>
      <c r="AE164" s="35">
        <f t="shared" si="44"/>
        <v>0</v>
      </c>
      <c r="AG164" s="35" t="str">
        <f t="shared" si="45"/>
        <v>HOUSING UNITS PROJECT IN ASSAILAH CITY - PHASE II</v>
      </c>
      <c r="AH164" s="35" t="str">
        <f t="shared" si="46"/>
        <v>Government Loan</v>
      </c>
      <c r="AI164" s="202">
        <f>'ECL Calculation'!$B$1</f>
        <v>43465</v>
      </c>
      <c r="AJ164" s="202">
        <f t="shared" si="47"/>
        <v>42124</v>
      </c>
      <c r="AK164" s="202">
        <f t="shared" si="48"/>
        <v>40298</v>
      </c>
      <c r="AL164" s="127">
        <f t="shared" si="49"/>
        <v>15</v>
      </c>
      <c r="AM164" s="192">
        <f>IF(AND(IF(ISBLANK(K164),EOMONTH(AJ164,AL164*12),K164)&lt;'ECL Calculation'!$B$1,SUM('Input Sheet'!Q164,'Input Sheet'!R164)&gt;0),EOMONTH('ECL Calculation'!$B$1,12*5),IF(ISBLANK(K164),EOMONTH(AJ164,AL164*12),K164))</f>
        <v>47421</v>
      </c>
      <c r="AN164" s="203">
        <f t="shared" si="50"/>
        <v>0</v>
      </c>
      <c r="AO164" s="203">
        <f t="shared" si="51"/>
        <v>0</v>
      </c>
      <c r="AP164" s="203">
        <f t="shared" si="52"/>
        <v>0</v>
      </c>
      <c r="AQ164" s="126">
        <f>VLOOKUP(U164,'Lookup Table'!$B$2:$C$10,2,0)</f>
        <v>1</v>
      </c>
      <c r="AR164" s="127">
        <f>VLOOKUP(S164,'Lookup Table'!$B$2:$C$9,2,0)</f>
        <v>2</v>
      </c>
      <c r="AS164" s="127">
        <f>VLOOKUP(T164,'Lookup Table'!$B$2:$C$9,2,0)</f>
        <v>2</v>
      </c>
      <c r="AT164" s="136">
        <f t="shared" si="53"/>
        <v>0</v>
      </c>
      <c r="AU164" s="128">
        <f t="shared" si="54"/>
        <v>0.02</v>
      </c>
      <c r="AV164" s="136">
        <f t="shared" si="55"/>
        <v>0</v>
      </c>
      <c r="AW164" s="37" t="str">
        <f t="shared" si="56"/>
        <v>Ba1</v>
      </c>
      <c r="AX164" s="128">
        <f>VLOOKUP(E164,'Lookup Table'!$B$12:$C$82,2,0)</f>
        <v>3.1662499999999996E-2</v>
      </c>
      <c r="AY164" s="128">
        <f>'Lookup Table'!$E$3</f>
        <v>0.45</v>
      </c>
      <c r="AZ164" s="129" t="str">
        <f t="shared" si="57"/>
        <v>Morocco</v>
      </c>
      <c r="BA164" s="37">
        <f>VLOOKUP(AA164,'Lookup Table'!$J$3:$K$27,2,0)</f>
        <v>1</v>
      </c>
      <c r="BB164" s="37">
        <f t="shared" si="58"/>
        <v>1</v>
      </c>
      <c r="BC164" s="37">
        <f t="shared" si="59"/>
        <v>1</v>
      </c>
      <c r="BD164" s="37">
        <f>IF(AND(K164&lt;'ECL Calculation'!$B$1,'Input Sheet'!W164="No"),3,IF(X164="Yes",2,1))</f>
        <v>1</v>
      </c>
      <c r="BE164" s="37">
        <f t="shared" si="60"/>
        <v>1</v>
      </c>
      <c r="BF164" s="37" t="str">
        <f t="shared" si="61"/>
        <v>Stage 1</v>
      </c>
      <c r="BG164" s="37" t="str">
        <f t="shared" si="62"/>
        <v>No</v>
      </c>
    </row>
    <row r="165" spans="1:59" x14ac:dyDescent="0.2">
      <c r="A165" s="35">
        <f t="shared" si="63"/>
        <v>163</v>
      </c>
      <c r="B165" s="33">
        <v>1171</v>
      </c>
      <c r="C165" s="33" t="s">
        <v>411</v>
      </c>
      <c r="D165" s="33" t="s">
        <v>806</v>
      </c>
      <c r="E165" s="33" t="s">
        <v>480</v>
      </c>
      <c r="F165" s="33" t="s">
        <v>542</v>
      </c>
      <c r="G165" s="117">
        <v>2</v>
      </c>
      <c r="H165" s="34">
        <v>40198</v>
      </c>
      <c r="I165" s="34">
        <v>40198</v>
      </c>
      <c r="J165" s="34">
        <v>40198</v>
      </c>
      <c r="K165" s="34">
        <v>47421</v>
      </c>
      <c r="L165" s="34">
        <v>42124</v>
      </c>
      <c r="M165" s="34">
        <v>40298</v>
      </c>
      <c r="N165" s="113">
        <v>15</v>
      </c>
      <c r="O165" s="200">
        <v>0</v>
      </c>
      <c r="P165" s="200">
        <v>0</v>
      </c>
      <c r="Q165" s="200">
        <v>0</v>
      </c>
      <c r="R165" s="201">
        <v>0</v>
      </c>
      <c r="S165" s="33" t="s">
        <v>22</v>
      </c>
      <c r="T165" s="33" t="s">
        <v>22</v>
      </c>
      <c r="U165" s="33" t="s">
        <v>203</v>
      </c>
      <c r="V165" s="33"/>
      <c r="W165" s="33" t="s">
        <v>210</v>
      </c>
      <c r="X165" s="33" t="s">
        <v>210</v>
      </c>
      <c r="Y165" s="33"/>
      <c r="Z165" s="33" t="s">
        <v>209</v>
      </c>
      <c r="AA165" s="35" t="str">
        <f>_xlfn.IFNA(VLOOKUP(E165,'Lookup Table'!$J$33:$K$176,2,0),"B3")</f>
        <v>Ba1</v>
      </c>
      <c r="AB165" s="35">
        <f>_xlfn.IFNA(VLOOKUP($AA165,'Rating Lookup'!$B$2:$I$27,8,0),15)</f>
        <v>11</v>
      </c>
      <c r="AC165" s="35" t="str">
        <f>_xlfn.IFNA(VLOOKUP(E165,'Lookup Table'!$M$33:$N$173,2,0),"B3")</f>
        <v>Ba1</v>
      </c>
      <c r="AD165" s="35">
        <f>_xlfn.IFNA(VLOOKUP($AC165,'Rating Lookup'!$B$2:$I$27,8,0),15)</f>
        <v>11</v>
      </c>
      <c r="AE165" s="35">
        <f t="shared" si="44"/>
        <v>0</v>
      </c>
      <c r="AG165" s="35" t="str">
        <f t="shared" si="45"/>
        <v>ASILAH MUSEUM</v>
      </c>
      <c r="AH165" s="35" t="str">
        <f t="shared" si="46"/>
        <v>Government Loan</v>
      </c>
      <c r="AI165" s="202">
        <f>'ECL Calculation'!$B$1</f>
        <v>43465</v>
      </c>
      <c r="AJ165" s="202">
        <f t="shared" si="47"/>
        <v>42124</v>
      </c>
      <c r="AK165" s="202">
        <f t="shared" si="48"/>
        <v>40298</v>
      </c>
      <c r="AL165" s="127">
        <f t="shared" si="49"/>
        <v>15</v>
      </c>
      <c r="AM165" s="192">
        <f>IF(AND(IF(ISBLANK(K165),EOMONTH(AJ165,AL165*12),K165)&lt;'ECL Calculation'!$B$1,SUM('Input Sheet'!Q165,'Input Sheet'!R165)&gt;0),EOMONTH('ECL Calculation'!$B$1,12*5),IF(ISBLANK(K165),EOMONTH(AJ165,AL165*12),K165))</f>
        <v>47421</v>
      </c>
      <c r="AN165" s="203">
        <f t="shared" si="50"/>
        <v>0</v>
      </c>
      <c r="AO165" s="203">
        <f t="shared" si="51"/>
        <v>0</v>
      </c>
      <c r="AP165" s="203">
        <f t="shared" si="52"/>
        <v>0</v>
      </c>
      <c r="AQ165" s="126">
        <f>VLOOKUP(U165,'Lookup Table'!$B$2:$C$10,2,0)</f>
        <v>1</v>
      </c>
      <c r="AR165" s="127">
        <f>VLOOKUP(S165,'Lookup Table'!$B$2:$C$9,2,0)</f>
        <v>2</v>
      </c>
      <c r="AS165" s="127">
        <f>VLOOKUP(T165,'Lookup Table'!$B$2:$C$9,2,0)</f>
        <v>2</v>
      </c>
      <c r="AT165" s="136">
        <f t="shared" si="53"/>
        <v>0</v>
      </c>
      <c r="AU165" s="128">
        <f t="shared" si="54"/>
        <v>0.02</v>
      </c>
      <c r="AV165" s="136">
        <f t="shared" si="55"/>
        <v>0</v>
      </c>
      <c r="AW165" s="37" t="str">
        <f t="shared" si="56"/>
        <v>Ba1</v>
      </c>
      <c r="AX165" s="128">
        <f>VLOOKUP(E165,'Lookup Table'!$B$12:$C$82,2,0)</f>
        <v>3.1662499999999996E-2</v>
      </c>
      <c r="AY165" s="128">
        <f>'Lookup Table'!$E$3</f>
        <v>0.45</v>
      </c>
      <c r="AZ165" s="129" t="str">
        <f t="shared" si="57"/>
        <v>Morocco</v>
      </c>
      <c r="BA165" s="37">
        <f>VLOOKUP(AA165,'Lookup Table'!$J$3:$K$27,2,0)</f>
        <v>1</v>
      </c>
      <c r="BB165" s="37">
        <f t="shared" si="58"/>
        <v>1</v>
      </c>
      <c r="BC165" s="37">
        <f t="shared" si="59"/>
        <v>1</v>
      </c>
      <c r="BD165" s="37">
        <f>IF(AND(K165&lt;'ECL Calculation'!$B$1,'Input Sheet'!W165="No"),3,IF(X165="Yes",2,1))</f>
        <v>1</v>
      </c>
      <c r="BE165" s="37">
        <f t="shared" si="60"/>
        <v>1</v>
      </c>
      <c r="BF165" s="37" t="str">
        <f t="shared" si="61"/>
        <v>Stage 1</v>
      </c>
      <c r="BG165" s="37" t="str">
        <f t="shared" si="62"/>
        <v>No</v>
      </c>
    </row>
    <row r="166" spans="1:59" x14ac:dyDescent="0.2">
      <c r="A166" s="35">
        <f t="shared" si="63"/>
        <v>164</v>
      </c>
      <c r="B166" s="33">
        <v>1172</v>
      </c>
      <c r="C166" s="33" t="s">
        <v>412</v>
      </c>
      <c r="D166" s="33" t="s">
        <v>806</v>
      </c>
      <c r="E166" s="33" t="s">
        <v>522</v>
      </c>
      <c r="F166" s="33" t="s">
        <v>542</v>
      </c>
      <c r="G166" s="117">
        <v>5</v>
      </c>
      <c r="H166" s="34">
        <v>40269</v>
      </c>
      <c r="I166" s="34">
        <v>40304</v>
      </c>
      <c r="J166" s="34">
        <v>40304</v>
      </c>
      <c r="K166" s="34">
        <v>45412</v>
      </c>
      <c r="L166" s="34">
        <v>41394</v>
      </c>
      <c r="M166" s="34">
        <v>40298</v>
      </c>
      <c r="N166" s="113">
        <v>12</v>
      </c>
      <c r="O166" s="200">
        <v>38888145.060000002</v>
      </c>
      <c r="P166" s="200">
        <v>38888145.060000002</v>
      </c>
      <c r="Q166" s="200">
        <v>0</v>
      </c>
      <c r="R166" s="201">
        <v>-14288.75</v>
      </c>
      <c r="S166" s="33" t="s">
        <v>22</v>
      </c>
      <c r="T166" s="33" t="s">
        <v>22</v>
      </c>
      <c r="U166" s="33" t="s">
        <v>203</v>
      </c>
      <c r="V166" s="33"/>
      <c r="W166" s="33" t="s">
        <v>210</v>
      </c>
      <c r="X166" s="33" t="s">
        <v>210</v>
      </c>
      <c r="Y166" s="33"/>
      <c r="Z166" s="33" t="s">
        <v>209</v>
      </c>
      <c r="AA166" s="35" t="str">
        <f>_xlfn.IFNA(VLOOKUP(E166,'Lookup Table'!$J$33:$K$176,2,0),"B3")</f>
        <v>B1</v>
      </c>
      <c r="AB166" s="35">
        <f>_xlfn.IFNA(VLOOKUP($AA166,'Rating Lookup'!$B$2:$I$27,8,0),15)</f>
        <v>14</v>
      </c>
      <c r="AC166" s="35" t="str">
        <f>_xlfn.IFNA(VLOOKUP(E166,'Lookup Table'!$M$33:$N$173,2,0),"B3")</f>
        <v>Ba3</v>
      </c>
      <c r="AD166" s="35">
        <f>_xlfn.IFNA(VLOOKUP($AC166,'Rating Lookup'!$B$2:$I$27,8,0),15)</f>
        <v>13</v>
      </c>
      <c r="AE166" s="35">
        <f t="shared" si="44"/>
        <v>1</v>
      </c>
      <c r="AG166" s="35" t="str">
        <f t="shared" si="45"/>
        <v>REGIONAL WATER SUPPLY SYSTEM PROJECT</v>
      </c>
      <c r="AH166" s="35" t="str">
        <f t="shared" si="46"/>
        <v>Government Loan</v>
      </c>
      <c r="AI166" s="202">
        <f>'ECL Calculation'!$B$1</f>
        <v>43465</v>
      </c>
      <c r="AJ166" s="202">
        <f t="shared" si="47"/>
        <v>41394</v>
      </c>
      <c r="AK166" s="202">
        <f t="shared" si="48"/>
        <v>40298</v>
      </c>
      <c r="AL166" s="127">
        <f t="shared" si="49"/>
        <v>12</v>
      </c>
      <c r="AM166" s="192">
        <f>IF(AND(IF(ISBLANK(K166),EOMONTH(AJ166,AL166*12),K166)&lt;'ECL Calculation'!$B$1,SUM('Input Sheet'!Q166,'Input Sheet'!R166)&gt;0),EOMONTH('ECL Calculation'!$B$1,12*5),IF(ISBLANK(K166),EOMONTH(AJ166,AL166*12),K166))</f>
        <v>45412</v>
      </c>
      <c r="AN166" s="203">
        <f t="shared" si="50"/>
        <v>38888145.060000002</v>
      </c>
      <c r="AO166" s="203">
        <f t="shared" si="51"/>
        <v>38888145.060000002</v>
      </c>
      <c r="AP166" s="203">
        <f t="shared" si="52"/>
        <v>0</v>
      </c>
      <c r="AQ166" s="126">
        <f>VLOOKUP(U166,'Lookup Table'!$B$2:$C$10,2,0)</f>
        <v>1</v>
      </c>
      <c r="AR166" s="127">
        <f>VLOOKUP(S166,'Lookup Table'!$B$2:$C$9,2,0)</f>
        <v>2</v>
      </c>
      <c r="AS166" s="127">
        <f>VLOOKUP(T166,'Lookup Table'!$B$2:$C$9,2,0)</f>
        <v>2</v>
      </c>
      <c r="AT166" s="136">
        <f t="shared" si="53"/>
        <v>0</v>
      </c>
      <c r="AU166" s="128">
        <f t="shared" si="54"/>
        <v>0.05</v>
      </c>
      <c r="AV166" s="136">
        <f t="shared" si="55"/>
        <v>-14288.75</v>
      </c>
      <c r="AW166" s="37" t="str">
        <f t="shared" si="56"/>
        <v>B1</v>
      </c>
      <c r="AX166" s="128">
        <f>VLOOKUP(E166,'Lookup Table'!$B$12:$C$82,2,0)</f>
        <v>0.04</v>
      </c>
      <c r="AY166" s="128">
        <f>'Lookup Table'!$E$3</f>
        <v>0.45</v>
      </c>
      <c r="AZ166" s="129" t="str">
        <f t="shared" si="57"/>
        <v>Montenegro</v>
      </c>
      <c r="BA166" s="37">
        <f>VLOOKUP(AA166,'Lookup Table'!$J$3:$K$27,2,0)</f>
        <v>1</v>
      </c>
      <c r="BB166" s="37">
        <f t="shared" si="58"/>
        <v>2</v>
      </c>
      <c r="BC166" s="37">
        <f t="shared" si="59"/>
        <v>1</v>
      </c>
      <c r="BD166" s="37">
        <f>IF(AND(K166&lt;'ECL Calculation'!$B$1,'Input Sheet'!W166="No"),3,IF(X166="Yes",2,1))</f>
        <v>1</v>
      </c>
      <c r="BE166" s="37">
        <f t="shared" si="60"/>
        <v>1</v>
      </c>
      <c r="BF166" s="37" t="str">
        <f t="shared" si="61"/>
        <v>Stage 2</v>
      </c>
      <c r="BG166" s="37" t="str">
        <f t="shared" si="62"/>
        <v>No</v>
      </c>
    </row>
    <row r="167" spans="1:59" x14ac:dyDescent="0.2">
      <c r="A167" s="35">
        <f t="shared" si="63"/>
        <v>165</v>
      </c>
      <c r="B167" s="33">
        <v>1173</v>
      </c>
      <c r="C167" s="33" t="s">
        <v>413</v>
      </c>
      <c r="D167" s="33" t="s">
        <v>806</v>
      </c>
      <c r="E167" s="33" t="s">
        <v>477</v>
      </c>
      <c r="F167" s="33" t="s">
        <v>542</v>
      </c>
      <c r="G167" s="117">
        <v>3.5</v>
      </c>
      <c r="H167" s="34">
        <v>40311</v>
      </c>
      <c r="I167" s="34">
        <v>40419</v>
      </c>
      <c r="J167" s="34">
        <v>40419</v>
      </c>
      <c r="K167" s="34">
        <v>45595</v>
      </c>
      <c r="L167" s="34">
        <v>41394</v>
      </c>
      <c r="M167" s="34">
        <v>40481</v>
      </c>
      <c r="N167" s="113">
        <v>12</v>
      </c>
      <c r="O167" s="200">
        <v>62094234.75</v>
      </c>
      <c r="P167" s="200">
        <v>62094234.75</v>
      </c>
      <c r="Q167" s="200">
        <v>28406934.75</v>
      </c>
      <c r="R167" s="201">
        <v>166243.85999999999</v>
      </c>
      <c r="S167" s="33" t="s">
        <v>22</v>
      </c>
      <c r="T167" s="33" t="s">
        <v>22</v>
      </c>
      <c r="U167" s="33" t="s">
        <v>203</v>
      </c>
      <c r="V167" s="33"/>
      <c r="W167" s="33" t="s">
        <v>210</v>
      </c>
      <c r="X167" s="33" t="s">
        <v>210</v>
      </c>
      <c r="Y167" s="33"/>
      <c r="Z167" s="33" t="s">
        <v>209</v>
      </c>
      <c r="AA167" s="35" t="str">
        <f>_xlfn.IFNA(VLOOKUP(E167,'Lookup Table'!$J$33:$K$176,2,0),"B3")</f>
        <v>B1</v>
      </c>
      <c r="AB167" s="35">
        <f>_xlfn.IFNA(VLOOKUP($AA167,'Rating Lookup'!$B$2:$I$27,8,0),15)</f>
        <v>14</v>
      </c>
      <c r="AC167" s="35" t="str">
        <f>_xlfn.IFNA(VLOOKUP(E167,'Lookup Table'!$M$33:$N$173,2,0),"B3")</f>
        <v>Ba2</v>
      </c>
      <c r="AD167" s="35">
        <f>_xlfn.IFNA(VLOOKUP($AC167,'Rating Lookup'!$B$2:$I$27,8,0),15)</f>
        <v>12</v>
      </c>
      <c r="AE167" s="35">
        <f t="shared" si="44"/>
        <v>2</v>
      </c>
      <c r="AG167" s="35" t="str">
        <f t="shared" si="45"/>
        <v>EXPANDING &amp;  IMPROVING OF  ALBASHIR HOSPITAL (  SUPPLY OF MEDICAL EQUIPMENTS ).</v>
      </c>
      <c r="AH167" s="35" t="str">
        <f t="shared" si="46"/>
        <v>Government Loan</v>
      </c>
      <c r="AI167" s="202">
        <f>'ECL Calculation'!$B$1</f>
        <v>43465</v>
      </c>
      <c r="AJ167" s="202">
        <f t="shared" si="47"/>
        <v>41394</v>
      </c>
      <c r="AK167" s="202">
        <f t="shared" si="48"/>
        <v>40481</v>
      </c>
      <c r="AL167" s="127">
        <f t="shared" si="49"/>
        <v>12</v>
      </c>
      <c r="AM167" s="192">
        <f>IF(AND(IF(ISBLANK(K167),EOMONTH(AJ167,AL167*12),K167)&lt;'ECL Calculation'!$B$1,SUM('Input Sheet'!Q167,'Input Sheet'!R167)&gt;0),EOMONTH('ECL Calculation'!$B$1,12*5),IF(ISBLANK(K167),EOMONTH(AJ167,AL167*12),K167))</f>
        <v>45595</v>
      </c>
      <c r="AN167" s="203">
        <f t="shared" si="50"/>
        <v>62094234.75</v>
      </c>
      <c r="AO167" s="203">
        <f t="shared" si="51"/>
        <v>62094234.75</v>
      </c>
      <c r="AP167" s="203">
        <f t="shared" si="52"/>
        <v>0</v>
      </c>
      <c r="AQ167" s="126">
        <f>VLOOKUP(U167,'Lookup Table'!$B$2:$C$10,2,0)</f>
        <v>1</v>
      </c>
      <c r="AR167" s="127">
        <f>VLOOKUP(S167,'Lookup Table'!$B$2:$C$9,2,0)</f>
        <v>2</v>
      </c>
      <c r="AS167" s="127">
        <f>VLOOKUP(T167,'Lookup Table'!$B$2:$C$9,2,0)</f>
        <v>2</v>
      </c>
      <c r="AT167" s="136">
        <f t="shared" si="53"/>
        <v>28406934.75</v>
      </c>
      <c r="AU167" s="128">
        <f t="shared" si="54"/>
        <v>3.5000000000000003E-2</v>
      </c>
      <c r="AV167" s="136">
        <f t="shared" si="55"/>
        <v>166243.85999999999</v>
      </c>
      <c r="AW167" s="37" t="str">
        <f t="shared" si="56"/>
        <v>B1</v>
      </c>
      <c r="AX167" s="128">
        <f>VLOOKUP(E167,'Lookup Table'!$B$12:$C$82,2,0)</f>
        <v>3.5909090909090911E-2</v>
      </c>
      <c r="AY167" s="128">
        <f>'Lookup Table'!$E$3</f>
        <v>0.45</v>
      </c>
      <c r="AZ167" s="129" t="str">
        <f t="shared" si="57"/>
        <v>Jordan</v>
      </c>
      <c r="BA167" s="37">
        <f>VLOOKUP(AA167,'Lookup Table'!$J$3:$K$27,2,0)</f>
        <v>1</v>
      </c>
      <c r="BB167" s="37">
        <f t="shared" si="58"/>
        <v>2</v>
      </c>
      <c r="BC167" s="37">
        <f t="shared" si="59"/>
        <v>1</v>
      </c>
      <c r="BD167" s="37">
        <f>IF(AND(K167&lt;'ECL Calculation'!$B$1,'Input Sheet'!W167="No"),3,IF(X167="Yes",2,1))</f>
        <v>1</v>
      </c>
      <c r="BE167" s="37">
        <f t="shared" si="60"/>
        <v>1</v>
      </c>
      <c r="BF167" s="37" t="str">
        <f t="shared" si="61"/>
        <v>Stage 2</v>
      </c>
      <c r="BG167" s="37" t="str">
        <f t="shared" si="62"/>
        <v>Yes</v>
      </c>
    </row>
    <row r="168" spans="1:59" x14ac:dyDescent="0.2">
      <c r="A168" s="35">
        <f t="shared" si="63"/>
        <v>166</v>
      </c>
      <c r="B168" s="33">
        <v>1174</v>
      </c>
      <c r="C168" s="33" t="s">
        <v>414</v>
      </c>
      <c r="D168" s="33" t="s">
        <v>806</v>
      </c>
      <c r="E168" s="33" t="s">
        <v>19</v>
      </c>
      <c r="F168" s="33" t="s">
        <v>542</v>
      </c>
      <c r="G168" s="117">
        <v>5</v>
      </c>
      <c r="H168" s="34">
        <v>40338</v>
      </c>
      <c r="I168" s="34">
        <v>40730</v>
      </c>
      <c r="J168" s="34">
        <v>40730</v>
      </c>
      <c r="K168" s="34">
        <v>45641</v>
      </c>
      <c r="L168" s="34">
        <v>41440</v>
      </c>
      <c r="M168" s="34">
        <v>40527</v>
      </c>
      <c r="N168" s="113">
        <v>12</v>
      </c>
      <c r="O168" s="200">
        <v>183650000</v>
      </c>
      <c r="P168" s="200">
        <v>166635911.78999999</v>
      </c>
      <c r="Q168" s="200">
        <v>74811911.790000007</v>
      </c>
      <c r="R168" s="201">
        <v>152669.82999999999</v>
      </c>
      <c r="S168" s="33" t="s">
        <v>22</v>
      </c>
      <c r="T168" s="33" t="s">
        <v>22</v>
      </c>
      <c r="U168" s="33" t="s">
        <v>22</v>
      </c>
      <c r="V168" s="33"/>
      <c r="W168" s="33" t="s">
        <v>210</v>
      </c>
      <c r="X168" s="33" t="s">
        <v>210</v>
      </c>
      <c r="Y168" s="33"/>
      <c r="Z168" s="33" t="s">
        <v>209</v>
      </c>
      <c r="AA168" s="35" t="str">
        <f>_xlfn.IFNA(VLOOKUP(E168,'Lookup Table'!$J$33:$K$176,2,0),"B3")</f>
        <v>B2</v>
      </c>
      <c r="AB168" s="35">
        <f>_xlfn.IFNA(VLOOKUP($AA168,'Rating Lookup'!$B$2:$I$27,8,0),15)</f>
        <v>15</v>
      </c>
      <c r="AC168" s="35" t="str">
        <f>_xlfn.IFNA(VLOOKUP(E168,'Lookup Table'!$M$33:$N$173,2,0),"B3")</f>
        <v>Baa1</v>
      </c>
      <c r="AD168" s="35">
        <f>_xlfn.IFNA(VLOOKUP($AC168,'Rating Lookup'!$B$2:$I$27,8,0),15)</f>
        <v>8</v>
      </c>
      <c r="AE168" s="35">
        <f t="shared" si="44"/>
        <v>7</v>
      </c>
      <c r="AG168" s="35" t="str">
        <f t="shared" si="45"/>
        <v>DEVELOPMENT OF ELECTRICAL POWER TRANSMISSION NETWORKS WITH TWO EFFORTS OF 220 AND 66 KV</v>
      </c>
      <c r="AH168" s="35" t="str">
        <f t="shared" si="46"/>
        <v>Government Loan</v>
      </c>
      <c r="AI168" s="202">
        <f>'ECL Calculation'!$B$1</f>
        <v>43465</v>
      </c>
      <c r="AJ168" s="202">
        <f t="shared" si="47"/>
        <v>41440</v>
      </c>
      <c r="AK168" s="202">
        <f t="shared" si="48"/>
        <v>40527</v>
      </c>
      <c r="AL168" s="127">
        <f t="shared" si="49"/>
        <v>12</v>
      </c>
      <c r="AM168" s="192">
        <f>IF(AND(IF(ISBLANK(K168),EOMONTH(AJ168,AL168*12),K168)&lt;'ECL Calculation'!$B$1,SUM('Input Sheet'!Q168,'Input Sheet'!R168)&gt;0),EOMONTH('ECL Calculation'!$B$1,12*5),IF(ISBLANK(K168),EOMONTH(AJ168,AL168*12),K168))</f>
        <v>45641</v>
      </c>
      <c r="AN168" s="203">
        <f t="shared" si="50"/>
        <v>183650000</v>
      </c>
      <c r="AO168" s="203">
        <f t="shared" si="51"/>
        <v>166635911.78999999</v>
      </c>
      <c r="AP168" s="203">
        <f t="shared" si="52"/>
        <v>17014088.210000008</v>
      </c>
      <c r="AQ168" s="126">
        <f>VLOOKUP(U168,'Lookup Table'!$B$2:$C$10,2,0)</f>
        <v>2</v>
      </c>
      <c r="AR168" s="127">
        <f>VLOOKUP(S168,'Lookup Table'!$B$2:$C$9,2,0)</f>
        <v>2</v>
      </c>
      <c r="AS168" s="127">
        <f>VLOOKUP(T168,'Lookup Table'!$B$2:$C$9,2,0)</f>
        <v>2</v>
      </c>
      <c r="AT168" s="136">
        <f t="shared" si="53"/>
        <v>74811911.790000007</v>
      </c>
      <c r="AU168" s="128">
        <f t="shared" si="54"/>
        <v>0.05</v>
      </c>
      <c r="AV168" s="136">
        <f t="shared" si="55"/>
        <v>152669.82999999999</v>
      </c>
      <c r="AW168" s="37" t="str">
        <f t="shared" si="56"/>
        <v>B2</v>
      </c>
      <c r="AX168" s="128">
        <f>VLOOKUP(E168,'Lookup Table'!$B$12:$C$82,2,0)</f>
        <v>3.6111111111111115E-2</v>
      </c>
      <c r="AY168" s="128">
        <f>'Lookup Table'!$E$3</f>
        <v>0.45</v>
      </c>
      <c r="AZ168" s="129" t="str">
        <f t="shared" si="57"/>
        <v>Bahrain</v>
      </c>
      <c r="BA168" s="37">
        <f>VLOOKUP(AA168,'Lookup Table'!$J$3:$K$27,2,0)</f>
        <v>1</v>
      </c>
      <c r="BB168" s="37">
        <f t="shared" si="58"/>
        <v>2</v>
      </c>
      <c r="BC168" s="37">
        <f t="shared" si="59"/>
        <v>1</v>
      </c>
      <c r="BD168" s="37">
        <f>IF(AND(K168&lt;'ECL Calculation'!$B$1,'Input Sheet'!W168="No"),3,IF(X168="Yes",2,1))</f>
        <v>1</v>
      </c>
      <c r="BE168" s="37">
        <f t="shared" si="60"/>
        <v>1</v>
      </c>
      <c r="BF168" s="37" t="str">
        <f t="shared" si="61"/>
        <v>Stage 2</v>
      </c>
      <c r="BG168" s="37" t="str">
        <f t="shared" si="62"/>
        <v>Yes</v>
      </c>
    </row>
    <row r="169" spans="1:59" x14ac:dyDescent="0.2">
      <c r="A169" s="35">
        <f t="shared" si="63"/>
        <v>167</v>
      </c>
      <c r="B169" s="33">
        <v>1175</v>
      </c>
      <c r="C169" s="33" t="s">
        <v>415</v>
      </c>
      <c r="D169" s="33" t="s">
        <v>806</v>
      </c>
      <c r="E169" s="33" t="s">
        <v>523</v>
      </c>
      <c r="F169" s="33" t="s">
        <v>542</v>
      </c>
      <c r="G169" s="117">
        <v>2.5</v>
      </c>
      <c r="H169" s="34">
        <v>40344</v>
      </c>
      <c r="I169" s="34">
        <v>40720</v>
      </c>
      <c r="J169" s="34">
        <v>40720</v>
      </c>
      <c r="K169" s="34">
        <v>47467</v>
      </c>
      <c r="L169" s="34">
        <v>42170</v>
      </c>
      <c r="M169" s="34">
        <v>40527</v>
      </c>
      <c r="N169" s="113">
        <v>15</v>
      </c>
      <c r="O169" s="200">
        <v>55095000</v>
      </c>
      <c r="P169" s="200">
        <v>54016885.469999999</v>
      </c>
      <c r="Q169" s="200">
        <v>39324885.469999999</v>
      </c>
      <c r="R169" s="201">
        <v>408648.85</v>
      </c>
      <c r="S169" s="33" t="s">
        <v>22</v>
      </c>
      <c r="T169" s="33" t="s">
        <v>22</v>
      </c>
      <c r="U169" s="33" t="s">
        <v>204</v>
      </c>
      <c r="V169" s="33"/>
      <c r="W169" s="33" t="s">
        <v>210</v>
      </c>
      <c r="X169" s="33" t="s">
        <v>210</v>
      </c>
      <c r="Y169" s="33"/>
      <c r="Z169" s="33" t="s">
        <v>209</v>
      </c>
      <c r="AA169" s="35" t="str">
        <f>_xlfn.IFNA(VLOOKUP(E169,'Lookup Table'!$J$33:$K$176,2,0),"B3")</f>
        <v>B3</v>
      </c>
      <c r="AB169" s="35">
        <f>_xlfn.IFNA(VLOOKUP($AA169,'Rating Lookup'!$B$2:$I$27,8,0),15)</f>
        <v>16</v>
      </c>
      <c r="AC169" s="35" t="str">
        <f>_xlfn.IFNA(VLOOKUP(E169,'Lookup Table'!$M$33:$N$173,2,0),"B3")</f>
        <v>B3</v>
      </c>
      <c r="AD169" s="35">
        <f>_xlfn.IFNA(VLOOKUP($AC169,'Rating Lookup'!$B$2:$I$27,8,0),15)</f>
        <v>16</v>
      </c>
      <c r="AE169" s="35">
        <f t="shared" si="44"/>
        <v>0</v>
      </c>
      <c r="AG169" s="35" t="str">
        <f t="shared" si="45"/>
        <v>KULYAB - KALAIKHUMB ROAD ( SHORBAD - SHAGON )</v>
      </c>
      <c r="AH169" s="35" t="str">
        <f t="shared" si="46"/>
        <v>Government Loan</v>
      </c>
      <c r="AI169" s="202">
        <f>'ECL Calculation'!$B$1</f>
        <v>43465</v>
      </c>
      <c r="AJ169" s="202">
        <f t="shared" si="47"/>
        <v>42170</v>
      </c>
      <c r="AK169" s="202">
        <f t="shared" si="48"/>
        <v>40527</v>
      </c>
      <c r="AL169" s="127">
        <f t="shared" si="49"/>
        <v>15</v>
      </c>
      <c r="AM169" s="192">
        <f>IF(AND(IF(ISBLANK(K169),EOMONTH(AJ169,AL169*12),K169)&lt;'ECL Calculation'!$B$1,SUM('Input Sheet'!Q169,'Input Sheet'!R169)&gt;0),EOMONTH('ECL Calculation'!$B$1,12*5),IF(ISBLANK(K169),EOMONTH(AJ169,AL169*12),K169))</f>
        <v>47467</v>
      </c>
      <c r="AN169" s="203">
        <f t="shared" si="50"/>
        <v>55095000</v>
      </c>
      <c r="AO169" s="203">
        <f t="shared" si="51"/>
        <v>54016885.469999999</v>
      </c>
      <c r="AP169" s="203">
        <f t="shared" si="52"/>
        <v>1078114.5300000012</v>
      </c>
      <c r="AQ169" s="126">
        <f>VLOOKUP(U169,'Lookup Table'!$B$2:$C$10,2,0)</f>
        <v>4</v>
      </c>
      <c r="AR169" s="127">
        <f>VLOOKUP(S169,'Lookup Table'!$B$2:$C$9,2,0)</f>
        <v>2</v>
      </c>
      <c r="AS169" s="127">
        <f>VLOOKUP(T169,'Lookup Table'!$B$2:$C$9,2,0)</f>
        <v>2</v>
      </c>
      <c r="AT169" s="136">
        <f t="shared" si="53"/>
        <v>39324885.469999999</v>
      </c>
      <c r="AU169" s="128">
        <f t="shared" si="54"/>
        <v>2.5000000000000001E-2</v>
      </c>
      <c r="AV169" s="136">
        <f t="shared" si="55"/>
        <v>408648.85</v>
      </c>
      <c r="AW169" s="37" t="str">
        <f t="shared" si="56"/>
        <v>B3</v>
      </c>
      <c r="AX169" s="128">
        <f>VLOOKUP(E169,'Lookup Table'!$B$12:$C$82,2,0)</f>
        <v>2.5000000000000001E-2</v>
      </c>
      <c r="AY169" s="128">
        <f>'Lookup Table'!$E$3</f>
        <v>0.45</v>
      </c>
      <c r="AZ169" s="129" t="str">
        <f t="shared" si="57"/>
        <v>Tajikistan</v>
      </c>
      <c r="BA169" s="37">
        <f>VLOOKUP(AA169,'Lookup Table'!$J$3:$K$27,2,0)</f>
        <v>1</v>
      </c>
      <c r="BB169" s="37">
        <f t="shared" si="58"/>
        <v>1</v>
      </c>
      <c r="BC169" s="37">
        <f t="shared" si="59"/>
        <v>1</v>
      </c>
      <c r="BD169" s="37">
        <f>IF(AND(K169&lt;'ECL Calculation'!$B$1,'Input Sheet'!W169="No"),3,IF(X169="Yes",2,1))</f>
        <v>1</v>
      </c>
      <c r="BE169" s="37">
        <f t="shared" si="60"/>
        <v>1</v>
      </c>
      <c r="BF169" s="37" t="str">
        <f t="shared" si="61"/>
        <v>Stage 1</v>
      </c>
      <c r="BG169" s="37" t="str">
        <f t="shared" si="62"/>
        <v>Yes</v>
      </c>
    </row>
    <row r="170" spans="1:59" x14ac:dyDescent="0.2">
      <c r="A170" s="35">
        <f t="shared" si="63"/>
        <v>168</v>
      </c>
      <c r="B170" s="33">
        <v>1176</v>
      </c>
      <c r="C170" s="33" t="s">
        <v>416</v>
      </c>
      <c r="D170" s="33" t="s">
        <v>806</v>
      </c>
      <c r="E170" s="33" t="s">
        <v>511</v>
      </c>
      <c r="F170" s="33" t="s">
        <v>542</v>
      </c>
      <c r="G170" s="117">
        <v>2.5</v>
      </c>
      <c r="H170" s="34">
        <v>40507</v>
      </c>
      <c r="I170" s="34">
        <v>40713</v>
      </c>
      <c r="J170" s="34">
        <v>40713</v>
      </c>
      <c r="K170" s="34">
        <v>47633</v>
      </c>
      <c r="L170" s="34">
        <v>42338</v>
      </c>
      <c r="M170" s="34">
        <v>40693</v>
      </c>
      <c r="N170" s="113">
        <v>15</v>
      </c>
      <c r="O170" s="200">
        <v>36730000</v>
      </c>
      <c r="P170" s="200">
        <v>22635995.030000001</v>
      </c>
      <c r="Q170" s="200">
        <v>17739995.030000001</v>
      </c>
      <c r="R170" s="201">
        <v>164272.92000000001</v>
      </c>
      <c r="S170" s="33" t="s">
        <v>22</v>
      </c>
      <c r="T170" s="33" t="s">
        <v>22</v>
      </c>
      <c r="U170" s="33" t="s">
        <v>204</v>
      </c>
      <c r="V170" s="33"/>
      <c r="W170" s="33" t="s">
        <v>210</v>
      </c>
      <c r="X170" s="33" t="s">
        <v>210</v>
      </c>
      <c r="Y170" s="33"/>
      <c r="Z170" s="33" t="s">
        <v>209</v>
      </c>
      <c r="AA170" s="35" t="str">
        <f>_xlfn.IFNA(VLOOKUP(E170,'Lookup Table'!$J$33:$K$176,2,0),"B3")</f>
        <v>B2</v>
      </c>
      <c r="AB170" s="35">
        <f>_xlfn.IFNA(VLOOKUP($AA170,'Rating Lookup'!$B$2:$I$27,8,0),15)</f>
        <v>15</v>
      </c>
      <c r="AC170" s="35" t="str">
        <f>_xlfn.IFNA(VLOOKUP(E170,'Lookup Table'!$M$33:$N$173,2,0),"B3")</f>
        <v>B1</v>
      </c>
      <c r="AD170" s="35">
        <f>_xlfn.IFNA(VLOOKUP($AC170,'Rating Lookup'!$B$2:$I$27,8,0),15)</f>
        <v>14</v>
      </c>
      <c r="AE170" s="35">
        <f t="shared" si="44"/>
        <v>1</v>
      </c>
      <c r="AG170" s="35" t="str">
        <f t="shared" si="45"/>
        <v>NUNO - MODOGASHE ROAD PROJECT  .</v>
      </c>
      <c r="AH170" s="35" t="str">
        <f t="shared" si="46"/>
        <v>Government Loan</v>
      </c>
      <c r="AI170" s="202">
        <f>'ECL Calculation'!$B$1</f>
        <v>43465</v>
      </c>
      <c r="AJ170" s="202">
        <f t="shared" si="47"/>
        <v>42338</v>
      </c>
      <c r="AK170" s="202">
        <f t="shared" si="48"/>
        <v>40693</v>
      </c>
      <c r="AL170" s="127">
        <f t="shared" si="49"/>
        <v>15</v>
      </c>
      <c r="AM170" s="192">
        <f>IF(AND(IF(ISBLANK(K170),EOMONTH(AJ170,AL170*12),K170)&lt;'ECL Calculation'!$B$1,SUM('Input Sheet'!Q170,'Input Sheet'!R170)&gt;0),EOMONTH('ECL Calculation'!$B$1,12*5),IF(ISBLANK(K170),EOMONTH(AJ170,AL170*12),K170))</f>
        <v>47633</v>
      </c>
      <c r="AN170" s="203">
        <f t="shared" si="50"/>
        <v>36730000</v>
      </c>
      <c r="AO170" s="203">
        <f t="shared" si="51"/>
        <v>22635995.030000001</v>
      </c>
      <c r="AP170" s="203">
        <f t="shared" si="52"/>
        <v>14094004.969999999</v>
      </c>
      <c r="AQ170" s="126">
        <f>VLOOKUP(U170,'Lookup Table'!$B$2:$C$10,2,0)</f>
        <v>4</v>
      </c>
      <c r="AR170" s="127">
        <f>VLOOKUP(S170,'Lookup Table'!$B$2:$C$9,2,0)</f>
        <v>2</v>
      </c>
      <c r="AS170" s="127">
        <f>VLOOKUP(T170,'Lookup Table'!$B$2:$C$9,2,0)</f>
        <v>2</v>
      </c>
      <c r="AT170" s="136">
        <f t="shared" si="53"/>
        <v>17739995.030000001</v>
      </c>
      <c r="AU170" s="128">
        <f t="shared" si="54"/>
        <v>2.5000000000000001E-2</v>
      </c>
      <c r="AV170" s="136">
        <f t="shared" si="55"/>
        <v>164272.92000000001</v>
      </c>
      <c r="AW170" s="37" t="str">
        <f t="shared" si="56"/>
        <v>B2</v>
      </c>
      <c r="AX170" s="128">
        <f>VLOOKUP(E170,'Lookup Table'!$B$12:$C$82,2,0)</f>
        <v>2.8333333333333335E-2</v>
      </c>
      <c r="AY170" s="128">
        <f>'Lookup Table'!$E$3</f>
        <v>0.45</v>
      </c>
      <c r="AZ170" s="129" t="str">
        <f t="shared" si="57"/>
        <v>Kenya</v>
      </c>
      <c r="BA170" s="37">
        <f>VLOOKUP(AA170,'Lookup Table'!$J$3:$K$27,2,0)</f>
        <v>1</v>
      </c>
      <c r="BB170" s="37">
        <f t="shared" si="58"/>
        <v>2</v>
      </c>
      <c r="BC170" s="37">
        <f t="shared" si="59"/>
        <v>1</v>
      </c>
      <c r="BD170" s="37">
        <f>IF(AND(K170&lt;'ECL Calculation'!$B$1,'Input Sheet'!W170="No"),3,IF(X170="Yes",2,1))</f>
        <v>1</v>
      </c>
      <c r="BE170" s="37">
        <f t="shared" si="60"/>
        <v>1</v>
      </c>
      <c r="BF170" s="37" t="str">
        <f t="shared" si="61"/>
        <v>Stage 2</v>
      </c>
      <c r="BG170" s="37" t="str">
        <f t="shared" si="62"/>
        <v>Yes</v>
      </c>
    </row>
    <row r="171" spans="1:59" x14ac:dyDescent="0.2">
      <c r="A171" s="35">
        <f t="shared" si="63"/>
        <v>169</v>
      </c>
      <c r="B171" s="33">
        <v>1177</v>
      </c>
      <c r="C171" s="33" t="s">
        <v>417</v>
      </c>
      <c r="D171" s="33" t="s">
        <v>806</v>
      </c>
      <c r="E171" s="33" t="s">
        <v>485</v>
      </c>
      <c r="F171" s="33" t="s">
        <v>542</v>
      </c>
      <c r="G171" s="117">
        <v>2</v>
      </c>
      <c r="H171" s="34">
        <v>40511</v>
      </c>
      <c r="I171" s="34">
        <v>40793</v>
      </c>
      <c r="J171" s="34">
        <v>40793</v>
      </c>
      <c r="K171" s="34">
        <v>47633</v>
      </c>
      <c r="L171" s="34">
        <v>42338</v>
      </c>
      <c r="M171" s="34">
        <v>40693</v>
      </c>
      <c r="N171" s="113">
        <v>15</v>
      </c>
      <c r="O171" s="200">
        <v>70000000</v>
      </c>
      <c r="P171" s="200">
        <v>0</v>
      </c>
      <c r="Q171" s="200">
        <v>0</v>
      </c>
      <c r="R171" s="201">
        <v>0</v>
      </c>
      <c r="S171" s="33" t="s">
        <v>22</v>
      </c>
      <c r="T171" s="33" t="s">
        <v>22</v>
      </c>
      <c r="U171" s="33" t="s">
        <v>203</v>
      </c>
      <c r="V171" s="33"/>
      <c r="W171" s="33" t="s">
        <v>210</v>
      </c>
      <c r="X171" s="33" t="s">
        <v>210</v>
      </c>
      <c r="Y171" s="33"/>
      <c r="Z171" s="33" t="s">
        <v>209</v>
      </c>
      <c r="AA171" s="35" t="str">
        <f>_xlfn.IFNA(VLOOKUP(E171,'Lookup Table'!$J$33:$K$176,2,0),"B3")</f>
        <v>B3</v>
      </c>
      <c r="AB171" s="35">
        <f>_xlfn.IFNA(VLOOKUP($AA171,'Rating Lookup'!$B$2:$I$27,8,0),15)</f>
        <v>16</v>
      </c>
      <c r="AC171" s="35">
        <f>_xlfn.IFNA(VLOOKUP(E171,'Lookup Table'!$M$33:$N$173,2,0),"B3")</f>
        <v>0</v>
      </c>
      <c r="AD171" s="35">
        <f>_xlfn.IFNA(VLOOKUP($AC171,'Rating Lookup'!$B$2:$I$27,8,0),15)</f>
        <v>15</v>
      </c>
      <c r="AE171" s="35">
        <f t="shared" si="44"/>
        <v>1</v>
      </c>
      <c r="AG171" s="35" t="str">
        <f t="shared" si="45"/>
        <v>TAOUSSA DAM PROJECT  .</v>
      </c>
      <c r="AH171" s="35" t="str">
        <f t="shared" si="46"/>
        <v>Government Loan</v>
      </c>
      <c r="AI171" s="202">
        <f>'ECL Calculation'!$B$1</f>
        <v>43465</v>
      </c>
      <c r="AJ171" s="202">
        <f t="shared" si="47"/>
        <v>42338</v>
      </c>
      <c r="AK171" s="202">
        <f t="shared" si="48"/>
        <v>40693</v>
      </c>
      <c r="AL171" s="127">
        <f t="shared" si="49"/>
        <v>15</v>
      </c>
      <c r="AM171" s="192">
        <f>IF(AND(IF(ISBLANK(K171),EOMONTH(AJ171,AL171*12),K171)&lt;'ECL Calculation'!$B$1,SUM('Input Sheet'!Q171,'Input Sheet'!R171)&gt;0),EOMONTH('ECL Calculation'!$B$1,12*5),IF(ISBLANK(K171),EOMONTH(AJ171,AL171*12),K171))</f>
        <v>47633</v>
      </c>
      <c r="AN171" s="203">
        <f t="shared" si="50"/>
        <v>70000000</v>
      </c>
      <c r="AO171" s="203">
        <f t="shared" si="51"/>
        <v>0</v>
      </c>
      <c r="AP171" s="203">
        <f t="shared" si="52"/>
        <v>70000000</v>
      </c>
      <c r="AQ171" s="126">
        <f>VLOOKUP(U171,'Lookup Table'!$B$2:$C$10,2,0)</f>
        <v>1</v>
      </c>
      <c r="AR171" s="127">
        <f>VLOOKUP(S171,'Lookup Table'!$B$2:$C$9,2,0)</f>
        <v>2</v>
      </c>
      <c r="AS171" s="127">
        <f>VLOOKUP(T171,'Lookup Table'!$B$2:$C$9,2,0)</f>
        <v>2</v>
      </c>
      <c r="AT171" s="136">
        <f t="shared" si="53"/>
        <v>0</v>
      </c>
      <c r="AU171" s="128">
        <f t="shared" si="54"/>
        <v>0.02</v>
      </c>
      <c r="AV171" s="136">
        <f t="shared" si="55"/>
        <v>0</v>
      </c>
      <c r="AW171" s="37" t="str">
        <f t="shared" si="56"/>
        <v>B3</v>
      </c>
      <c r="AX171" s="128">
        <f>VLOOKUP(E171,'Lookup Table'!$B$12:$C$82,2,0)</f>
        <v>2.2000000000000002E-2</v>
      </c>
      <c r="AY171" s="128">
        <f>'Lookup Table'!$E$3</f>
        <v>0.45</v>
      </c>
      <c r="AZ171" s="129" t="str">
        <f t="shared" si="57"/>
        <v>Mali</v>
      </c>
      <c r="BA171" s="37">
        <f>VLOOKUP(AA171,'Lookup Table'!$J$3:$K$27,2,0)</f>
        <v>1</v>
      </c>
      <c r="BB171" s="37">
        <f t="shared" si="58"/>
        <v>2</v>
      </c>
      <c r="BC171" s="37">
        <f t="shared" si="59"/>
        <v>1</v>
      </c>
      <c r="BD171" s="37">
        <f>IF(AND(K171&lt;'ECL Calculation'!$B$1,'Input Sheet'!W171="No"),3,IF(X171="Yes",2,1))</f>
        <v>1</v>
      </c>
      <c r="BE171" s="37">
        <f t="shared" si="60"/>
        <v>1</v>
      </c>
      <c r="BF171" s="37" t="str">
        <f t="shared" si="61"/>
        <v>Stage 2</v>
      </c>
      <c r="BG171" s="37" t="str">
        <f t="shared" si="62"/>
        <v>No</v>
      </c>
    </row>
    <row r="172" spans="1:59" x14ac:dyDescent="0.2">
      <c r="A172" s="35">
        <f t="shared" si="63"/>
        <v>170</v>
      </c>
      <c r="B172" s="33">
        <v>1178</v>
      </c>
      <c r="C172" s="33" t="s">
        <v>418</v>
      </c>
      <c r="D172" s="33" t="s">
        <v>806</v>
      </c>
      <c r="E172" s="33" t="s">
        <v>480</v>
      </c>
      <c r="F172" s="33" t="s">
        <v>542</v>
      </c>
      <c r="G172" s="117">
        <v>2.5</v>
      </c>
      <c r="H172" s="34">
        <v>40522</v>
      </c>
      <c r="I172" s="34">
        <v>41135</v>
      </c>
      <c r="J172" s="34">
        <v>41135</v>
      </c>
      <c r="K172" s="34">
        <v>47649</v>
      </c>
      <c r="L172" s="34">
        <v>42353</v>
      </c>
      <c r="M172" s="34">
        <v>40709</v>
      </c>
      <c r="N172" s="113">
        <v>15</v>
      </c>
      <c r="O172" s="200">
        <v>367300000</v>
      </c>
      <c r="P172" s="200">
        <v>337629342.37</v>
      </c>
      <c r="Q172" s="200">
        <v>251928342.37</v>
      </c>
      <c r="R172" s="201">
        <v>261575.08</v>
      </c>
      <c r="S172" s="33" t="s">
        <v>22</v>
      </c>
      <c r="T172" s="33" t="s">
        <v>22</v>
      </c>
      <c r="U172" s="33" t="s">
        <v>203</v>
      </c>
      <c r="V172" s="33"/>
      <c r="W172" s="33" t="s">
        <v>210</v>
      </c>
      <c r="X172" s="33" t="s">
        <v>210</v>
      </c>
      <c r="Y172" s="33"/>
      <c r="Z172" s="33" t="s">
        <v>209</v>
      </c>
      <c r="AA172" s="35" t="str">
        <f>_xlfn.IFNA(VLOOKUP(E172,'Lookup Table'!$J$33:$K$176,2,0),"B3")</f>
        <v>Ba1</v>
      </c>
      <c r="AB172" s="35">
        <f>_xlfn.IFNA(VLOOKUP($AA172,'Rating Lookup'!$B$2:$I$27,8,0),15)</f>
        <v>11</v>
      </c>
      <c r="AC172" s="35" t="str">
        <f>_xlfn.IFNA(VLOOKUP(E172,'Lookup Table'!$M$33:$N$173,2,0),"B3")</f>
        <v>Ba1</v>
      </c>
      <c r="AD172" s="35">
        <f>_xlfn.IFNA(VLOOKUP($AC172,'Rating Lookup'!$B$2:$I$27,8,0),15)</f>
        <v>11</v>
      </c>
      <c r="AE172" s="35">
        <f t="shared" si="44"/>
        <v>0</v>
      </c>
      <c r="AG172" s="35" t="str">
        <f t="shared" si="45"/>
        <v>HIGH-SPEED TRAIN - TANGIR - CASABLANCA  .</v>
      </c>
      <c r="AH172" s="35" t="str">
        <f t="shared" si="46"/>
        <v>Government Loan</v>
      </c>
      <c r="AI172" s="202">
        <f>'ECL Calculation'!$B$1</f>
        <v>43465</v>
      </c>
      <c r="AJ172" s="202">
        <f t="shared" si="47"/>
        <v>42353</v>
      </c>
      <c r="AK172" s="202">
        <f t="shared" si="48"/>
        <v>40709</v>
      </c>
      <c r="AL172" s="127">
        <f t="shared" si="49"/>
        <v>15</v>
      </c>
      <c r="AM172" s="192">
        <f>IF(AND(IF(ISBLANK(K172),EOMONTH(AJ172,AL172*12),K172)&lt;'ECL Calculation'!$B$1,SUM('Input Sheet'!Q172,'Input Sheet'!R172)&gt;0),EOMONTH('ECL Calculation'!$B$1,12*5),IF(ISBLANK(K172),EOMONTH(AJ172,AL172*12),K172))</f>
        <v>47649</v>
      </c>
      <c r="AN172" s="203">
        <f t="shared" si="50"/>
        <v>367300000</v>
      </c>
      <c r="AO172" s="203">
        <f t="shared" si="51"/>
        <v>337629342.37</v>
      </c>
      <c r="AP172" s="203">
        <f t="shared" si="52"/>
        <v>29670657.629999995</v>
      </c>
      <c r="AQ172" s="126">
        <f>VLOOKUP(U172,'Lookup Table'!$B$2:$C$10,2,0)</f>
        <v>1</v>
      </c>
      <c r="AR172" s="127">
        <f>VLOOKUP(S172,'Lookup Table'!$B$2:$C$9,2,0)</f>
        <v>2</v>
      </c>
      <c r="AS172" s="127">
        <f>VLOOKUP(T172,'Lookup Table'!$B$2:$C$9,2,0)</f>
        <v>2</v>
      </c>
      <c r="AT172" s="136">
        <f t="shared" si="53"/>
        <v>251928342.37</v>
      </c>
      <c r="AU172" s="128">
        <f t="shared" si="54"/>
        <v>2.5000000000000001E-2</v>
      </c>
      <c r="AV172" s="136">
        <f t="shared" si="55"/>
        <v>261575.08</v>
      </c>
      <c r="AW172" s="37" t="str">
        <f t="shared" si="56"/>
        <v>Ba1</v>
      </c>
      <c r="AX172" s="128">
        <f>VLOOKUP(E172,'Lookup Table'!$B$12:$C$82,2,0)</f>
        <v>3.1662499999999996E-2</v>
      </c>
      <c r="AY172" s="128">
        <f>'Lookup Table'!$E$3</f>
        <v>0.45</v>
      </c>
      <c r="AZ172" s="129" t="str">
        <f t="shared" si="57"/>
        <v>Morocco</v>
      </c>
      <c r="BA172" s="37">
        <f>VLOOKUP(AA172,'Lookup Table'!$J$3:$K$27,2,0)</f>
        <v>1</v>
      </c>
      <c r="BB172" s="37">
        <f t="shared" si="58"/>
        <v>1</v>
      </c>
      <c r="BC172" s="37">
        <f t="shared" si="59"/>
        <v>1</v>
      </c>
      <c r="BD172" s="37">
        <f>IF(AND(K172&lt;'ECL Calculation'!$B$1,'Input Sheet'!W172="No"),3,IF(X172="Yes",2,1))</f>
        <v>1</v>
      </c>
      <c r="BE172" s="37">
        <f t="shared" si="60"/>
        <v>1</v>
      </c>
      <c r="BF172" s="37" t="str">
        <f t="shared" si="61"/>
        <v>Stage 1</v>
      </c>
      <c r="BG172" s="37" t="str">
        <f t="shared" si="62"/>
        <v>Yes</v>
      </c>
    </row>
    <row r="173" spans="1:59" x14ac:dyDescent="0.2">
      <c r="A173" s="35">
        <f t="shared" si="63"/>
        <v>171</v>
      </c>
      <c r="B173" s="33">
        <v>1179</v>
      </c>
      <c r="C173" s="33" t="s">
        <v>419</v>
      </c>
      <c r="D173" s="33" t="s">
        <v>806</v>
      </c>
      <c r="E173" s="33" t="s">
        <v>231</v>
      </c>
      <c r="F173" s="33" t="s">
        <v>542</v>
      </c>
      <c r="G173" s="117">
        <v>4</v>
      </c>
      <c r="H173" s="34">
        <v>40524</v>
      </c>
      <c r="I173" s="34">
        <v>40730</v>
      </c>
      <c r="J173" s="34">
        <v>40730</v>
      </c>
      <c r="K173" s="34">
        <v>45823</v>
      </c>
      <c r="L173" s="34">
        <v>41623</v>
      </c>
      <c r="M173" s="34">
        <v>40709</v>
      </c>
      <c r="N173" s="113">
        <v>12</v>
      </c>
      <c r="O173" s="200">
        <v>183650000</v>
      </c>
      <c r="P173" s="200">
        <v>182693201.84</v>
      </c>
      <c r="Q173" s="200">
        <v>98521201.840000004</v>
      </c>
      <c r="R173" s="201">
        <v>164361.37</v>
      </c>
      <c r="S173" s="33" t="s">
        <v>22</v>
      </c>
      <c r="T173" s="33" t="s">
        <v>22</v>
      </c>
      <c r="U173" s="33" t="s">
        <v>204</v>
      </c>
      <c r="V173" s="33"/>
      <c r="W173" s="33" t="s">
        <v>210</v>
      </c>
      <c r="X173" s="33" t="s">
        <v>210</v>
      </c>
      <c r="Y173" s="33"/>
      <c r="Z173" s="33" t="s">
        <v>209</v>
      </c>
      <c r="AA173" s="35" t="str">
        <f>_xlfn.IFNA(VLOOKUP(E173,'Lookup Table'!$J$33:$K$176,2,0),"B3")</f>
        <v>B2</v>
      </c>
      <c r="AB173" s="35">
        <f>_xlfn.IFNA(VLOOKUP($AA173,'Rating Lookup'!$B$2:$I$27,8,0),15)</f>
        <v>15</v>
      </c>
      <c r="AC173" s="35" t="str">
        <f>_xlfn.IFNA(VLOOKUP(E173,'Lookup Table'!$M$33:$N$173,2,0),"B3")</f>
        <v>B2</v>
      </c>
      <c r="AD173" s="35">
        <f>_xlfn.IFNA(VLOOKUP($AC173,'Rating Lookup'!$B$2:$I$27,8,0),15)</f>
        <v>15</v>
      </c>
      <c r="AE173" s="35">
        <f t="shared" si="44"/>
        <v>0</v>
      </c>
      <c r="AG173" s="35" t="str">
        <f t="shared" si="45"/>
        <v>BANHA ELECTRICAL POWER STATION  .</v>
      </c>
      <c r="AH173" s="35" t="str">
        <f t="shared" si="46"/>
        <v>Government Loan</v>
      </c>
      <c r="AI173" s="202">
        <f>'ECL Calculation'!$B$1</f>
        <v>43465</v>
      </c>
      <c r="AJ173" s="202">
        <f t="shared" si="47"/>
        <v>41623</v>
      </c>
      <c r="AK173" s="202">
        <f t="shared" si="48"/>
        <v>40709</v>
      </c>
      <c r="AL173" s="127">
        <f t="shared" si="49"/>
        <v>12</v>
      </c>
      <c r="AM173" s="192">
        <f>IF(AND(IF(ISBLANK(K173),EOMONTH(AJ173,AL173*12),K173)&lt;'ECL Calculation'!$B$1,SUM('Input Sheet'!Q173,'Input Sheet'!R173)&gt;0),EOMONTH('ECL Calculation'!$B$1,12*5),IF(ISBLANK(K173),EOMONTH(AJ173,AL173*12),K173))</f>
        <v>45823</v>
      </c>
      <c r="AN173" s="203">
        <f t="shared" si="50"/>
        <v>183650000</v>
      </c>
      <c r="AO173" s="203">
        <f t="shared" si="51"/>
        <v>182693201.84</v>
      </c>
      <c r="AP173" s="203">
        <f t="shared" si="52"/>
        <v>956798.15999999642</v>
      </c>
      <c r="AQ173" s="126">
        <f>VLOOKUP(U173,'Lookup Table'!$B$2:$C$10,2,0)</f>
        <v>4</v>
      </c>
      <c r="AR173" s="127">
        <f>VLOOKUP(S173,'Lookup Table'!$B$2:$C$9,2,0)</f>
        <v>2</v>
      </c>
      <c r="AS173" s="127">
        <f>VLOOKUP(T173,'Lookup Table'!$B$2:$C$9,2,0)</f>
        <v>2</v>
      </c>
      <c r="AT173" s="136">
        <f t="shared" si="53"/>
        <v>98521201.840000004</v>
      </c>
      <c r="AU173" s="128">
        <f t="shared" si="54"/>
        <v>0.04</v>
      </c>
      <c r="AV173" s="136">
        <f t="shared" si="55"/>
        <v>164361.37</v>
      </c>
      <c r="AW173" s="37" t="str">
        <f t="shared" si="56"/>
        <v>B2</v>
      </c>
      <c r="AX173" s="128">
        <f>VLOOKUP(E173,'Lookup Table'!$B$12:$C$82,2,0)</f>
        <v>2.8999999999999998E-2</v>
      </c>
      <c r="AY173" s="128">
        <f>'Lookup Table'!$E$3</f>
        <v>0.45</v>
      </c>
      <c r="AZ173" s="129" t="str">
        <f t="shared" si="57"/>
        <v>Egypt</v>
      </c>
      <c r="BA173" s="37">
        <f>VLOOKUP(AA173,'Lookup Table'!$J$3:$K$27,2,0)</f>
        <v>1</v>
      </c>
      <c r="BB173" s="37">
        <f t="shared" si="58"/>
        <v>1</v>
      </c>
      <c r="BC173" s="37">
        <f t="shared" si="59"/>
        <v>1</v>
      </c>
      <c r="BD173" s="37">
        <f>IF(AND(K173&lt;'ECL Calculation'!$B$1,'Input Sheet'!W173="No"),3,IF(X173="Yes",2,1))</f>
        <v>1</v>
      </c>
      <c r="BE173" s="37">
        <f t="shared" si="60"/>
        <v>1</v>
      </c>
      <c r="BF173" s="37" t="str">
        <f t="shared" si="61"/>
        <v>Stage 1</v>
      </c>
      <c r="BG173" s="37" t="str">
        <f t="shared" si="62"/>
        <v>Yes</v>
      </c>
    </row>
    <row r="174" spans="1:59" x14ac:dyDescent="0.2">
      <c r="A174" s="35">
        <f t="shared" si="63"/>
        <v>172</v>
      </c>
      <c r="B174" s="33">
        <v>1180</v>
      </c>
      <c r="C174" s="33" t="s">
        <v>420</v>
      </c>
      <c r="D174" s="33" t="s">
        <v>806</v>
      </c>
      <c r="E174" s="33" t="s">
        <v>524</v>
      </c>
      <c r="F174" s="33" t="s">
        <v>542</v>
      </c>
      <c r="G174" s="117">
        <v>2</v>
      </c>
      <c r="H174" s="34">
        <v>40534</v>
      </c>
      <c r="I174" s="34">
        <v>40794</v>
      </c>
      <c r="J174" s="34">
        <v>40794</v>
      </c>
      <c r="K174" s="34">
        <v>47664</v>
      </c>
      <c r="L174" s="34">
        <v>42368</v>
      </c>
      <c r="M174" s="34">
        <v>40724</v>
      </c>
      <c r="N174" s="113">
        <v>15</v>
      </c>
      <c r="O174" s="200">
        <v>36730000</v>
      </c>
      <c r="P174" s="200">
        <v>26208060.809999999</v>
      </c>
      <c r="Q174" s="200">
        <v>17637960.809999999</v>
      </c>
      <c r="R174" s="201">
        <v>255889.41</v>
      </c>
      <c r="S174" s="33" t="s">
        <v>22</v>
      </c>
      <c r="T174" s="33" t="s">
        <v>22</v>
      </c>
      <c r="U174" s="33" t="s">
        <v>203</v>
      </c>
      <c r="V174" s="33"/>
      <c r="W174" s="33" t="s">
        <v>210</v>
      </c>
      <c r="X174" s="33" t="s">
        <v>210</v>
      </c>
      <c r="Y174" s="33"/>
      <c r="Z174" s="33" t="s">
        <v>209</v>
      </c>
      <c r="AA174" s="35" t="str">
        <f>_xlfn.IFNA(VLOOKUP(E174,'Lookup Table'!$J$33:$K$176,2,0),"B3")</f>
        <v>B3</v>
      </c>
      <c r="AB174" s="35">
        <f>_xlfn.IFNA(VLOOKUP($AA174,'Rating Lookup'!$B$2:$I$27,8,0),15)</f>
        <v>16</v>
      </c>
      <c r="AC174" s="35" t="str">
        <f>_xlfn.IFNA(VLOOKUP(E174,'Lookup Table'!$M$33:$N$173,2,0),"B3")</f>
        <v>B3</v>
      </c>
      <c r="AD174" s="35">
        <f>_xlfn.IFNA(VLOOKUP($AC174,'Rating Lookup'!$B$2:$I$27,8,0),15)</f>
        <v>16</v>
      </c>
      <c r="AE174" s="35">
        <f t="shared" si="44"/>
        <v>0</v>
      </c>
      <c r="AG174" s="35" t="str">
        <f t="shared" si="45"/>
        <v>JENDA - EDINGENI ROAD PROJECT  .</v>
      </c>
      <c r="AH174" s="35" t="str">
        <f t="shared" si="46"/>
        <v>Government Loan</v>
      </c>
      <c r="AI174" s="202">
        <f>'ECL Calculation'!$B$1</f>
        <v>43465</v>
      </c>
      <c r="AJ174" s="202">
        <f t="shared" si="47"/>
        <v>42368</v>
      </c>
      <c r="AK174" s="202">
        <f t="shared" si="48"/>
        <v>40724</v>
      </c>
      <c r="AL174" s="127">
        <f t="shared" si="49"/>
        <v>15</v>
      </c>
      <c r="AM174" s="192">
        <f>IF(AND(IF(ISBLANK(K174),EOMONTH(AJ174,AL174*12),K174)&lt;'ECL Calculation'!$B$1,SUM('Input Sheet'!Q174,'Input Sheet'!R174)&gt;0),EOMONTH('ECL Calculation'!$B$1,12*5),IF(ISBLANK(K174),EOMONTH(AJ174,AL174*12),K174))</f>
        <v>47664</v>
      </c>
      <c r="AN174" s="203">
        <f t="shared" si="50"/>
        <v>36730000</v>
      </c>
      <c r="AO174" s="203">
        <f t="shared" si="51"/>
        <v>26208060.809999999</v>
      </c>
      <c r="AP174" s="203">
        <f t="shared" si="52"/>
        <v>10521939.190000001</v>
      </c>
      <c r="AQ174" s="126">
        <f>VLOOKUP(U174,'Lookup Table'!$B$2:$C$10,2,0)</f>
        <v>1</v>
      </c>
      <c r="AR174" s="127">
        <f>VLOOKUP(S174,'Lookup Table'!$B$2:$C$9,2,0)</f>
        <v>2</v>
      </c>
      <c r="AS174" s="127">
        <f>VLOOKUP(T174,'Lookup Table'!$B$2:$C$9,2,0)</f>
        <v>2</v>
      </c>
      <c r="AT174" s="136">
        <f t="shared" si="53"/>
        <v>17637960.809999999</v>
      </c>
      <c r="AU174" s="128">
        <f t="shared" si="54"/>
        <v>0.02</v>
      </c>
      <c r="AV174" s="136">
        <f t="shared" si="55"/>
        <v>255889.41</v>
      </c>
      <c r="AW174" s="37" t="str">
        <f t="shared" si="56"/>
        <v>B3</v>
      </c>
      <c r="AX174" s="128">
        <f>VLOOKUP(E174,'Lookup Table'!$B$12:$C$82,2,0)</f>
        <v>0.02</v>
      </c>
      <c r="AY174" s="128">
        <f>'Lookup Table'!$E$3</f>
        <v>0.45</v>
      </c>
      <c r="AZ174" s="129" t="str">
        <f t="shared" si="57"/>
        <v>Malawi</v>
      </c>
      <c r="BA174" s="37">
        <f>VLOOKUP(AA174,'Lookup Table'!$J$3:$K$27,2,0)</f>
        <v>1</v>
      </c>
      <c r="BB174" s="37">
        <f t="shared" si="58"/>
        <v>1</v>
      </c>
      <c r="BC174" s="37">
        <f t="shared" si="59"/>
        <v>1</v>
      </c>
      <c r="BD174" s="37">
        <f>IF(AND(K174&lt;'ECL Calculation'!$B$1,'Input Sheet'!W174="No"),3,IF(X174="Yes",2,1))</f>
        <v>1</v>
      </c>
      <c r="BE174" s="37">
        <f t="shared" si="60"/>
        <v>1</v>
      </c>
      <c r="BF174" s="37" t="str">
        <f t="shared" si="61"/>
        <v>Stage 1</v>
      </c>
      <c r="BG174" s="37" t="str">
        <f t="shared" si="62"/>
        <v>Yes</v>
      </c>
    </row>
    <row r="175" spans="1:59" x14ac:dyDescent="0.2">
      <c r="A175" s="35">
        <f t="shared" si="63"/>
        <v>173</v>
      </c>
      <c r="B175" s="33">
        <v>1181</v>
      </c>
      <c r="C175" s="33" t="s">
        <v>421</v>
      </c>
      <c r="D175" s="33" t="s">
        <v>806</v>
      </c>
      <c r="E175" s="33" t="s">
        <v>490</v>
      </c>
      <c r="F175" s="33" t="s">
        <v>542</v>
      </c>
      <c r="G175" s="117">
        <v>2</v>
      </c>
      <c r="H175" s="34">
        <v>40638</v>
      </c>
      <c r="I175" s="34">
        <v>40699</v>
      </c>
      <c r="J175" s="34">
        <v>40699</v>
      </c>
      <c r="K175" s="34">
        <v>47771</v>
      </c>
      <c r="L175" s="34">
        <v>42475</v>
      </c>
      <c r="M175" s="34">
        <v>40648</v>
      </c>
      <c r="N175" s="113">
        <v>15</v>
      </c>
      <c r="O175" s="200">
        <v>36730000</v>
      </c>
      <c r="P175" s="200">
        <v>36717872.960000001</v>
      </c>
      <c r="Q175" s="200">
        <v>29374190.57</v>
      </c>
      <c r="R175" s="201">
        <v>123327.76</v>
      </c>
      <c r="S175" s="33" t="s">
        <v>22</v>
      </c>
      <c r="T175" s="33" t="s">
        <v>22</v>
      </c>
      <c r="U175" s="33" t="s">
        <v>203</v>
      </c>
      <c r="V175" s="33"/>
      <c r="W175" s="33" t="s">
        <v>210</v>
      </c>
      <c r="X175" s="33" t="s">
        <v>210</v>
      </c>
      <c r="Y175" s="33"/>
      <c r="Z175" s="33" t="s">
        <v>209</v>
      </c>
      <c r="AA175" s="35" t="str">
        <f>_xlfn.IFNA(VLOOKUP(E175,'Lookup Table'!$J$33:$K$176,2,0),"B3")</f>
        <v>B3</v>
      </c>
      <c r="AB175" s="35">
        <f>_xlfn.IFNA(VLOOKUP($AA175,'Rating Lookup'!$B$2:$I$27,8,0),15)</f>
        <v>16</v>
      </c>
      <c r="AC175" s="35" t="str">
        <f>_xlfn.IFNA(VLOOKUP(E175,'Lookup Table'!$M$33:$N$173,2,0),"B3")</f>
        <v>B3</v>
      </c>
      <c r="AD175" s="35">
        <f>_xlfn.IFNA(VLOOKUP($AC175,'Rating Lookup'!$B$2:$I$27,8,0),15)</f>
        <v>16</v>
      </c>
      <c r="AE175" s="35">
        <f t="shared" si="44"/>
        <v>0</v>
      </c>
      <c r="AG175" s="35" t="str">
        <f t="shared" si="45"/>
        <v>MANDINABA - SOMA ROAD PROJECT</v>
      </c>
      <c r="AH175" s="35" t="str">
        <f t="shared" si="46"/>
        <v>Government Loan</v>
      </c>
      <c r="AI175" s="202">
        <f>'ECL Calculation'!$B$1</f>
        <v>43465</v>
      </c>
      <c r="AJ175" s="202">
        <f t="shared" si="47"/>
        <v>42475</v>
      </c>
      <c r="AK175" s="202">
        <f t="shared" si="48"/>
        <v>40648</v>
      </c>
      <c r="AL175" s="127">
        <f t="shared" si="49"/>
        <v>15</v>
      </c>
      <c r="AM175" s="192">
        <f>IF(AND(IF(ISBLANK(K175),EOMONTH(AJ175,AL175*12),K175)&lt;'ECL Calculation'!$B$1,SUM('Input Sheet'!Q175,'Input Sheet'!R175)&gt;0),EOMONTH('ECL Calculation'!$B$1,12*5),IF(ISBLANK(K175),EOMONTH(AJ175,AL175*12),K175))</f>
        <v>47771</v>
      </c>
      <c r="AN175" s="203">
        <f t="shared" si="50"/>
        <v>36730000</v>
      </c>
      <c r="AO175" s="203">
        <f t="shared" si="51"/>
        <v>36717872.960000001</v>
      </c>
      <c r="AP175" s="203">
        <f t="shared" si="52"/>
        <v>12127.039999999106</v>
      </c>
      <c r="AQ175" s="126">
        <f>VLOOKUP(U175,'Lookup Table'!$B$2:$C$10,2,0)</f>
        <v>1</v>
      </c>
      <c r="AR175" s="127">
        <f>VLOOKUP(S175,'Lookup Table'!$B$2:$C$9,2,0)</f>
        <v>2</v>
      </c>
      <c r="AS175" s="127">
        <f>VLOOKUP(T175,'Lookup Table'!$B$2:$C$9,2,0)</f>
        <v>2</v>
      </c>
      <c r="AT175" s="136">
        <f t="shared" si="53"/>
        <v>29374190.57</v>
      </c>
      <c r="AU175" s="128">
        <f t="shared" si="54"/>
        <v>0.02</v>
      </c>
      <c r="AV175" s="136">
        <f t="shared" si="55"/>
        <v>123327.76</v>
      </c>
      <c r="AW175" s="37" t="str">
        <f t="shared" si="56"/>
        <v>B3</v>
      </c>
      <c r="AX175" s="128">
        <f>VLOOKUP(E175,'Lookup Table'!$B$12:$C$82,2,0)</f>
        <v>2.5000000000000001E-2</v>
      </c>
      <c r="AY175" s="128">
        <f>'Lookup Table'!$E$3</f>
        <v>0.45</v>
      </c>
      <c r="AZ175" s="129" t="str">
        <f t="shared" si="57"/>
        <v>Gambia</v>
      </c>
      <c r="BA175" s="37">
        <f>VLOOKUP(AA175,'Lookup Table'!$J$3:$K$27,2,0)</f>
        <v>1</v>
      </c>
      <c r="BB175" s="37">
        <f t="shared" si="58"/>
        <v>1</v>
      </c>
      <c r="BC175" s="37">
        <f t="shared" si="59"/>
        <v>1</v>
      </c>
      <c r="BD175" s="37">
        <f>IF(AND(K175&lt;'ECL Calculation'!$B$1,'Input Sheet'!W175="No"),3,IF(X175="Yes",2,1))</f>
        <v>1</v>
      </c>
      <c r="BE175" s="37">
        <f t="shared" si="60"/>
        <v>1</v>
      </c>
      <c r="BF175" s="37" t="str">
        <f t="shared" si="61"/>
        <v>Stage 1</v>
      </c>
      <c r="BG175" s="37" t="str">
        <f t="shared" si="62"/>
        <v>Yes</v>
      </c>
    </row>
    <row r="176" spans="1:59" x14ac:dyDescent="0.2">
      <c r="A176" s="35">
        <f t="shared" si="63"/>
        <v>174</v>
      </c>
      <c r="B176" s="33">
        <v>1182</v>
      </c>
      <c r="C176" s="33" t="s">
        <v>422</v>
      </c>
      <c r="D176" s="33" t="s">
        <v>806</v>
      </c>
      <c r="E176" s="33" t="s">
        <v>19</v>
      </c>
      <c r="F176" s="33" t="s">
        <v>542</v>
      </c>
      <c r="G176" s="117">
        <v>0</v>
      </c>
      <c r="H176" s="34">
        <v>40669</v>
      </c>
      <c r="I176" s="34">
        <v>41116</v>
      </c>
      <c r="J176" s="34">
        <v>41116</v>
      </c>
      <c r="K176" s="34">
        <v>47072</v>
      </c>
      <c r="L176" s="34">
        <v>42750</v>
      </c>
      <c r="M176" s="34">
        <v>40862</v>
      </c>
      <c r="N176" s="113">
        <v>15</v>
      </c>
      <c r="O176" s="200">
        <v>44340000</v>
      </c>
      <c r="P176" s="200">
        <v>39138281.640000001</v>
      </c>
      <c r="Q176" s="200">
        <v>33226281.640000001</v>
      </c>
      <c r="R176" s="201">
        <v>0</v>
      </c>
      <c r="S176" s="33" t="s">
        <v>22</v>
      </c>
      <c r="T176" s="33" t="s">
        <v>22</v>
      </c>
      <c r="U176" s="33" t="s">
        <v>206</v>
      </c>
      <c r="V176" s="33"/>
      <c r="W176" s="33" t="s">
        <v>210</v>
      </c>
      <c r="X176" s="33" t="s">
        <v>210</v>
      </c>
      <c r="Y176" s="33"/>
      <c r="Z176" s="33" t="s">
        <v>209</v>
      </c>
      <c r="AA176" s="35" t="str">
        <f>_xlfn.IFNA(VLOOKUP(E176,'Lookup Table'!$J$33:$K$176,2,0),"B3")</f>
        <v>B2</v>
      </c>
      <c r="AB176" s="35">
        <f>_xlfn.IFNA(VLOOKUP($AA176,'Rating Lookup'!$B$2:$I$27,8,0),15)</f>
        <v>15</v>
      </c>
      <c r="AC176" s="35" t="str">
        <f>_xlfn.IFNA(VLOOKUP(E176,'Lookup Table'!$M$33:$N$173,2,0),"B3")</f>
        <v>Baa1</v>
      </c>
      <c r="AD176" s="35">
        <f>_xlfn.IFNA(VLOOKUP($AC176,'Rating Lookup'!$B$2:$I$27,8,0),15)</f>
        <v>8</v>
      </c>
      <c r="AE176" s="35">
        <f t="shared" si="44"/>
        <v>7</v>
      </c>
      <c r="AG176" s="35" t="str">
        <f t="shared" si="45"/>
        <v>CONSTRUCTION OF THE BAHRAIN'S EMBASSY COMPLEX</v>
      </c>
      <c r="AH176" s="35" t="str">
        <f t="shared" si="46"/>
        <v>Government Loan</v>
      </c>
      <c r="AI176" s="202">
        <f>'ECL Calculation'!$B$1</f>
        <v>43465</v>
      </c>
      <c r="AJ176" s="202">
        <f t="shared" si="47"/>
        <v>42750</v>
      </c>
      <c r="AK176" s="202">
        <f t="shared" si="48"/>
        <v>40862</v>
      </c>
      <c r="AL176" s="127">
        <f t="shared" si="49"/>
        <v>15</v>
      </c>
      <c r="AM176" s="192">
        <f>IF(AND(IF(ISBLANK(K176),EOMONTH(AJ176,AL176*12),K176)&lt;'ECL Calculation'!$B$1,SUM('Input Sheet'!Q176,'Input Sheet'!R176)&gt;0),EOMONTH('ECL Calculation'!$B$1,12*5),IF(ISBLANK(K176),EOMONTH(AJ176,AL176*12),K176))</f>
        <v>47072</v>
      </c>
      <c r="AN176" s="203">
        <f t="shared" si="50"/>
        <v>44340000</v>
      </c>
      <c r="AO176" s="203">
        <f t="shared" si="51"/>
        <v>39138281.640000001</v>
      </c>
      <c r="AP176" s="203">
        <f t="shared" si="52"/>
        <v>5201718.3599999994</v>
      </c>
      <c r="AQ176" s="126">
        <f>VLOOKUP(U176,'Lookup Table'!$B$2:$C$10,2,0)</f>
        <v>12</v>
      </c>
      <c r="AR176" s="127">
        <f>VLOOKUP(S176,'Lookup Table'!$B$2:$C$9,2,0)</f>
        <v>2</v>
      </c>
      <c r="AS176" s="127">
        <f>VLOOKUP(T176,'Lookup Table'!$B$2:$C$9,2,0)</f>
        <v>2</v>
      </c>
      <c r="AT176" s="136">
        <f t="shared" si="53"/>
        <v>33226281.640000001</v>
      </c>
      <c r="AU176" s="128">
        <f t="shared" si="54"/>
        <v>0</v>
      </c>
      <c r="AV176" s="136">
        <f t="shared" si="55"/>
        <v>0</v>
      </c>
      <c r="AW176" s="37" t="str">
        <f t="shared" si="56"/>
        <v>B2</v>
      </c>
      <c r="AX176" s="128">
        <f>VLOOKUP(E176,'Lookup Table'!$B$12:$C$82,2,0)</f>
        <v>3.6111111111111115E-2</v>
      </c>
      <c r="AY176" s="128">
        <f>'Lookup Table'!$E$3</f>
        <v>0.45</v>
      </c>
      <c r="AZ176" s="129" t="str">
        <f t="shared" si="57"/>
        <v>Bahrain</v>
      </c>
      <c r="BA176" s="37">
        <f>VLOOKUP(AA176,'Lookup Table'!$J$3:$K$27,2,0)</f>
        <v>1</v>
      </c>
      <c r="BB176" s="37">
        <f t="shared" si="58"/>
        <v>2</v>
      </c>
      <c r="BC176" s="37">
        <f t="shared" si="59"/>
        <v>1</v>
      </c>
      <c r="BD176" s="37">
        <f>IF(AND(K176&lt;'ECL Calculation'!$B$1,'Input Sheet'!W176="No"),3,IF(X176="Yes",2,1))</f>
        <v>1</v>
      </c>
      <c r="BE176" s="37">
        <f t="shared" si="60"/>
        <v>1</v>
      </c>
      <c r="BF176" s="37" t="str">
        <f t="shared" si="61"/>
        <v>Stage 2</v>
      </c>
      <c r="BG176" s="37" t="str">
        <f t="shared" si="62"/>
        <v>Yes</v>
      </c>
    </row>
    <row r="177" spans="1:59" x14ac:dyDescent="0.2">
      <c r="A177" s="35">
        <f t="shared" si="63"/>
        <v>175</v>
      </c>
      <c r="B177" s="33">
        <v>1183</v>
      </c>
      <c r="C177" s="33" t="s">
        <v>423</v>
      </c>
      <c r="D177" s="33" t="s">
        <v>806</v>
      </c>
      <c r="E177" s="33" t="s">
        <v>519</v>
      </c>
      <c r="F177" s="33" t="s">
        <v>542</v>
      </c>
      <c r="G177" s="117">
        <v>6</v>
      </c>
      <c r="H177" s="34">
        <v>40708</v>
      </c>
      <c r="I177" s="34">
        <v>40790</v>
      </c>
      <c r="J177" s="34">
        <v>40790</v>
      </c>
      <c r="K177" s="34">
        <v>45915</v>
      </c>
      <c r="L177" s="34">
        <v>41713</v>
      </c>
      <c r="M177" s="34">
        <v>40801</v>
      </c>
      <c r="N177" s="113">
        <v>12</v>
      </c>
      <c r="O177" s="200">
        <v>222618082.16</v>
      </c>
      <c r="P177" s="200">
        <v>222618082.16</v>
      </c>
      <c r="Q177" s="200">
        <v>129702082.16</v>
      </c>
      <c r="R177" s="201">
        <v>1755535.47</v>
      </c>
      <c r="S177" s="33" t="s">
        <v>22</v>
      </c>
      <c r="T177" s="33" t="s">
        <v>22</v>
      </c>
      <c r="U177" s="33" t="s">
        <v>203</v>
      </c>
      <c r="V177" s="33" t="s">
        <v>700</v>
      </c>
      <c r="W177" s="33" t="s">
        <v>210</v>
      </c>
      <c r="X177" s="33" t="s">
        <v>210</v>
      </c>
      <c r="Y177" s="33"/>
      <c r="Z177" s="33" t="s">
        <v>209</v>
      </c>
      <c r="AA177" s="35" t="str">
        <f>_xlfn.IFNA(VLOOKUP(E177,'Lookup Table'!$J$33:$K$176,2,0),"B3")</f>
        <v>Ba2</v>
      </c>
      <c r="AB177" s="35">
        <f>_xlfn.IFNA(VLOOKUP($AA177,'Rating Lookup'!$B$2:$I$27,8,0),15)</f>
        <v>12</v>
      </c>
      <c r="AC177" s="35" t="str">
        <f>_xlfn.IFNA(VLOOKUP(E177,'Lookup Table'!$M$33:$N$173,2,0),"B3")</f>
        <v>Baa3</v>
      </c>
      <c r="AD177" s="35">
        <f>_xlfn.IFNA(VLOOKUP($AC177,'Rating Lookup'!$B$2:$I$27,8,0),15)</f>
        <v>10</v>
      </c>
      <c r="AE177" s="35">
        <f t="shared" si="44"/>
        <v>2</v>
      </c>
      <c r="AG177" s="35" t="str">
        <f t="shared" si="45"/>
        <v>JANUB THERMAL POWER PLANT PROJECT</v>
      </c>
      <c r="AH177" s="35" t="str">
        <f t="shared" si="46"/>
        <v>Government Loan</v>
      </c>
      <c r="AI177" s="202">
        <f>'ECL Calculation'!$B$1</f>
        <v>43465</v>
      </c>
      <c r="AJ177" s="202">
        <f t="shared" si="47"/>
        <v>41713</v>
      </c>
      <c r="AK177" s="202">
        <f t="shared" si="48"/>
        <v>40801</v>
      </c>
      <c r="AL177" s="127">
        <f t="shared" si="49"/>
        <v>12</v>
      </c>
      <c r="AM177" s="192">
        <f>IF(AND(IF(ISBLANK(K177),EOMONTH(AJ177,AL177*12),K177)&lt;'ECL Calculation'!$B$1,SUM('Input Sheet'!Q177,'Input Sheet'!R177)&gt;0),EOMONTH('ECL Calculation'!$B$1,12*5),IF(ISBLANK(K177),EOMONTH(AJ177,AL177*12),K177))</f>
        <v>45915</v>
      </c>
      <c r="AN177" s="203">
        <f t="shared" si="50"/>
        <v>222618082.16</v>
      </c>
      <c r="AO177" s="203">
        <f t="shared" si="51"/>
        <v>222618082.16</v>
      </c>
      <c r="AP177" s="203">
        <f t="shared" si="52"/>
        <v>0</v>
      </c>
      <c r="AQ177" s="126">
        <f>VLOOKUP(U177,'Lookup Table'!$B$2:$C$10,2,0)</f>
        <v>1</v>
      </c>
      <c r="AR177" s="127">
        <f>VLOOKUP(S177,'Lookup Table'!$B$2:$C$9,2,0)</f>
        <v>2</v>
      </c>
      <c r="AS177" s="127">
        <f>VLOOKUP(T177,'Lookup Table'!$B$2:$C$9,2,0)</f>
        <v>2</v>
      </c>
      <c r="AT177" s="136">
        <f t="shared" si="53"/>
        <v>129702082.16</v>
      </c>
      <c r="AU177" s="128">
        <f t="shared" si="54"/>
        <v>0.06</v>
      </c>
      <c r="AV177" s="136">
        <f t="shared" si="55"/>
        <v>1755535.47</v>
      </c>
      <c r="AW177" s="37" t="str">
        <f t="shared" si="56"/>
        <v>Ba2</v>
      </c>
      <c r="AX177" s="128">
        <f>VLOOKUP(E177,'Lookup Table'!$B$12:$C$82,2,0)</f>
        <v>4.2500000000000003E-2</v>
      </c>
      <c r="AY177" s="128">
        <f>'Lookup Table'!$E$3</f>
        <v>0.45</v>
      </c>
      <c r="AZ177" s="129" t="str">
        <f t="shared" si="57"/>
        <v>Azerbaijan</v>
      </c>
      <c r="BA177" s="37">
        <f>VLOOKUP(AA177,'Lookup Table'!$J$3:$K$27,2,0)</f>
        <v>1</v>
      </c>
      <c r="BB177" s="37">
        <f t="shared" si="58"/>
        <v>2</v>
      </c>
      <c r="BC177" s="37">
        <f t="shared" si="59"/>
        <v>1</v>
      </c>
      <c r="BD177" s="37">
        <f>IF(AND(K177&lt;'ECL Calculation'!$B$1,'Input Sheet'!W177="No"),3,IF(X177="Yes",2,1))</f>
        <v>1</v>
      </c>
      <c r="BE177" s="37">
        <f t="shared" si="60"/>
        <v>1</v>
      </c>
      <c r="BF177" s="37" t="str">
        <f t="shared" si="61"/>
        <v>Stage 2</v>
      </c>
      <c r="BG177" s="37" t="str">
        <f t="shared" si="62"/>
        <v>Yes</v>
      </c>
    </row>
    <row r="178" spans="1:59" x14ac:dyDescent="0.2">
      <c r="A178" s="35">
        <f t="shared" si="63"/>
        <v>176</v>
      </c>
      <c r="B178" s="33">
        <v>1184</v>
      </c>
      <c r="C178" s="33" t="s">
        <v>424</v>
      </c>
      <c r="D178" s="33" t="s">
        <v>806</v>
      </c>
      <c r="E178" s="33" t="s">
        <v>482</v>
      </c>
      <c r="F178" s="33" t="s">
        <v>542</v>
      </c>
      <c r="G178" s="117">
        <v>2</v>
      </c>
      <c r="H178" s="34">
        <v>40864</v>
      </c>
      <c r="I178" s="34">
        <v>40932</v>
      </c>
      <c r="J178" s="34">
        <v>40932</v>
      </c>
      <c r="K178" s="34">
        <v>47894</v>
      </c>
      <c r="L178" s="34">
        <v>42597</v>
      </c>
      <c r="M178" s="34">
        <v>40954</v>
      </c>
      <c r="N178" s="113">
        <v>15</v>
      </c>
      <c r="O178" s="200">
        <v>115300000</v>
      </c>
      <c r="P178" s="200">
        <v>108699856.23999999</v>
      </c>
      <c r="Q178" s="200">
        <v>89484856.239999995</v>
      </c>
      <c r="R178" s="201">
        <v>660262.1</v>
      </c>
      <c r="S178" s="33" t="s">
        <v>22</v>
      </c>
      <c r="T178" s="33" t="s">
        <v>22</v>
      </c>
      <c r="U178" s="33" t="s">
        <v>204</v>
      </c>
      <c r="V178" s="33"/>
      <c r="W178" s="33" t="s">
        <v>210</v>
      </c>
      <c r="X178" s="33" t="s">
        <v>210</v>
      </c>
      <c r="Y178" s="33"/>
      <c r="Z178" s="33" t="s">
        <v>209</v>
      </c>
      <c r="AA178" s="35" t="str">
        <f>_xlfn.IFNA(VLOOKUP(E178,'Lookup Table'!$J$33:$K$176,2,0),"B3")</f>
        <v>Ba3</v>
      </c>
      <c r="AB178" s="35">
        <f>_xlfn.IFNA(VLOOKUP($AA178,'Rating Lookup'!$B$2:$I$27,8,0),15)</f>
        <v>13</v>
      </c>
      <c r="AC178" s="35" t="str">
        <f>_xlfn.IFNA(VLOOKUP(E178,'Lookup Table'!$M$33:$N$173,2,0),"B3")</f>
        <v>Ba3</v>
      </c>
      <c r="AD178" s="35">
        <f>_xlfn.IFNA(VLOOKUP($AC178,'Rating Lookup'!$B$2:$I$27,8,0),15)</f>
        <v>13</v>
      </c>
      <c r="AE178" s="35">
        <f t="shared" si="44"/>
        <v>0</v>
      </c>
      <c r="AG178" s="35" t="str">
        <f t="shared" si="45"/>
        <v>CONSTRUCTION OF SHIKALBAHA 225 MW DUAL FUEL (GAS &amp; FO) COMBINED CYCLE POWER PLANT PROJECT</v>
      </c>
      <c r="AH178" s="35" t="str">
        <f t="shared" si="46"/>
        <v>Government Loan</v>
      </c>
      <c r="AI178" s="202">
        <f>'ECL Calculation'!$B$1</f>
        <v>43465</v>
      </c>
      <c r="AJ178" s="202">
        <f t="shared" si="47"/>
        <v>42597</v>
      </c>
      <c r="AK178" s="202">
        <f t="shared" si="48"/>
        <v>40954</v>
      </c>
      <c r="AL178" s="127">
        <f t="shared" si="49"/>
        <v>15</v>
      </c>
      <c r="AM178" s="192">
        <f>IF(AND(IF(ISBLANK(K178),EOMONTH(AJ178,AL178*12),K178)&lt;'ECL Calculation'!$B$1,SUM('Input Sheet'!Q178,'Input Sheet'!R178)&gt;0),EOMONTH('ECL Calculation'!$B$1,12*5),IF(ISBLANK(K178),EOMONTH(AJ178,AL178*12),K178))</f>
        <v>47894</v>
      </c>
      <c r="AN178" s="203">
        <f t="shared" si="50"/>
        <v>115300000</v>
      </c>
      <c r="AO178" s="203">
        <f t="shared" si="51"/>
        <v>108699856.23999999</v>
      </c>
      <c r="AP178" s="203">
        <f t="shared" si="52"/>
        <v>6600143.7600000054</v>
      </c>
      <c r="AQ178" s="126">
        <f>VLOOKUP(U178,'Lookup Table'!$B$2:$C$10,2,0)</f>
        <v>4</v>
      </c>
      <c r="AR178" s="127">
        <f>VLOOKUP(S178,'Lookup Table'!$B$2:$C$9,2,0)</f>
        <v>2</v>
      </c>
      <c r="AS178" s="127">
        <f>VLOOKUP(T178,'Lookup Table'!$B$2:$C$9,2,0)</f>
        <v>2</v>
      </c>
      <c r="AT178" s="136">
        <f t="shared" si="53"/>
        <v>89484856.239999995</v>
      </c>
      <c r="AU178" s="128">
        <f t="shared" si="54"/>
        <v>0.02</v>
      </c>
      <c r="AV178" s="136">
        <f t="shared" si="55"/>
        <v>660262.1</v>
      </c>
      <c r="AW178" s="37" t="str">
        <f t="shared" si="56"/>
        <v>Ba3</v>
      </c>
      <c r="AX178" s="128">
        <f>VLOOKUP(E178,'Lookup Table'!$B$12:$C$82,2,0)</f>
        <v>3.3333333333333333E-2</v>
      </c>
      <c r="AY178" s="128">
        <f>'Lookup Table'!$E$3</f>
        <v>0.45</v>
      </c>
      <c r="AZ178" s="129" t="str">
        <f t="shared" si="57"/>
        <v>Bangladesh</v>
      </c>
      <c r="BA178" s="37">
        <f>VLOOKUP(AA178,'Lookup Table'!$J$3:$K$27,2,0)</f>
        <v>1</v>
      </c>
      <c r="BB178" s="37">
        <f t="shared" si="58"/>
        <v>1</v>
      </c>
      <c r="BC178" s="37">
        <f t="shared" si="59"/>
        <v>1</v>
      </c>
      <c r="BD178" s="37">
        <f>IF(AND(K178&lt;'ECL Calculation'!$B$1,'Input Sheet'!W178="No"),3,IF(X178="Yes",2,1))</f>
        <v>1</v>
      </c>
      <c r="BE178" s="37">
        <f t="shared" si="60"/>
        <v>1</v>
      </c>
      <c r="BF178" s="37" t="str">
        <f t="shared" si="61"/>
        <v>Stage 1</v>
      </c>
      <c r="BG178" s="37" t="str">
        <f t="shared" si="62"/>
        <v>Yes</v>
      </c>
    </row>
    <row r="179" spans="1:59" x14ac:dyDescent="0.2">
      <c r="A179" s="35">
        <f t="shared" si="63"/>
        <v>177</v>
      </c>
      <c r="B179" s="33">
        <v>1185</v>
      </c>
      <c r="C179" s="33" t="s">
        <v>425</v>
      </c>
      <c r="D179" s="33" t="s">
        <v>806</v>
      </c>
      <c r="E179" s="33" t="s">
        <v>506</v>
      </c>
      <c r="F179" s="33" t="s">
        <v>542</v>
      </c>
      <c r="G179" s="117">
        <v>2</v>
      </c>
      <c r="H179" s="34">
        <v>40889</v>
      </c>
      <c r="I179" s="34">
        <v>43090</v>
      </c>
      <c r="J179" s="34">
        <v>43090</v>
      </c>
      <c r="K179" s="34">
        <v>48014</v>
      </c>
      <c r="L179" s="34">
        <v>42719</v>
      </c>
      <c r="M179" s="34">
        <v>41075</v>
      </c>
      <c r="N179" s="113">
        <v>15</v>
      </c>
      <c r="O179" s="200">
        <v>36730000</v>
      </c>
      <c r="P179" s="200">
        <v>0</v>
      </c>
      <c r="Q179" s="200">
        <v>0</v>
      </c>
      <c r="R179" s="201">
        <v>0</v>
      </c>
      <c r="S179" s="33" t="s">
        <v>22</v>
      </c>
      <c r="T179" s="33" t="s">
        <v>22</v>
      </c>
      <c r="U179" s="33" t="s">
        <v>203</v>
      </c>
      <c r="V179" s="33"/>
      <c r="W179" s="33" t="s">
        <v>210</v>
      </c>
      <c r="X179" s="33" t="s">
        <v>210</v>
      </c>
      <c r="Y179" s="33" t="s">
        <v>209</v>
      </c>
      <c r="Z179" s="33" t="s">
        <v>209</v>
      </c>
      <c r="AA179" s="35" t="str">
        <f>_xlfn.IFNA(VLOOKUP(E179,'Lookup Table'!$J$33:$K$176,2,0),"B3")</f>
        <v>B3</v>
      </c>
      <c r="AB179" s="35">
        <f>_xlfn.IFNA(VLOOKUP($AA179,'Rating Lookup'!$B$2:$I$27,8,0),15)</f>
        <v>16</v>
      </c>
      <c r="AC179" s="35" t="str">
        <f>_xlfn.IFNA(VLOOKUP(E179,'Lookup Table'!$M$33:$N$173,2,0),"B3")</f>
        <v>B3</v>
      </c>
      <c r="AD179" s="35">
        <f>_xlfn.IFNA(VLOOKUP($AC179,'Rating Lookup'!$B$2:$I$27,8,0),15)</f>
        <v>16</v>
      </c>
      <c r="AE179" s="35">
        <f t="shared" si="44"/>
        <v>0</v>
      </c>
      <c r="AG179" s="35" t="str">
        <f t="shared" si="45"/>
        <v>KANDADJI DAM PHASE 1</v>
      </c>
      <c r="AH179" s="35" t="str">
        <f t="shared" si="46"/>
        <v>Government Loan</v>
      </c>
      <c r="AI179" s="202">
        <f>'ECL Calculation'!$B$1</f>
        <v>43465</v>
      </c>
      <c r="AJ179" s="202">
        <f t="shared" si="47"/>
        <v>42719</v>
      </c>
      <c r="AK179" s="202">
        <f t="shared" si="48"/>
        <v>41075</v>
      </c>
      <c r="AL179" s="127">
        <f t="shared" si="49"/>
        <v>15</v>
      </c>
      <c r="AM179" s="192">
        <f>IF(AND(IF(ISBLANK(K179),EOMONTH(AJ179,AL179*12),K179)&lt;'ECL Calculation'!$B$1,SUM('Input Sheet'!Q179,'Input Sheet'!R179)&gt;0),EOMONTH('ECL Calculation'!$B$1,12*5),IF(ISBLANK(K179),EOMONTH(AJ179,AL179*12),K179))</f>
        <v>48014</v>
      </c>
      <c r="AN179" s="203">
        <f t="shared" si="50"/>
        <v>36730000</v>
      </c>
      <c r="AO179" s="203">
        <f t="shared" si="51"/>
        <v>0</v>
      </c>
      <c r="AP179" s="203">
        <f t="shared" si="52"/>
        <v>36730000</v>
      </c>
      <c r="AQ179" s="126">
        <f>VLOOKUP(U179,'Lookup Table'!$B$2:$C$10,2,0)</f>
        <v>1</v>
      </c>
      <c r="AR179" s="127">
        <f>VLOOKUP(S179,'Lookup Table'!$B$2:$C$9,2,0)</f>
        <v>2</v>
      </c>
      <c r="AS179" s="127">
        <f>VLOOKUP(T179,'Lookup Table'!$B$2:$C$9,2,0)</f>
        <v>2</v>
      </c>
      <c r="AT179" s="136">
        <f t="shared" si="53"/>
        <v>0</v>
      </c>
      <c r="AU179" s="128">
        <f t="shared" si="54"/>
        <v>0.02</v>
      </c>
      <c r="AV179" s="136">
        <f t="shared" si="55"/>
        <v>0</v>
      </c>
      <c r="AW179" s="37" t="str">
        <f t="shared" si="56"/>
        <v>B3</v>
      </c>
      <c r="AX179" s="128">
        <f>VLOOKUP(E179,'Lookup Table'!$B$12:$C$82,2,0)</f>
        <v>2.2499999999999999E-2</v>
      </c>
      <c r="AY179" s="128">
        <f>'Lookup Table'!$E$3</f>
        <v>0.45</v>
      </c>
      <c r="AZ179" s="129" t="str">
        <f t="shared" si="57"/>
        <v>Niger</v>
      </c>
      <c r="BA179" s="37">
        <f>VLOOKUP(AA179,'Lookup Table'!$J$3:$K$27,2,0)</f>
        <v>1</v>
      </c>
      <c r="BB179" s="37">
        <f t="shared" si="58"/>
        <v>1</v>
      </c>
      <c r="BC179" s="37">
        <f t="shared" si="59"/>
        <v>1</v>
      </c>
      <c r="BD179" s="37">
        <f>IF(AND(K179&lt;'ECL Calculation'!$B$1,'Input Sheet'!W179="No"),3,IF(X179="Yes",2,1))</f>
        <v>1</v>
      </c>
      <c r="BE179" s="37">
        <f t="shared" si="60"/>
        <v>3</v>
      </c>
      <c r="BF179" s="37" t="str">
        <f t="shared" si="61"/>
        <v>Stage 3</v>
      </c>
      <c r="BG179" s="37" t="str">
        <f t="shared" si="62"/>
        <v>No</v>
      </c>
    </row>
    <row r="180" spans="1:59" x14ac:dyDescent="0.2">
      <c r="A180" s="35">
        <f t="shared" si="63"/>
        <v>178</v>
      </c>
      <c r="B180" s="33">
        <v>1186</v>
      </c>
      <c r="C180" s="33" t="s">
        <v>426</v>
      </c>
      <c r="D180" s="33" t="s">
        <v>806</v>
      </c>
      <c r="E180" s="33" t="s">
        <v>525</v>
      </c>
      <c r="F180" s="33" t="s">
        <v>542</v>
      </c>
      <c r="G180" s="117">
        <v>5</v>
      </c>
      <c r="H180" s="34">
        <v>40890</v>
      </c>
      <c r="I180" s="34">
        <v>41004</v>
      </c>
      <c r="J180" s="34">
        <v>41004</v>
      </c>
      <c r="K180" s="34">
        <v>46111</v>
      </c>
      <c r="L180" s="34">
        <v>41912</v>
      </c>
      <c r="M180" s="34">
        <v>40998</v>
      </c>
      <c r="N180" s="113">
        <v>12</v>
      </c>
      <c r="O180" s="200">
        <v>183650000</v>
      </c>
      <c r="P180" s="200">
        <v>183336506.21000001</v>
      </c>
      <c r="Q180" s="200">
        <v>114468506.20999999</v>
      </c>
      <c r="R180" s="201">
        <v>1427667.93</v>
      </c>
      <c r="S180" s="33" t="s">
        <v>22</v>
      </c>
      <c r="T180" s="33" t="s">
        <v>22</v>
      </c>
      <c r="U180" s="33" t="s">
        <v>203</v>
      </c>
      <c r="V180" s="33"/>
      <c r="W180" s="33" t="s">
        <v>210</v>
      </c>
      <c r="X180" s="33" t="s">
        <v>210</v>
      </c>
      <c r="Y180" s="33"/>
      <c r="Z180" s="33" t="s">
        <v>209</v>
      </c>
      <c r="AA180" s="35" t="str">
        <f>_xlfn.IFNA(VLOOKUP(E180,'Lookup Table'!$J$33:$K$176,2,0),"B3")</f>
        <v>B1</v>
      </c>
      <c r="AB180" s="35">
        <f>_xlfn.IFNA(VLOOKUP($AA180,'Rating Lookup'!$B$2:$I$27,8,0),15)</f>
        <v>14</v>
      </c>
      <c r="AC180" s="35" t="str">
        <f>_xlfn.IFNA(VLOOKUP(E180,'Lookup Table'!$M$33:$N$173,2,0),"B3")</f>
        <v>B1</v>
      </c>
      <c r="AD180" s="35">
        <f>_xlfn.IFNA(VLOOKUP($AC180,'Rating Lookup'!$B$2:$I$27,8,0),15)</f>
        <v>14</v>
      </c>
      <c r="AE180" s="35">
        <f t="shared" si="44"/>
        <v>0</v>
      </c>
      <c r="AG180" s="35" t="str">
        <f t="shared" si="45"/>
        <v>TIRANA- ELBASAN ROAD PROJECT</v>
      </c>
      <c r="AH180" s="35" t="str">
        <f t="shared" si="46"/>
        <v>Government Loan</v>
      </c>
      <c r="AI180" s="202">
        <f>'ECL Calculation'!$B$1</f>
        <v>43465</v>
      </c>
      <c r="AJ180" s="202">
        <f t="shared" si="47"/>
        <v>41912</v>
      </c>
      <c r="AK180" s="202">
        <f t="shared" si="48"/>
        <v>40998</v>
      </c>
      <c r="AL180" s="127">
        <f t="shared" si="49"/>
        <v>12</v>
      </c>
      <c r="AM180" s="192">
        <f>IF(AND(IF(ISBLANK(K180),EOMONTH(AJ180,AL180*12),K180)&lt;'ECL Calculation'!$B$1,SUM('Input Sheet'!Q180,'Input Sheet'!R180)&gt;0),EOMONTH('ECL Calculation'!$B$1,12*5),IF(ISBLANK(K180),EOMONTH(AJ180,AL180*12),K180))</f>
        <v>46111</v>
      </c>
      <c r="AN180" s="203">
        <f t="shared" si="50"/>
        <v>183650000</v>
      </c>
      <c r="AO180" s="203">
        <f t="shared" si="51"/>
        <v>183336506.21000001</v>
      </c>
      <c r="AP180" s="203">
        <f t="shared" si="52"/>
        <v>313493.78999999166</v>
      </c>
      <c r="AQ180" s="126">
        <f>VLOOKUP(U180,'Lookup Table'!$B$2:$C$10,2,0)</f>
        <v>1</v>
      </c>
      <c r="AR180" s="127">
        <f>VLOOKUP(S180,'Lookup Table'!$B$2:$C$9,2,0)</f>
        <v>2</v>
      </c>
      <c r="AS180" s="127">
        <f>VLOOKUP(T180,'Lookup Table'!$B$2:$C$9,2,0)</f>
        <v>2</v>
      </c>
      <c r="AT180" s="136">
        <f t="shared" si="53"/>
        <v>114468506.20999999</v>
      </c>
      <c r="AU180" s="128">
        <f t="shared" si="54"/>
        <v>0.05</v>
      </c>
      <c r="AV180" s="136">
        <f t="shared" si="55"/>
        <v>1427667.93</v>
      </c>
      <c r="AW180" s="37" t="str">
        <f t="shared" si="56"/>
        <v>B1</v>
      </c>
      <c r="AX180" s="128">
        <f>VLOOKUP(E180,'Lookup Table'!$B$12:$C$82,2,0)</f>
        <v>4.4999999999999998E-2</v>
      </c>
      <c r="AY180" s="128">
        <f>'Lookup Table'!$E$3</f>
        <v>0.45</v>
      </c>
      <c r="AZ180" s="129" t="str">
        <f t="shared" si="57"/>
        <v>Albania</v>
      </c>
      <c r="BA180" s="37">
        <f>VLOOKUP(AA180,'Lookup Table'!$J$3:$K$27,2,0)</f>
        <v>1</v>
      </c>
      <c r="BB180" s="37">
        <f t="shared" si="58"/>
        <v>1</v>
      </c>
      <c r="BC180" s="37">
        <f t="shared" si="59"/>
        <v>1</v>
      </c>
      <c r="BD180" s="37">
        <f>IF(AND(K180&lt;'ECL Calculation'!$B$1,'Input Sheet'!W180="No"),3,IF(X180="Yes",2,1))</f>
        <v>1</v>
      </c>
      <c r="BE180" s="37">
        <f t="shared" si="60"/>
        <v>1</v>
      </c>
      <c r="BF180" s="37" t="str">
        <f t="shared" si="61"/>
        <v>Stage 1</v>
      </c>
      <c r="BG180" s="37" t="str">
        <f t="shared" si="62"/>
        <v>Yes</v>
      </c>
    </row>
    <row r="181" spans="1:59" x14ac:dyDescent="0.2">
      <c r="A181" s="35">
        <f t="shared" si="63"/>
        <v>179</v>
      </c>
      <c r="B181" s="33">
        <v>1187</v>
      </c>
      <c r="C181" s="33" t="s">
        <v>427</v>
      </c>
      <c r="D181" s="33" t="s">
        <v>806</v>
      </c>
      <c r="E181" s="33" t="s">
        <v>526</v>
      </c>
      <c r="F181" s="33" t="s">
        <v>542</v>
      </c>
      <c r="G181" s="117">
        <v>2.5</v>
      </c>
      <c r="H181" s="34">
        <v>40947</v>
      </c>
      <c r="I181" s="34">
        <v>41172</v>
      </c>
      <c r="J181" s="34">
        <v>41172</v>
      </c>
      <c r="K181" s="34">
        <v>48075</v>
      </c>
      <c r="L181" s="34">
        <v>42781</v>
      </c>
      <c r="M181" s="34">
        <v>41136</v>
      </c>
      <c r="N181" s="113">
        <v>15</v>
      </c>
      <c r="O181" s="200">
        <v>55095000</v>
      </c>
      <c r="P181" s="200">
        <v>38971544.159999996</v>
      </c>
      <c r="Q181" s="200">
        <v>31625544.16</v>
      </c>
      <c r="R181" s="201">
        <v>451217.54</v>
      </c>
      <c r="S181" s="33" t="s">
        <v>22</v>
      </c>
      <c r="T181" s="33" t="s">
        <v>22</v>
      </c>
      <c r="U181" s="33" t="s">
        <v>204</v>
      </c>
      <c r="V181" s="33"/>
      <c r="W181" s="33" t="s">
        <v>210</v>
      </c>
      <c r="X181" s="33" t="s">
        <v>210</v>
      </c>
      <c r="Y181" s="33"/>
      <c r="Z181" s="33" t="s">
        <v>209</v>
      </c>
      <c r="AA181" s="35" t="str">
        <f>_xlfn.IFNA(VLOOKUP(E181,'Lookup Table'!$J$33:$K$176,2,0),"B3")</f>
        <v>B3</v>
      </c>
      <c r="AB181" s="35">
        <f>_xlfn.IFNA(VLOOKUP($AA181,'Rating Lookup'!$B$2:$I$27,8,0),15)</f>
        <v>16</v>
      </c>
      <c r="AC181" s="35" t="str">
        <f>_xlfn.IFNA(VLOOKUP(E181,'Lookup Table'!$M$33:$N$173,2,0),"B3")</f>
        <v>B3</v>
      </c>
      <c r="AD181" s="35">
        <f>_xlfn.IFNA(VLOOKUP($AC181,'Rating Lookup'!$B$2:$I$27,8,0),15)</f>
        <v>16</v>
      </c>
      <c r="AE181" s="35">
        <f t="shared" si="44"/>
        <v>0</v>
      </c>
      <c r="AG181" s="35" t="str">
        <f t="shared" si="45"/>
        <v>BISHKEK - TORUGART  HIGHWAY  ( DOLON -  AT  BASHE SECTION )  .</v>
      </c>
      <c r="AH181" s="35" t="str">
        <f t="shared" si="46"/>
        <v>Government Loan</v>
      </c>
      <c r="AI181" s="202">
        <f>'ECL Calculation'!$B$1</f>
        <v>43465</v>
      </c>
      <c r="AJ181" s="202">
        <f t="shared" si="47"/>
        <v>42781</v>
      </c>
      <c r="AK181" s="202">
        <f t="shared" si="48"/>
        <v>41136</v>
      </c>
      <c r="AL181" s="127">
        <f t="shared" si="49"/>
        <v>15</v>
      </c>
      <c r="AM181" s="192">
        <f>IF(AND(IF(ISBLANK(K181),EOMONTH(AJ181,AL181*12),K181)&lt;'ECL Calculation'!$B$1,SUM('Input Sheet'!Q181,'Input Sheet'!R181)&gt;0),EOMONTH('ECL Calculation'!$B$1,12*5),IF(ISBLANK(K181),EOMONTH(AJ181,AL181*12),K181))</f>
        <v>48075</v>
      </c>
      <c r="AN181" s="203">
        <f t="shared" si="50"/>
        <v>55095000</v>
      </c>
      <c r="AO181" s="203">
        <f t="shared" si="51"/>
        <v>38971544.159999996</v>
      </c>
      <c r="AP181" s="203">
        <f t="shared" si="52"/>
        <v>16123455.840000004</v>
      </c>
      <c r="AQ181" s="126">
        <f>VLOOKUP(U181,'Lookup Table'!$B$2:$C$10,2,0)</f>
        <v>4</v>
      </c>
      <c r="AR181" s="127">
        <f>VLOOKUP(S181,'Lookup Table'!$B$2:$C$9,2,0)</f>
        <v>2</v>
      </c>
      <c r="AS181" s="127">
        <f>VLOOKUP(T181,'Lookup Table'!$B$2:$C$9,2,0)</f>
        <v>2</v>
      </c>
      <c r="AT181" s="136">
        <f t="shared" si="53"/>
        <v>31625544.16</v>
      </c>
      <c r="AU181" s="128">
        <f t="shared" si="54"/>
        <v>2.5000000000000001E-2</v>
      </c>
      <c r="AV181" s="136">
        <f t="shared" si="55"/>
        <v>451217.54</v>
      </c>
      <c r="AW181" s="37" t="str">
        <f t="shared" si="56"/>
        <v>B3</v>
      </c>
      <c r="AX181" s="128">
        <f>VLOOKUP(E181,'Lookup Table'!$B$12:$C$82,2,0)</f>
        <v>2.5000000000000001E-2</v>
      </c>
      <c r="AY181" s="128">
        <f>'Lookup Table'!$E$3</f>
        <v>0.45</v>
      </c>
      <c r="AZ181" s="129" t="str">
        <f t="shared" si="57"/>
        <v>Kyrgyzstan</v>
      </c>
      <c r="BA181" s="37">
        <f>VLOOKUP(AA181,'Lookup Table'!$J$3:$K$27,2,0)</f>
        <v>1</v>
      </c>
      <c r="BB181" s="37">
        <f t="shared" si="58"/>
        <v>1</v>
      </c>
      <c r="BC181" s="37">
        <f t="shared" si="59"/>
        <v>1</v>
      </c>
      <c r="BD181" s="37">
        <f>IF(AND(K181&lt;'ECL Calculation'!$B$1,'Input Sheet'!W181="No"),3,IF(X181="Yes",2,1))</f>
        <v>1</v>
      </c>
      <c r="BE181" s="37">
        <f t="shared" si="60"/>
        <v>1</v>
      </c>
      <c r="BF181" s="37" t="str">
        <f t="shared" si="61"/>
        <v>Stage 1</v>
      </c>
      <c r="BG181" s="37" t="str">
        <f t="shared" si="62"/>
        <v>Yes</v>
      </c>
    </row>
    <row r="182" spans="1:59" x14ac:dyDescent="0.2">
      <c r="A182" s="35">
        <f t="shared" si="63"/>
        <v>180</v>
      </c>
      <c r="B182" s="33">
        <v>1188</v>
      </c>
      <c r="C182" s="33" t="s">
        <v>401</v>
      </c>
      <c r="D182" s="33" t="s">
        <v>806</v>
      </c>
      <c r="E182" s="33" t="s">
        <v>514</v>
      </c>
      <c r="F182" s="33" t="s">
        <v>542</v>
      </c>
      <c r="G182" s="117">
        <v>2</v>
      </c>
      <c r="H182" s="34">
        <v>41065</v>
      </c>
      <c r="I182" s="34">
        <v>41163</v>
      </c>
      <c r="J182" s="34">
        <v>41163</v>
      </c>
      <c r="K182" s="34">
        <v>48187</v>
      </c>
      <c r="L182" s="34">
        <v>42891</v>
      </c>
      <c r="M182" s="34">
        <v>41248</v>
      </c>
      <c r="N182" s="113">
        <v>15</v>
      </c>
      <c r="O182" s="200">
        <v>183650000</v>
      </c>
      <c r="P182" s="200">
        <v>183650000</v>
      </c>
      <c r="Q182" s="200">
        <v>183650000</v>
      </c>
      <c r="R182" s="201">
        <v>17905874.699999999</v>
      </c>
      <c r="S182" s="33" t="s">
        <v>22</v>
      </c>
      <c r="T182" s="33" t="s">
        <v>22</v>
      </c>
      <c r="U182" s="33" t="s">
        <v>203</v>
      </c>
      <c r="V182" s="33"/>
      <c r="W182" s="33" t="s">
        <v>210</v>
      </c>
      <c r="X182" s="33" t="s">
        <v>209</v>
      </c>
      <c r="Y182" s="33"/>
      <c r="Z182" s="33" t="s">
        <v>209</v>
      </c>
      <c r="AA182" s="35" t="str">
        <f>_xlfn.IFNA(VLOOKUP(E182,'Lookup Table'!$J$33:$K$176,2,0),"B3")</f>
        <v>B3</v>
      </c>
      <c r="AB182" s="35">
        <f>_xlfn.IFNA(VLOOKUP($AA182,'Rating Lookup'!$B$2:$I$27,8,0),15)</f>
        <v>16</v>
      </c>
      <c r="AC182" s="35" t="str">
        <f>_xlfn.IFNA(VLOOKUP(E182,'Lookup Table'!$M$33:$N$173,2,0),"B3")</f>
        <v>B3</v>
      </c>
      <c r="AD182" s="35">
        <f>_xlfn.IFNA(VLOOKUP($AC182,'Rating Lookup'!$B$2:$I$27,8,0),15)</f>
        <v>16</v>
      </c>
      <c r="AE182" s="35">
        <f t="shared" si="44"/>
        <v>0</v>
      </c>
      <c r="AG182" s="35" t="str">
        <f t="shared" si="45"/>
        <v>BALANCE OF PAYMENT</v>
      </c>
      <c r="AH182" s="35" t="str">
        <f t="shared" si="46"/>
        <v>Government Loan</v>
      </c>
      <c r="AI182" s="202">
        <f>'ECL Calculation'!$B$1</f>
        <v>43465</v>
      </c>
      <c r="AJ182" s="202">
        <f t="shared" si="47"/>
        <v>42891</v>
      </c>
      <c r="AK182" s="202">
        <f t="shared" si="48"/>
        <v>41248</v>
      </c>
      <c r="AL182" s="127">
        <f t="shared" si="49"/>
        <v>15</v>
      </c>
      <c r="AM182" s="192">
        <f>IF(AND(IF(ISBLANK(K182),EOMONTH(AJ182,AL182*12),K182)&lt;'ECL Calculation'!$B$1,SUM('Input Sheet'!Q182,'Input Sheet'!R182)&gt;0),EOMONTH('ECL Calculation'!$B$1,12*5),IF(ISBLANK(K182),EOMONTH(AJ182,AL182*12),K182))</f>
        <v>48187</v>
      </c>
      <c r="AN182" s="203">
        <f t="shared" si="50"/>
        <v>183650000</v>
      </c>
      <c r="AO182" s="203">
        <f t="shared" si="51"/>
        <v>183650000</v>
      </c>
      <c r="AP182" s="203">
        <f t="shared" si="52"/>
        <v>0</v>
      </c>
      <c r="AQ182" s="126">
        <f>VLOOKUP(U182,'Lookup Table'!$B$2:$C$10,2,0)</f>
        <v>1</v>
      </c>
      <c r="AR182" s="127">
        <f>VLOOKUP(S182,'Lookup Table'!$B$2:$C$9,2,0)</f>
        <v>2</v>
      </c>
      <c r="AS182" s="127">
        <f>VLOOKUP(T182,'Lookup Table'!$B$2:$C$9,2,0)</f>
        <v>2</v>
      </c>
      <c r="AT182" s="136">
        <f t="shared" si="53"/>
        <v>183650000</v>
      </c>
      <c r="AU182" s="128">
        <f t="shared" si="54"/>
        <v>0.02</v>
      </c>
      <c r="AV182" s="136">
        <f t="shared" si="55"/>
        <v>17905874.699999999</v>
      </c>
      <c r="AW182" s="37" t="str">
        <f t="shared" si="56"/>
        <v>B3</v>
      </c>
      <c r="AX182" s="128">
        <f>VLOOKUP(E182,'Lookup Table'!$B$12:$C$82,2,0)</f>
        <v>2.5000000000000001E-2</v>
      </c>
      <c r="AY182" s="128">
        <f>'Lookup Table'!$E$3</f>
        <v>0.45</v>
      </c>
      <c r="AZ182" s="129" t="str">
        <f t="shared" si="57"/>
        <v>Eritrea</v>
      </c>
      <c r="BA182" s="37">
        <f>VLOOKUP(AA182,'Lookup Table'!$J$3:$K$27,2,0)</f>
        <v>1</v>
      </c>
      <c r="BB182" s="37">
        <f t="shared" si="58"/>
        <v>1</v>
      </c>
      <c r="BC182" s="37">
        <f t="shared" si="59"/>
        <v>1</v>
      </c>
      <c r="BD182" s="37">
        <f>IF(AND(K182&lt;'ECL Calculation'!$B$1,'Input Sheet'!W182="No"),3,IF(X182="Yes",2,1))</f>
        <v>2</v>
      </c>
      <c r="BE182" s="37">
        <f t="shared" si="60"/>
        <v>1</v>
      </c>
      <c r="BF182" s="37" t="str">
        <f t="shared" si="61"/>
        <v>Stage 2</v>
      </c>
      <c r="BG182" s="37" t="str">
        <f t="shared" si="62"/>
        <v>Yes</v>
      </c>
    </row>
    <row r="183" spans="1:59" x14ac:dyDescent="0.2">
      <c r="A183" s="35">
        <f t="shared" si="63"/>
        <v>181</v>
      </c>
      <c r="B183" s="33">
        <v>1189</v>
      </c>
      <c r="C183" s="33" t="s">
        <v>428</v>
      </c>
      <c r="D183" s="33" t="s">
        <v>806</v>
      </c>
      <c r="E183" s="33" t="s">
        <v>527</v>
      </c>
      <c r="F183" s="33" t="s">
        <v>542</v>
      </c>
      <c r="G183" s="117">
        <v>2</v>
      </c>
      <c r="H183" s="34">
        <v>41191</v>
      </c>
      <c r="I183" s="34">
        <v>41627</v>
      </c>
      <c r="J183" s="34">
        <v>41627</v>
      </c>
      <c r="K183" s="34">
        <v>48334</v>
      </c>
      <c r="L183" s="34">
        <v>43038</v>
      </c>
      <c r="M183" s="34">
        <v>41394</v>
      </c>
      <c r="N183" s="113">
        <v>15</v>
      </c>
      <c r="O183" s="200">
        <v>36730000</v>
      </c>
      <c r="P183" s="200">
        <v>6401117.8799999999</v>
      </c>
      <c r="Q183" s="200">
        <v>2729117.88</v>
      </c>
      <c r="R183" s="201">
        <v>-51861.56</v>
      </c>
      <c r="S183" s="33" t="s">
        <v>22</v>
      </c>
      <c r="T183" s="33" t="s">
        <v>22</v>
      </c>
      <c r="U183" s="33" t="s">
        <v>203</v>
      </c>
      <c r="V183" s="33"/>
      <c r="W183" s="33" t="s">
        <v>210</v>
      </c>
      <c r="X183" s="33" t="s">
        <v>210</v>
      </c>
      <c r="Y183" s="33"/>
      <c r="Z183" s="33" t="s">
        <v>209</v>
      </c>
      <c r="AA183" s="35" t="str">
        <f>_xlfn.IFNA(VLOOKUP(E183,'Lookup Table'!$J$33:$K$176,2,0),"B3")</f>
        <v>B1</v>
      </c>
      <c r="AB183" s="35">
        <f>_xlfn.IFNA(VLOOKUP($AA183,'Rating Lookup'!$B$2:$I$27,8,0),15)</f>
        <v>14</v>
      </c>
      <c r="AC183" s="35" t="str">
        <f>_xlfn.IFNA(VLOOKUP(E183,'Lookup Table'!$M$33:$N$173,2,0),"B3")</f>
        <v>B3</v>
      </c>
      <c r="AD183" s="35">
        <f>_xlfn.IFNA(VLOOKUP($AC183,'Rating Lookup'!$B$2:$I$27,8,0),15)</f>
        <v>16</v>
      </c>
      <c r="AE183" s="35">
        <f t="shared" si="44"/>
        <v>0</v>
      </c>
      <c r="AG183" s="35" t="str">
        <f t="shared" si="45"/>
        <v>GEDO-FINCHA-LEMLEM BEREHA ROAD PROJECT (SECTION GEDO-MENE BEGNA)</v>
      </c>
      <c r="AH183" s="35" t="str">
        <f t="shared" si="46"/>
        <v>Government Loan</v>
      </c>
      <c r="AI183" s="202">
        <f>'ECL Calculation'!$B$1</f>
        <v>43465</v>
      </c>
      <c r="AJ183" s="202">
        <f t="shared" si="47"/>
        <v>43038</v>
      </c>
      <c r="AK183" s="202">
        <f t="shared" si="48"/>
        <v>41394</v>
      </c>
      <c r="AL183" s="127">
        <f t="shared" si="49"/>
        <v>15</v>
      </c>
      <c r="AM183" s="192">
        <f>IF(AND(IF(ISBLANK(K183),EOMONTH(AJ183,AL183*12),K183)&lt;'ECL Calculation'!$B$1,SUM('Input Sheet'!Q183,'Input Sheet'!R183)&gt;0),EOMONTH('ECL Calculation'!$B$1,12*5),IF(ISBLANK(K183),EOMONTH(AJ183,AL183*12),K183))</f>
        <v>48334</v>
      </c>
      <c r="AN183" s="203">
        <f t="shared" si="50"/>
        <v>36730000</v>
      </c>
      <c r="AO183" s="203">
        <f t="shared" si="51"/>
        <v>6401117.8799999999</v>
      </c>
      <c r="AP183" s="203">
        <f t="shared" si="52"/>
        <v>30328882.120000001</v>
      </c>
      <c r="AQ183" s="126">
        <f>VLOOKUP(U183,'Lookup Table'!$B$2:$C$10,2,0)</f>
        <v>1</v>
      </c>
      <c r="AR183" s="127">
        <f>VLOOKUP(S183,'Lookup Table'!$B$2:$C$9,2,0)</f>
        <v>2</v>
      </c>
      <c r="AS183" s="127">
        <f>VLOOKUP(T183,'Lookup Table'!$B$2:$C$9,2,0)</f>
        <v>2</v>
      </c>
      <c r="AT183" s="136">
        <f t="shared" si="53"/>
        <v>2729117.88</v>
      </c>
      <c r="AU183" s="128">
        <f t="shared" si="54"/>
        <v>0.02</v>
      </c>
      <c r="AV183" s="136">
        <f t="shared" si="55"/>
        <v>-51861.56</v>
      </c>
      <c r="AW183" s="37" t="str">
        <f t="shared" si="56"/>
        <v>B1</v>
      </c>
      <c r="AX183" s="128">
        <f>VLOOKUP(E183,'Lookup Table'!$B$12:$C$82,2,0)</f>
        <v>0.02</v>
      </c>
      <c r="AY183" s="128">
        <f>'Lookup Table'!$E$3</f>
        <v>0.45</v>
      </c>
      <c r="AZ183" s="129" t="str">
        <f t="shared" si="57"/>
        <v>Ethiopia</v>
      </c>
      <c r="BA183" s="37">
        <f>VLOOKUP(AA183,'Lookup Table'!$J$3:$K$27,2,0)</f>
        <v>1</v>
      </c>
      <c r="BB183" s="37">
        <f t="shared" si="58"/>
        <v>1</v>
      </c>
      <c r="BC183" s="37">
        <f t="shared" si="59"/>
        <v>1</v>
      </c>
      <c r="BD183" s="37">
        <f>IF(AND(K183&lt;'ECL Calculation'!$B$1,'Input Sheet'!W183="No"),3,IF(X183="Yes",2,1))</f>
        <v>1</v>
      </c>
      <c r="BE183" s="37">
        <f t="shared" si="60"/>
        <v>1</v>
      </c>
      <c r="BF183" s="37" t="str">
        <f t="shared" si="61"/>
        <v>Stage 1</v>
      </c>
      <c r="BG183" s="37" t="str">
        <f t="shared" si="62"/>
        <v>Yes</v>
      </c>
    </row>
    <row r="184" spans="1:59" x14ac:dyDescent="0.2">
      <c r="A184" s="35">
        <f t="shared" si="63"/>
        <v>182</v>
      </c>
      <c r="B184" s="33">
        <v>1190</v>
      </c>
      <c r="C184" s="33" t="s">
        <v>429</v>
      </c>
      <c r="D184" s="33" t="s">
        <v>806</v>
      </c>
      <c r="E184" s="33" t="s">
        <v>496</v>
      </c>
      <c r="F184" s="33" t="s">
        <v>542</v>
      </c>
      <c r="G184" s="117">
        <v>4</v>
      </c>
      <c r="H184" s="34">
        <v>41235</v>
      </c>
      <c r="I184" s="34">
        <v>41627</v>
      </c>
      <c r="J184" s="34">
        <v>41627</v>
      </c>
      <c r="K184" s="34">
        <v>46537</v>
      </c>
      <c r="L184" s="34">
        <v>42338</v>
      </c>
      <c r="M184" s="34">
        <v>41424</v>
      </c>
      <c r="N184" s="113">
        <v>12</v>
      </c>
      <c r="O184" s="200">
        <v>77133000</v>
      </c>
      <c r="P184" s="200">
        <v>77132999.939999998</v>
      </c>
      <c r="Q184" s="200">
        <v>54635874.939999998</v>
      </c>
      <c r="R184" s="201">
        <v>581037.99</v>
      </c>
      <c r="S184" s="33" t="s">
        <v>22</v>
      </c>
      <c r="T184" s="33" t="s">
        <v>22</v>
      </c>
      <c r="U184" s="33" t="s">
        <v>204</v>
      </c>
      <c r="V184" s="33"/>
      <c r="W184" s="33" t="s">
        <v>210</v>
      </c>
      <c r="X184" s="33" t="s">
        <v>210</v>
      </c>
      <c r="Y184" s="33"/>
      <c r="Z184" s="33" t="s">
        <v>209</v>
      </c>
      <c r="AA184" s="35" t="str">
        <f>_xlfn.IFNA(VLOOKUP(E184,'Lookup Table'!$J$33:$K$176,2,0),"B3")</f>
        <v>B3</v>
      </c>
      <c r="AB184" s="35">
        <f>_xlfn.IFNA(VLOOKUP($AA184,'Rating Lookup'!$B$2:$I$27,8,0),15)</f>
        <v>16</v>
      </c>
      <c r="AC184" s="35" t="str">
        <f>_xlfn.IFNA(VLOOKUP(E184,'Lookup Table'!$M$33:$N$173,2,0),"B3")</f>
        <v>B3</v>
      </c>
      <c r="AD184" s="35">
        <f>_xlfn.IFNA(VLOOKUP($AC184,'Rating Lookup'!$B$2:$I$27,8,0),15)</f>
        <v>16</v>
      </c>
      <c r="AE184" s="35">
        <f t="shared" si="44"/>
        <v>0</v>
      </c>
      <c r="AG184" s="35" t="str">
        <f t="shared" si="45"/>
        <v>METOLONG DAM FOR POTABLE WATER PROJECT .</v>
      </c>
      <c r="AH184" s="35" t="str">
        <f t="shared" si="46"/>
        <v>Government Loan</v>
      </c>
      <c r="AI184" s="202">
        <f>'ECL Calculation'!$B$1</f>
        <v>43465</v>
      </c>
      <c r="AJ184" s="202">
        <f t="shared" si="47"/>
        <v>42338</v>
      </c>
      <c r="AK184" s="202">
        <f t="shared" si="48"/>
        <v>41424</v>
      </c>
      <c r="AL184" s="127">
        <f t="shared" si="49"/>
        <v>12</v>
      </c>
      <c r="AM184" s="192">
        <f>IF(AND(IF(ISBLANK(K184),EOMONTH(AJ184,AL184*12),K184)&lt;'ECL Calculation'!$B$1,SUM('Input Sheet'!Q184,'Input Sheet'!R184)&gt;0),EOMONTH('ECL Calculation'!$B$1,12*5),IF(ISBLANK(K184),EOMONTH(AJ184,AL184*12),K184))</f>
        <v>46537</v>
      </c>
      <c r="AN184" s="203">
        <f t="shared" si="50"/>
        <v>77133000</v>
      </c>
      <c r="AO184" s="203">
        <f t="shared" si="51"/>
        <v>77132999.939999998</v>
      </c>
      <c r="AP184" s="203">
        <f t="shared" si="52"/>
        <v>6.0000002384185791E-2</v>
      </c>
      <c r="AQ184" s="126">
        <f>VLOOKUP(U184,'Lookup Table'!$B$2:$C$10,2,0)</f>
        <v>4</v>
      </c>
      <c r="AR184" s="127">
        <f>VLOOKUP(S184,'Lookup Table'!$B$2:$C$9,2,0)</f>
        <v>2</v>
      </c>
      <c r="AS184" s="127">
        <f>VLOOKUP(T184,'Lookup Table'!$B$2:$C$9,2,0)</f>
        <v>2</v>
      </c>
      <c r="AT184" s="136">
        <f t="shared" si="53"/>
        <v>54635874.939999998</v>
      </c>
      <c r="AU184" s="128">
        <f t="shared" si="54"/>
        <v>0.04</v>
      </c>
      <c r="AV184" s="136">
        <f t="shared" si="55"/>
        <v>581037.99</v>
      </c>
      <c r="AW184" s="37" t="str">
        <f t="shared" si="56"/>
        <v>B3</v>
      </c>
      <c r="AX184" s="128">
        <f>VLOOKUP(E184,'Lookup Table'!$B$12:$C$82,2,0)</f>
        <v>3.3333333333333333E-2</v>
      </c>
      <c r="AY184" s="128">
        <f>'Lookup Table'!$E$3</f>
        <v>0.45</v>
      </c>
      <c r="AZ184" s="129" t="str">
        <f t="shared" si="57"/>
        <v>Lesotho</v>
      </c>
      <c r="BA184" s="37">
        <f>VLOOKUP(AA184,'Lookup Table'!$J$3:$K$27,2,0)</f>
        <v>1</v>
      </c>
      <c r="BB184" s="37">
        <f t="shared" si="58"/>
        <v>1</v>
      </c>
      <c r="BC184" s="37">
        <f t="shared" si="59"/>
        <v>1</v>
      </c>
      <c r="BD184" s="37">
        <f>IF(AND(K184&lt;'ECL Calculation'!$B$1,'Input Sheet'!W184="No"),3,IF(X184="Yes",2,1))</f>
        <v>1</v>
      </c>
      <c r="BE184" s="37">
        <f t="shared" si="60"/>
        <v>1</v>
      </c>
      <c r="BF184" s="37" t="str">
        <f t="shared" si="61"/>
        <v>Stage 1</v>
      </c>
      <c r="BG184" s="37" t="str">
        <f t="shared" si="62"/>
        <v>Yes</v>
      </c>
    </row>
    <row r="185" spans="1:59" x14ac:dyDescent="0.2">
      <c r="A185" s="35">
        <f t="shared" si="63"/>
        <v>183</v>
      </c>
      <c r="B185" s="33">
        <v>1191</v>
      </c>
      <c r="C185" s="33" t="s">
        <v>430</v>
      </c>
      <c r="D185" s="33" t="s">
        <v>806</v>
      </c>
      <c r="E185" s="33" t="s">
        <v>528</v>
      </c>
      <c r="F185" s="33" t="s">
        <v>542</v>
      </c>
      <c r="G185" s="117">
        <v>2</v>
      </c>
      <c r="H185" s="34">
        <v>41253</v>
      </c>
      <c r="I185" s="34">
        <v>41359</v>
      </c>
      <c r="J185" s="34">
        <v>41359</v>
      </c>
      <c r="K185" s="34">
        <v>48380</v>
      </c>
      <c r="L185" s="34">
        <v>43084</v>
      </c>
      <c r="M185" s="34">
        <v>41623</v>
      </c>
      <c r="N185" s="113">
        <v>15</v>
      </c>
      <c r="O185" s="200">
        <v>20000000</v>
      </c>
      <c r="P185" s="200">
        <v>16969709.120000001</v>
      </c>
      <c r="Q185" s="200">
        <v>14968709.119999999</v>
      </c>
      <c r="R185" s="201">
        <v>281440.52</v>
      </c>
      <c r="S185" s="33" t="s">
        <v>22</v>
      </c>
      <c r="T185" s="33" t="s">
        <v>22</v>
      </c>
      <c r="U185" s="33" t="s">
        <v>203</v>
      </c>
      <c r="V185" s="33"/>
      <c r="W185" s="33" t="s">
        <v>210</v>
      </c>
      <c r="X185" s="33" t="s">
        <v>210</v>
      </c>
      <c r="Y185" s="33"/>
      <c r="Z185" s="33" t="s">
        <v>209</v>
      </c>
      <c r="AA185" s="35" t="str">
        <f>_xlfn.IFNA(VLOOKUP(E185,'Lookup Table'!$J$33:$K$176,2,0),"B3")</f>
        <v>B3</v>
      </c>
      <c r="AB185" s="35">
        <f>_xlfn.IFNA(VLOOKUP($AA185,'Rating Lookup'!$B$2:$I$27,8,0),15)</f>
        <v>16</v>
      </c>
      <c r="AC185" s="35" t="str">
        <f>_xlfn.IFNA(VLOOKUP(E185,'Lookup Table'!$M$33:$N$173,2,0),"B3")</f>
        <v>B3</v>
      </c>
      <c r="AD185" s="35">
        <f>_xlfn.IFNA(VLOOKUP($AC185,'Rating Lookup'!$B$2:$I$27,8,0),15)</f>
        <v>16</v>
      </c>
      <c r="AE185" s="35">
        <f t="shared" si="44"/>
        <v>0</v>
      </c>
      <c r="AG185" s="35" t="str">
        <f t="shared" si="45"/>
        <v>TOKEH - LUMLEY ROAD</v>
      </c>
      <c r="AH185" s="35" t="str">
        <f t="shared" si="46"/>
        <v>Government Loan</v>
      </c>
      <c r="AI185" s="202">
        <f>'ECL Calculation'!$B$1</f>
        <v>43465</v>
      </c>
      <c r="AJ185" s="202">
        <f t="shared" si="47"/>
        <v>43084</v>
      </c>
      <c r="AK185" s="202">
        <f t="shared" si="48"/>
        <v>41623</v>
      </c>
      <c r="AL185" s="127">
        <f t="shared" si="49"/>
        <v>15</v>
      </c>
      <c r="AM185" s="192">
        <f>IF(AND(IF(ISBLANK(K185),EOMONTH(AJ185,AL185*12),K185)&lt;'ECL Calculation'!$B$1,SUM('Input Sheet'!Q185,'Input Sheet'!R185)&gt;0),EOMONTH('ECL Calculation'!$B$1,12*5),IF(ISBLANK(K185),EOMONTH(AJ185,AL185*12),K185))</f>
        <v>48380</v>
      </c>
      <c r="AN185" s="203">
        <f t="shared" si="50"/>
        <v>20000000</v>
      </c>
      <c r="AO185" s="203">
        <f t="shared" si="51"/>
        <v>16969709.120000001</v>
      </c>
      <c r="AP185" s="203">
        <f t="shared" si="52"/>
        <v>3030290.879999999</v>
      </c>
      <c r="AQ185" s="126">
        <f>VLOOKUP(U185,'Lookup Table'!$B$2:$C$10,2,0)</f>
        <v>1</v>
      </c>
      <c r="AR185" s="127">
        <f>VLOOKUP(S185,'Lookup Table'!$B$2:$C$9,2,0)</f>
        <v>2</v>
      </c>
      <c r="AS185" s="127">
        <f>VLOOKUP(T185,'Lookup Table'!$B$2:$C$9,2,0)</f>
        <v>2</v>
      </c>
      <c r="AT185" s="136">
        <f t="shared" si="53"/>
        <v>14968709.119999999</v>
      </c>
      <c r="AU185" s="128">
        <f t="shared" si="54"/>
        <v>0.02</v>
      </c>
      <c r="AV185" s="136">
        <f t="shared" si="55"/>
        <v>281440.52</v>
      </c>
      <c r="AW185" s="37" t="str">
        <f t="shared" si="56"/>
        <v>B3</v>
      </c>
      <c r="AX185" s="128">
        <f>VLOOKUP(E185,'Lookup Table'!$B$12:$C$82,2,0)</f>
        <v>1.4999999999999999E-2</v>
      </c>
      <c r="AY185" s="128">
        <f>'Lookup Table'!$E$3</f>
        <v>0.45</v>
      </c>
      <c r="AZ185" s="129" t="str">
        <f t="shared" si="57"/>
        <v>Sierra Leone</v>
      </c>
      <c r="BA185" s="37">
        <f>VLOOKUP(AA185,'Lookup Table'!$J$3:$K$27,2,0)</f>
        <v>1</v>
      </c>
      <c r="BB185" s="37">
        <f t="shared" si="58"/>
        <v>1</v>
      </c>
      <c r="BC185" s="37">
        <f t="shared" si="59"/>
        <v>1</v>
      </c>
      <c r="BD185" s="37">
        <f>IF(AND(K185&lt;'ECL Calculation'!$B$1,'Input Sheet'!W185="No"),3,IF(X185="Yes",2,1))</f>
        <v>1</v>
      </c>
      <c r="BE185" s="37">
        <f t="shared" si="60"/>
        <v>1</v>
      </c>
      <c r="BF185" s="37" t="str">
        <f t="shared" si="61"/>
        <v>Stage 1</v>
      </c>
      <c r="BG185" s="37" t="str">
        <f t="shared" si="62"/>
        <v>Yes</v>
      </c>
    </row>
    <row r="186" spans="1:59" x14ac:dyDescent="0.2">
      <c r="A186" s="35">
        <f t="shared" si="63"/>
        <v>184</v>
      </c>
      <c r="B186" s="33">
        <v>1192</v>
      </c>
      <c r="C186" s="33" t="s">
        <v>431</v>
      </c>
      <c r="D186" s="33" t="s">
        <v>806</v>
      </c>
      <c r="E186" s="33" t="s">
        <v>529</v>
      </c>
      <c r="F186" s="33" t="s">
        <v>542</v>
      </c>
      <c r="G186" s="117">
        <v>4</v>
      </c>
      <c r="H186" s="34">
        <v>41337</v>
      </c>
      <c r="I186" s="34">
        <v>41337</v>
      </c>
      <c r="J186" s="34">
        <v>41337</v>
      </c>
      <c r="K186" s="34">
        <v>47192</v>
      </c>
      <c r="L186" s="34">
        <v>42262</v>
      </c>
      <c r="M186" s="34">
        <v>41532</v>
      </c>
      <c r="N186" s="113">
        <v>14</v>
      </c>
      <c r="O186" s="200">
        <v>0</v>
      </c>
      <c r="P186" s="200">
        <v>0</v>
      </c>
      <c r="Q186" s="200">
        <v>0</v>
      </c>
      <c r="R186" s="201">
        <v>0</v>
      </c>
      <c r="S186" s="33" t="s">
        <v>22</v>
      </c>
      <c r="T186" s="33" t="s">
        <v>22</v>
      </c>
      <c r="U186" s="33" t="s">
        <v>203</v>
      </c>
      <c r="V186" s="33"/>
      <c r="W186" s="33" t="s">
        <v>210</v>
      </c>
      <c r="X186" s="33" t="s">
        <v>210</v>
      </c>
      <c r="Y186" s="33"/>
      <c r="Z186" s="33" t="s">
        <v>209</v>
      </c>
      <c r="AA186" s="35" t="str">
        <f>_xlfn.IFNA(VLOOKUP(E186,'Lookup Table'!$J$33:$K$176,2,0),"B3")</f>
        <v>Aa2</v>
      </c>
      <c r="AB186" s="35">
        <f>_xlfn.IFNA(VLOOKUP($AA186,'Rating Lookup'!$B$2:$I$27,8,0),15)</f>
        <v>3</v>
      </c>
      <c r="AC186" s="35" t="str">
        <f>_xlfn.IFNA(VLOOKUP(E186,'Lookup Table'!$M$33:$N$173,2,0),"B3")</f>
        <v>Aaa</v>
      </c>
      <c r="AD186" s="35">
        <f>_xlfn.IFNA(VLOOKUP($AC186,'Rating Lookup'!$B$2:$I$27,8,0),15)</f>
        <v>1</v>
      </c>
      <c r="AE186" s="35">
        <f t="shared" si="44"/>
        <v>2</v>
      </c>
      <c r="AG186" s="35" t="str">
        <f t="shared" si="45"/>
        <v>GRAIN SILOS IN THE EMIRATE OF FUJIRAH</v>
      </c>
      <c r="AH186" s="35" t="str">
        <f t="shared" si="46"/>
        <v>Government Loan</v>
      </c>
      <c r="AI186" s="202">
        <f>'ECL Calculation'!$B$1</f>
        <v>43465</v>
      </c>
      <c r="AJ186" s="202">
        <f t="shared" si="47"/>
        <v>42262</v>
      </c>
      <c r="AK186" s="202">
        <f t="shared" si="48"/>
        <v>41532</v>
      </c>
      <c r="AL186" s="127">
        <f t="shared" si="49"/>
        <v>14</v>
      </c>
      <c r="AM186" s="192">
        <f>IF(AND(IF(ISBLANK(K186),EOMONTH(AJ186,AL186*12),K186)&lt;'ECL Calculation'!$B$1,SUM('Input Sheet'!Q186,'Input Sheet'!R186)&gt;0),EOMONTH('ECL Calculation'!$B$1,12*5),IF(ISBLANK(K186),EOMONTH(AJ186,AL186*12),K186))</f>
        <v>47192</v>
      </c>
      <c r="AN186" s="203">
        <f t="shared" si="50"/>
        <v>0</v>
      </c>
      <c r="AO186" s="203">
        <f t="shared" si="51"/>
        <v>0</v>
      </c>
      <c r="AP186" s="203">
        <f t="shared" si="52"/>
        <v>0</v>
      </c>
      <c r="AQ186" s="126">
        <f>VLOOKUP(U186,'Lookup Table'!$B$2:$C$10,2,0)</f>
        <v>1</v>
      </c>
      <c r="AR186" s="127">
        <f>VLOOKUP(S186,'Lookup Table'!$B$2:$C$9,2,0)</f>
        <v>2</v>
      </c>
      <c r="AS186" s="127">
        <f>VLOOKUP(T186,'Lookup Table'!$B$2:$C$9,2,0)</f>
        <v>2</v>
      </c>
      <c r="AT186" s="136">
        <f t="shared" si="53"/>
        <v>0</v>
      </c>
      <c r="AU186" s="128">
        <f t="shared" si="54"/>
        <v>0.04</v>
      </c>
      <c r="AV186" s="136">
        <f t="shared" si="55"/>
        <v>0</v>
      </c>
      <c r="AW186" s="37" t="str">
        <f t="shared" si="56"/>
        <v>Aa2</v>
      </c>
      <c r="AX186" s="128">
        <f>VLOOKUP(E186,'Lookup Table'!$B$12:$C$82,2,0)</f>
        <v>2.4375000000000001E-2</v>
      </c>
      <c r="AY186" s="128">
        <f>'Lookup Table'!$E$3</f>
        <v>0.45</v>
      </c>
      <c r="AZ186" s="129" t="str">
        <f t="shared" si="57"/>
        <v>United Arab Emirates</v>
      </c>
      <c r="BA186" s="37">
        <f>VLOOKUP(AA186,'Lookup Table'!$J$3:$K$27,2,0)</f>
        <v>1</v>
      </c>
      <c r="BB186" s="37">
        <f t="shared" si="58"/>
        <v>1</v>
      </c>
      <c r="BC186" s="37">
        <f t="shared" si="59"/>
        <v>1</v>
      </c>
      <c r="BD186" s="37">
        <f>IF(AND(K186&lt;'ECL Calculation'!$B$1,'Input Sheet'!W186="No"),3,IF(X186="Yes",2,1))</f>
        <v>1</v>
      </c>
      <c r="BE186" s="37">
        <f t="shared" si="60"/>
        <v>1</v>
      </c>
      <c r="BF186" s="37" t="str">
        <f t="shared" si="61"/>
        <v>Stage 1</v>
      </c>
      <c r="BG186" s="37" t="str">
        <f t="shared" si="62"/>
        <v>No</v>
      </c>
    </row>
    <row r="187" spans="1:59" x14ac:dyDescent="0.2">
      <c r="A187" s="35">
        <f t="shared" si="63"/>
        <v>185</v>
      </c>
      <c r="B187" s="33">
        <v>1193</v>
      </c>
      <c r="C187" s="33" t="s">
        <v>432</v>
      </c>
      <c r="D187" s="33" t="s">
        <v>806</v>
      </c>
      <c r="E187" s="33" t="s">
        <v>525</v>
      </c>
      <c r="F187" s="33" t="s">
        <v>542</v>
      </c>
      <c r="G187" s="117">
        <v>4</v>
      </c>
      <c r="H187" s="34">
        <v>41385</v>
      </c>
      <c r="I187" s="34">
        <v>41492</v>
      </c>
      <c r="J187" s="34">
        <v>41492</v>
      </c>
      <c r="K187" s="34">
        <v>46690</v>
      </c>
      <c r="L187" s="34">
        <v>42490</v>
      </c>
      <c r="M187" s="34">
        <v>41577</v>
      </c>
      <c r="N187" s="113">
        <v>12</v>
      </c>
      <c r="O187" s="200">
        <v>240000000</v>
      </c>
      <c r="P187" s="200">
        <v>193092065.81</v>
      </c>
      <c r="Q187" s="200">
        <v>133092065.81</v>
      </c>
      <c r="R187" s="201">
        <v>864410.58</v>
      </c>
      <c r="S187" s="33" t="s">
        <v>22</v>
      </c>
      <c r="T187" s="33" t="s">
        <v>22</v>
      </c>
      <c r="U187" s="33" t="s">
        <v>724</v>
      </c>
      <c r="V187" s="33"/>
      <c r="W187" s="33" t="s">
        <v>210</v>
      </c>
      <c r="X187" s="33" t="s">
        <v>210</v>
      </c>
      <c r="Y187" s="33"/>
      <c r="Z187" s="33" t="s">
        <v>209</v>
      </c>
      <c r="AA187" s="35" t="str">
        <f>_xlfn.IFNA(VLOOKUP(E187,'Lookup Table'!$J$33:$K$176,2,0),"B3")</f>
        <v>B1</v>
      </c>
      <c r="AB187" s="35">
        <f>_xlfn.IFNA(VLOOKUP($AA187,'Rating Lookup'!$B$2:$I$27,8,0),15)</f>
        <v>14</v>
      </c>
      <c r="AC187" s="35" t="str">
        <f>_xlfn.IFNA(VLOOKUP(E187,'Lookup Table'!$M$33:$N$173,2,0),"B3")</f>
        <v>B1</v>
      </c>
      <c r="AD187" s="35">
        <f>_xlfn.IFNA(VLOOKUP($AC187,'Rating Lookup'!$B$2:$I$27,8,0),15)</f>
        <v>14</v>
      </c>
      <c r="AE187" s="35">
        <f t="shared" si="44"/>
        <v>0</v>
      </c>
      <c r="AG187" s="35" t="str">
        <f t="shared" si="45"/>
        <v>TIRANA NORTHERN BOULEVARD &amp; RIVER REGENERATION PROJECT</v>
      </c>
      <c r="AH187" s="35" t="str">
        <f t="shared" si="46"/>
        <v>Government Loan</v>
      </c>
      <c r="AI187" s="202">
        <f>'ECL Calculation'!$B$1</f>
        <v>43465</v>
      </c>
      <c r="AJ187" s="202">
        <f t="shared" si="47"/>
        <v>42490</v>
      </c>
      <c r="AK187" s="202">
        <f t="shared" si="48"/>
        <v>41577</v>
      </c>
      <c r="AL187" s="127">
        <f t="shared" si="49"/>
        <v>12</v>
      </c>
      <c r="AM187" s="192">
        <f>IF(AND(IF(ISBLANK(K187),EOMONTH(AJ187,AL187*12),K187)&lt;'ECL Calculation'!$B$1,SUM('Input Sheet'!Q187,'Input Sheet'!R187)&gt;0),EOMONTH('ECL Calculation'!$B$1,12*5),IF(ISBLANK(K187),EOMONTH(AJ187,AL187*12),K187))</f>
        <v>46690</v>
      </c>
      <c r="AN187" s="203">
        <f t="shared" si="50"/>
        <v>240000000</v>
      </c>
      <c r="AO187" s="203">
        <f t="shared" si="51"/>
        <v>193092065.81</v>
      </c>
      <c r="AP187" s="203">
        <f t="shared" si="52"/>
        <v>46907934.189999998</v>
      </c>
      <c r="AQ187" s="126">
        <f>VLOOKUP(U187,'Lookup Table'!$B$2:$C$10,2,0)</f>
        <v>6</v>
      </c>
      <c r="AR187" s="127">
        <f>VLOOKUP(S187,'Lookup Table'!$B$2:$C$9,2,0)</f>
        <v>2</v>
      </c>
      <c r="AS187" s="127">
        <f>VLOOKUP(T187,'Lookup Table'!$B$2:$C$9,2,0)</f>
        <v>2</v>
      </c>
      <c r="AT187" s="136">
        <f t="shared" si="53"/>
        <v>133092065.81</v>
      </c>
      <c r="AU187" s="128">
        <f t="shared" si="54"/>
        <v>0.04</v>
      </c>
      <c r="AV187" s="136">
        <f t="shared" si="55"/>
        <v>864410.58</v>
      </c>
      <c r="AW187" s="37" t="str">
        <f t="shared" si="56"/>
        <v>B1</v>
      </c>
      <c r="AX187" s="128">
        <f>VLOOKUP(E187,'Lookup Table'!$B$12:$C$82,2,0)</f>
        <v>4.4999999999999998E-2</v>
      </c>
      <c r="AY187" s="128">
        <f>'Lookup Table'!$E$3</f>
        <v>0.45</v>
      </c>
      <c r="AZ187" s="129" t="str">
        <f t="shared" si="57"/>
        <v>Albania</v>
      </c>
      <c r="BA187" s="37">
        <f>VLOOKUP(AA187,'Lookup Table'!$J$3:$K$27,2,0)</f>
        <v>1</v>
      </c>
      <c r="BB187" s="37">
        <f t="shared" si="58"/>
        <v>1</v>
      </c>
      <c r="BC187" s="37">
        <f t="shared" si="59"/>
        <v>1</v>
      </c>
      <c r="BD187" s="37">
        <f>IF(AND(K187&lt;'ECL Calculation'!$B$1,'Input Sheet'!W187="No"),3,IF(X187="Yes",2,1))</f>
        <v>1</v>
      </c>
      <c r="BE187" s="37">
        <f t="shared" si="60"/>
        <v>1</v>
      </c>
      <c r="BF187" s="37" t="str">
        <f t="shared" si="61"/>
        <v>Stage 1</v>
      </c>
      <c r="BG187" s="37" t="str">
        <f t="shared" si="62"/>
        <v>Yes</v>
      </c>
    </row>
    <row r="188" spans="1:59" x14ac:dyDescent="0.2">
      <c r="A188" s="35">
        <f t="shared" si="63"/>
        <v>186</v>
      </c>
      <c r="B188" s="33">
        <v>1194</v>
      </c>
      <c r="C188" s="33" t="s">
        <v>433</v>
      </c>
      <c r="D188" s="33" t="s">
        <v>806</v>
      </c>
      <c r="E188" s="33" t="s">
        <v>482</v>
      </c>
      <c r="F188" s="33" t="s">
        <v>542</v>
      </c>
      <c r="G188" s="117">
        <v>2</v>
      </c>
      <c r="H188" s="34">
        <v>41466</v>
      </c>
      <c r="I188" s="34">
        <v>41577</v>
      </c>
      <c r="J188" s="34">
        <v>41577</v>
      </c>
      <c r="K188" s="34">
        <v>48106</v>
      </c>
      <c r="L188" s="34">
        <v>42809</v>
      </c>
      <c r="M188" s="34">
        <v>41532</v>
      </c>
      <c r="N188" s="113">
        <v>15</v>
      </c>
      <c r="O188" s="200">
        <v>110190000</v>
      </c>
      <c r="P188" s="200">
        <v>104690606.77</v>
      </c>
      <c r="Q188" s="200">
        <v>89998722.430000007</v>
      </c>
      <c r="R188" s="201">
        <v>515856.57</v>
      </c>
      <c r="S188" s="33" t="s">
        <v>22</v>
      </c>
      <c r="T188" s="33" t="s">
        <v>22</v>
      </c>
      <c r="U188" s="33" t="s">
        <v>724</v>
      </c>
      <c r="V188" s="33"/>
      <c r="W188" s="33" t="s">
        <v>210</v>
      </c>
      <c r="X188" s="33" t="s">
        <v>210</v>
      </c>
      <c r="Y188" s="33"/>
      <c r="Z188" s="33" t="s">
        <v>209</v>
      </c>
      <c r="AA188" s="35" t="str">
        <f>_xlfn.IFNA(VLOOKUP(E188,'Lookup Table'!$J$33:$K$176,2,0),"B3")</f>
        <v>Ba3</v>
      </c>
      <c r="AB188" s="35">
        <f>_xlfn.IFNA(VLOOKUP($AA188,'Rating Lookup'!$B$2:$I$27,8,0),15)</f>
        <v>13</v>
      </c>
      <c r="AC188" s="35" t="str">
        <f>_xlfn.IFNA(VLOOKUP(E188,'Lookup Table'!$M$33:$N$173,2,0),"B3")</f>
        <v>Ba3</v>
      </c>
      <c r="AD188" s="35">
        <f>_xlfn.IFNA(VLOOKUP($AC188,'Rating Lookup'!$B$2:$I$27,8,0),15)</f>
        <v>13</v>
      </c>
      <c r="AE188" s="35">
        <f t="shared" si="44"/>
        <v>0</v>
      </c>
      <c r="AG188" s="35" t="str">
        <f t="shared" si="45"/>
        <v>BANGLADESH SASEC ROAD CONNECTIVITY PROJECT</v>
      </c>
      <c r="AH188" s="35" t="str">
        <f t="shared" si="46"/>
        <v>Government Loan</v>
      </c>
      <c r="AI188" s="202">
        <f>'ECL Calculation'!$B$1</f>
        <v>43465</v>
      </c>
      <c r="AJ188" s="202">
        <f t="shared" si="47"/>
        <v>42809</v>
      </c>
      <c r="AK188" s="202">
        <f t="shared" si="48"/>
        <v>41532</v>
      </c>
      <c r="AL188" s="127">
        <f t="shared" si="49"/>
        <v>15</v>
      </c>
      <c r="AM188" s="192">
        <f>IF(AND(IF(ISBLANK(K188),EOMONTH(AJ188,AL188*12),K188)&lt;'ECL Calculation'!$B$1,SUM('Input Sheet'!Q188,'Input Sheet'!R188)&gt;0),EOMONTH('ECL Calculation'!$B$1,12*5),IF(ISBLANK(K188),EOMONTH(AJ188,AL188*12),K188))</f>
        <v>48106</v>
      </c>
      <c r="AN188" s="203">
        <f t="shared" si="50"/>
        <v>110190000</v>
      </c>
      <c r="AO188" s="203">
        <f t="shared" si="51"/>
        <v>104690606.77</v>
      </c>
      <c r="AP188" s="203">
        <f t="shared" si="52"/>
        <v>5499393.2300000042</v>
      </c>
      <c r="AQ188" s="126">
        <f>VLOOKUP(U188,'Lookup Table'!$B$2:$C$10,2,0)</f>
        <v>6</v>
      </c>
      <c r="AR188" s="127">
        <f>VLOOKUP(S188,'Lookup Table'!$B$2:$C$9,2,0)</f>
        <v>2</v>
      </c>
      <c r="AS188" s="127">
        <f>VLOOKUP(T188,'Lookup Table'!$B$2:$C$9,2,0)</f>
        <v>2</v>
      </c>
      <c r="AT188" s="136">
        <f t="shared" si="53"/>
        <v>89998722.430000007</v>
      </c>
      <c r="AU188" s="128">
        <f t="shared" si="54"/>
        <v>0.02</v>
      </c>
      <c r="AV188" s="136">
        <f t="shared" si="55"/>
        <v>515856.57</v>
      </c>
      <c r="AW188" s="37" t="str">
        <f t="shared" si="56"/>
        <v>Ba3</v>
      </c>
      <c r="AX188" s="128">
        <f>VLOOKUP(E188,'Lookup Table'!$B$12:$C$82,2,0)</f>
        <v>3.3333333333333333E-2</v>
      </c>
      <c r="AY188" s="128">
        <f>'Lookup Table'!$E$3</f>
        <v>0.45</v>
      </c>
      <c r="AZ188" s="129" t="str">
        <f t="shared" si="57"/>
        <v>Bangladesh</v>
      </c>
      <c r="BA188" s="37">
        <f>VLOOKUP(AA188,'Lookup Table'!$J$3:$K$27,2,0)</f>
        <v>1</v>
      </c>
      <c r="BB188" s="37">
        <f t="shared" si="58"/>
        <v>1</v>
      </c>
      <c r="BC188" s="37">
        <f t="shared" si="59"/>
        <v>1</v>
      </c>
      <c r="BD188" s="37">
        <f>IF(AND(K188&lt;'ECL Calculation'!$B$1,'Input Sheet'!W188="No"),3,IF(X188="Yes",2,1))</f>
        <v>1</v>
      </c>
      <c r="BE188" s="37">
        <f t="shared" si="60"/>
        <v>1</v>
      </c>
      <c r="BF188" s="37" t="str">
        <f t="shared" si="61"/>
        <v>Stage 1</v>
      </c>
      <c r="BG188" s="37" t="str">
        <f t="shared" si="62"/>
        <v>Yes</v>
      </c>
    </row>
    <row r="189" spans="1:59" x14ac:dyDescent="0.2">
      <c r="A189" s="35">
        <f t="shared" si="63"/>
        <v>187</v>
      </c>
      <c r="B189" s="33">
        <v>1195</v>
      </c>
      <c r="C189" s="33" t="s">
        <v>434</v>
      </c>
      <c r="D189" s="33" t="s">
        <v>806</v>
      </c>
      <c r="E189" s="33" t="s">
        <v>511</v>
      </c>
      <c r="F189" s="33" t="s">
        <v>542</v>
      </c>
      <c r="G189" s="117">
        <v>2.5</v>
      </c>
      <c r="H189" s="34">
        <v>41539</v>
      </c>
      <c r="I189" s="34">
        <v>42725</v>
      </c>
      <c r="J189" s="34">
        <v>42725</v>
      </c>
      <c r="K189" s="34">
        <v>48548</v>
      </c>
      <c r="L189" s="34">
        <v>43250</v>
      </c>
      <c r="M189" s="34">
        <v>41789</v>
      </c>
      <c r="N189" s="113">
        <v>15</v>
      </c>
      <c r="O189" s="200">
        <v>36730000</v>
      </c>
      <c r="P189" s="200">
        <v>5855534.6200000001</v>
      </c>
      <c r="Q189" s="200">
        <v>5855534.6200000001</v>
      </c>
      <c r="R189" s="201">
        <v>158587.38</v>
      </c>
      <c r="S189" s="33" t="s">
        <v>22</v>
      </c>
      <c r="T189" s="33" t="s">
        <v>22</v>
      </c>
      <c r="U189" s="33" t="s">
        <v>203</v>
      </c>
      <c r="V189" s="33"/>
      <c r="W189" s="33" t="s">
        <v>210</v>
      </c>
      <c r="X189" s="33" t="s">
        <v>210</v>
      </c>
      <c r="Y189" s="33"/>
      <c r="Z189" s="33" t="s">
        <v>209</v>
      </c>
      <c r="AA189" s="35" t="str">
        <f>_xlfn.IFNA(VLOOKUP(E189,'Lookup Table'!$J$33:$K$176,2,0),"B3")</f>
        <v>B2</v>
      </c>
      <c r="AB189" s="35">
        <f>_xlfn.IFNA(VLOOKUP($AA189,'Rating Lookup'!$B$2:$I$27,8,0),15)</f>
        <v>15</v>
      </c>
      <c r="AC189" s="35" t="str">
        <f>_xlfn.IFNA(VLOOKUP(E189,'Lookup Table'!$M$33:$N$173,2,0),"B3")</f>
        <v>B1</v>
      </c>
      <c r="AD189" s="35">
        <f>_xlfn.IFNA(VLOOKUP($AC189,'Rating Lookup'!$B$2:$I$27,8,0),15)</f>
        <v>14</v>
      </c>
      <c r="AE189" s="35">
        <f t="shared" si="44"/>
        <v>1</v>
      </c>
      <c r="AG189" s="35" t="str">
        <f t="shared" si="45"/>
        <v>RURAL ELECTRIFICATION IN FIVE REGIONS</v>
      </c>
      <c r="AH189" s="35" t="str">
        <f t="shared" si="46"/>
        <v>Government Loan</v>
      </c>
      <c r="AI189" s="202">
        <f>'ECL Calculation'!$B$1</f>
        <v>43465</v>
      </c>
      <c r="AJ189" s="202">
        <f t="shared" si="47"/>
        <v>43250</v>
      </c>
      <c r="AK189" s="202">
        <f t="shared" si="48"/>
        <v>41789</v>
      </c>
      <c r="AL189" s="127">
        <f t="shared" si="49"/>
        <v>15</v>
      </c>
      <c r="AM189" s="192">
        <f>IF(AND(IF(ISBLANK(K189),EOMONTH(AJ189,AL189*12),K189)&lt;'ECL Calculation'!$B$1,SUM('Input Sheet'!Q189,'Input Sheet'!R189)&gt;0),EOMONTH('ECL Calculation'!$B$1,12*5),IF(ISBLANK(K189),EOMONTH(AJ189,AL189*12),K189))</f>
        <v>48548</v>
      </c>
      <c r="AN189" s="203">
        <f t="shared" si="50"/>
        <v>36730000</v>
      </c>
      <c r="AO189" s="203">
        <f t="shared" si="51"/>
        <v>5855534.6200000001</v>
      </c>
      <c r="AP189" s="203">
        <f t="shared" si="52"/>
        <v>30874465.379999999</v>
      </c>
      <c r="AQ189" s="126">
        <f>VLOOKUP(U189,'Lookup Table'!$B$2:$C$10,2,0)</f>
        <v>1</v>
      </c>
      <c r="AR189" s="127">
        <f>VLOOKUP(S189,'Lookup Table'!$B$2:$C$9,2,0)</f>
        <v>2</v>
      </c>
      <c r="AS189" s="127">
        <f>VLOOKUP(T189,'Lookup Table'!$B$2:$C$9,2,0)</f>
        <v>2</v>
      </c>
      <c r="AT189" s="136">
        <f t="shared" si="53"/>
        <v>5855534.6200000001</v>
      </c>
      <c r="AU189" s="128">
        <f t="shared" si="54"/>
        <v>2.5000000000000001E-2</v>
      </c>
      <c r="AV189" s="136">
        <f t="shared" si="55"/>
        <v>158587.38</v>
      </c>
      <c r="AW189" s="37" t="str">
        <f t="shared" si="56"/>
        <v>B2</v>
      </c>
      <c r="AX189" s="128">
        <f>VLOOKUP(E189,'Lookup Table'!$B$12:$C$82,2,0)</f>
        <v>2.8333333333333335E-2</v>
      </c>
      <c r="AY189" s="128">
        <f>'Lookup Table'!$E$3</f>
        <v>0.45</v>
      </c>
      <c r="AZ189" s="129" t="str">
        <f t="shared" si="57"/>
        <v>Kenya</v>
      </c>
      <c r="BA189" s="37">
        <f>VLOOKUP(AA189,'Lookup Table'!$J$3:$K$27,2,0)</f>
        <v>1</v>
      </c>
      <c r="BB189" s="37">
        <f t="shared" si="58"/>
        <v>2</v>
      </c>
      <c r="BC189" s="37">
        <f t="shared" si="59"/>
        <v>1</v>
      </c>
      <c r="BD189" s="37">
        <f>IF(AND(K189&lt;'ECL Calculation'!$B$1,'Input Sheet'!W189="No"),3,IF(X189="Yes",2,1))</f>
        <v>1</v>
      </c>
      <c r="BE189" s="37">
        <f t="shared" si="60"/>
        <v>1</v>
      </c>
      <c r="BF189" s="37" t="str">
        <f t="shared" si="61"/>
        <v>Stage 2</v>
      </c>
      <c r="BG189" s="37" t="str">
        <f t="shared" si="62"/>
        <v>Yes</v>
      </c>
    </row>
    <row r="190" spans="1:59" x14ac:dyDescent="0.2">
      <c r="A190" s="35">
        <f t="shared" si="63"/>
        <v>188</v>
      </c>
      <c r="B190" s="33">
        <v>1196</v>
      </c>
      <c r="C190" s="33" t="s">
        <v>435</v>
      </c>
      <c r="D190" s="33" t="s">
        <v>806</v>
      </c>
      <c r="E190" s="33" t="s">
        <v>529</v>
      </c>
      <c r="F190" s="33" t="s">
        <v>542</v>
      </c>
      <c r="G190" s="117">
        <v>3</v>
      </c>
      <c r="H190" s="34">
        <v>41547</v>
      </c>
      <c r="I190" s="34">
        <v>41547</v>
      </c>
      <c r="J190" s="34">
        <v>41547</v>
      </c>
      <c r="K190" s="34">
        <v>47572</v>
      </c>
      <c r="L190" s="34">
        <v>43008</v>
      </c>
      <c r="M190" s="34">
        <v>41728</v>
      </c>
      <c r="N190" s="113">
        <v>13</v>
      </c>
      <c r="O190" s="200">
        <v>350000000</v>
      </c>
      <c r="P190" s="200">
        <v>21223100.579999998</v>
      </c>
      <c r="Q190" s="200">
        <v>11832089.17</v>
      </c>
      <c r="R190" s="201">
        <v>165887.4</v>
      </c>
      <c r="S190" s="33" t="s">
        <v>22</v>
      </c>
      <c r="T190" s="33" t="s">
        <v>22</v>
      </c>
      <c r="U190" s="33" t="s">
        <v>204</v>
      </c>
      <c r="V190" s="33"/>
      <c r="W190" s="33" t="s">
        <v>210</v>
      </c>
      <c r="X190" s="33" t="s">
        <v>210</v>
      </c>
      <c r="Y190" s="33"/>
      <c r="Z190" s="33" t="s">
        <v>209</v>
      </c>
      <c r="AA190" s="35" t="str">
        <f>_xlfn.IFNA(VLOOKUP(E190,'Lookup Table'!$J$33:$K$176,2,0),"B3")</f>
        <v>Aa2</v>
      </c>
      <c r="AB190" s="35">
        <f>_xlfn.IFNA(VLOOKUP($AA190,'Rating Lookup'!$B$2:$I$27,8,0),15)</f>
        <v>3</v>
      </c>
      <c r="AC190" s="35" t="str">
        <f>_xlfn.IFNA(VLOOKUP(E190,'Lookup Table'!$M$33:$N$173,2,0),"B3")</f>
        <v>Aaa</v>
      </c>
      <c r="AD190" s="35">
        <f>_xlfn.IFNA(VLOOKUP($AC190,'Rating Lookup'!$B$2:$I$27,8,0),15)</f>
        <v>1</v>
      </c>
      <c r="AE190" s="35">
        <f t="shared" si="44"/>
        <v>2</v>
      </c>
      <c r="AG190" s="35" t="str">
        <f t="shared" si="45"/>
        <v>H.Q OF UAE MISSIONS</v>
      </c>
      <c r="AH190" s="35" t="str">
        <f t="shared" si="46"/>
        <v>Government Loan</v>
      </c>
      <c r="AI190" s="202">
        <f>'ECL Calculation'!$B$1</f>
        <v>43465</v>
      </c>
      <c r="AJ190" s="202">
        <f t="shared" si="47"/>
        <v>43008</v>
      </c>
      <c r="AK190" s="202">
        <f t="shared" si="48"/>
        <v>41728</v>
      </c>
      <c r="AL190" s="127">
        <f t="shared" si="49"/>
        <v>13</v>
      </c>
      <c r="AM190" s="192">
        <f>IF(AND(IF(ISBLANK(K190),EOMONTH(AJ190,AL190*12),K190)&lt;'ECL Calculation'!$B$1,SUM('Input Sheet'!Q190,'Input Sheet'!R190)&gt;0),EOMONTH('ECL Calculation'!$B$1,12*5),IF(ISBLANK(K190),EOMONTH(AJ190,AL190*12),K190))</f>
        <v>47572</v>
      </c>
      <c r="AN190" s="203">
        <f t="shared" si="50"/>
        <v>350000000</v>
      </c>
      <c r="AO190" s="203">
        <f t="shared" si="51"/>
        <v>21223100.579999998</v>
      </c>
      <c r="AP190" s="203">
        <f t="shared" si="52"/>
        <v>328776899.42000002</v>
      </c>
      <c r="AQ190" s="126">
        <f>VLOOKUP(U190,'Lookup Table'!$B$2:$C$10,2,0)</f>
        <v>4</v>
      </c>
      <c r="AR190" s="127">
        <f>VLOOKUP(S190,'Lookup Table'!$B$2:$C$9,2,0)</f>
        <v>2</v>
      </c>
      <c r="AS190" s="127">
        <f>VLOOKUP(T190,'Lookup Table'!$B$2:$C$9,2,0)</f>
        <v>2</v>
      </c>
      <c r="AT190" s="136">
        <f t="shared" si="53"/>
        <v>11832089.17</v>
      </c>
      <c r="AU190" s="128">
        <f t="shared" si="54"/>
        <v>0.03</v>
      </c>
      <c r="AV190" s="136">
        <f t="shared" si="55"/>
        <v>165887.4</v>
      </c>
      <c r="AW190" s="37" t="str">
        <f t="shared" si="56"/>
        <v>Aa2</v>
      </c>
      <c r="AX190" s="128">
        <f>VLOOKUP(E190,'Lookup Table'!$B$12:$C$82,2,0)</f>
        <v>2.4375000000000001E-2</v>
      </c>
      <c r="AY190" s="128">
        <f>'Lookup Table'!$E$3</f>
        <v>0.45</v>
      </c>
      <c r="AZ190" s="129" t="str">
        <f t="shared" si="57"/>
        <v>United Arab Emirates</v>
      </c>
      <c r="BA190" s="37">
        <f>VLOOKUP(AA190,'Lookup Table'!$J$3:$K$27,2,0)</f>
        <v>1</v>
      </c>
      <c r="BB190" s="37">
        <f t="shared" si="58"/>
        <v>1</v>
      </c>
      <c r="BC190" s="37">
        <f t="shared" si="59"/>
        <v>1</v>
      </c>
      <c r="BD190" s="37">
        <f>IF(AND(K190&lt;'ECL Calculation'!$B$1,'Input Sheet'!W190="No"),3,IF(X190="Yes",2,1))</f>
        <v>1</v>
      </c>
      <c r="BE190" s="37">
        <f t="shared" si="60"/>
        <v>1</v>
      </c>
      <c r="BF190" s="37" t="str">
        <f t="shared" si="61"/>
        <v>Stage 1</v>
      </c>
      <c r="BG190" s="37" t="str">
        <f t="shared" si="62"/>
        <v>Yes</v>
      </c>
    </row>
    <row r="191" spans="1:59" x14ac:dyDescent="0.2">
      <c r="A191" s="35">
        <f t="shared" si="63"/>
        <v>189</v>
      </c>
      <c r="B191" s="33">
        <v>1197</v>
      </c>
      <c r="C191" s="33" t="s">
        <v>436</v>
      </c>
      <c r="D191" s="33" t="s">
        <v>806</v>
      </c>
      <c r="E191" s="33" t="s">
        <v>493</v>
      </c>
      <c r="F191" s="33" t="s">
        <v>542</v>
      </c>
      <c r="G191" s="117">
        <v>2</v>
      </c>
      <c r="H191" s="34">
        <v>41604</v>
      </c>
      <c r="I191" s="34">
        <v>41808</v>
      </c>
      <c r="J191" s="34">
        <v>41808</v>
      </c>
      <c r="K191" s="34">
        <v>48729</v>
      </c>
      <c r="L191" s="34">
        <v>43434</v>
      </c>
      <c r="M191" s="34">
        <v>41789</v>
      </c>
      <c r="N191" s="113">
        <v>15</v>
      </c>
      <c r="O191" s="200">
        <v>110190000</v>
      </c>
      <c r="P191" s="200">
        <v>58598647.359999999</v>
      </c>
      <c r="Q191" s="200">
        <v>54925647.359999999</v>
      </c>
      <c r="R191" s="201">
        <v>343068.03</v>
      </c>
      <c r="S191" s="33" t="s">
        <v>22</v>
      </c>
      <c r="T191" s="33" t="s">
        <v>22</v>
      </c>
      <c r="U191" s="33" t="s">
        <v>204</v>
      </c>
      <c r="V191" s="33"/>
      <c r="W191" s="33" t="s">
        <v>210</v>
      </c>
      <c r="X191" s="33" t="s">
        <v>210</v>
      </c>
      <c r="Y191" s="33"/>
      <c r="Z191" s="33" t="s">
        <v>209</v>
      </c>
      <c r="AA191" s="35" t="str">
        <f>_xlfn.IFNA(VLOOKUP(E191,'Lookup Table'!$J$33:$K$176,2,0),"B3")</f>
        <v>B3</v>
      </c>
      <c r="AB191" s="35">
        <f>_xlfn.IFNA(VLOOKUP($AA191,'Rating Lookup'!$B$2:$I$27,8,0),15)</f>
        <v>16</v>
      </c>
      <c r="AC191" s="35" t="str">
        <f>_xlfn.IFNA(VLOOKUP(E191,'Lookup Table'!$M$33:$N$173,2,0),"B3")</f>
        <v>B3</v>
      </c>
      <c r="AD191" s="35">
        <f>_xlfn.IFNA(VLOOKUP($AC191,'Rating Lookup'!$B$2:$I$27,8,0),15)</f>
        <v>16</v>
      </c>
      <c r="AE191" s="35">
        <f t="shared" si="44"/>
        <v>0</v>
      </c>
      <c r="AG191" s="35" t="str">
        <f t="shared" si="45"/>
        <v>AL NEAMA - BANCO - PASCNO - FUSALA ROAD PROJECT (MALI BORDER)</v>
      </c>
      <c r="AH191" s="35" t="str">
        <f t="shared" si="46"/>
        <v>Government Loan</v>
      </c>
      <c r="AI191" s="202">
        <f>'ECL Calculation'!$B$1</f>
        <v>43465</v>
      </c>
      <c r="AJ191" s="202">
        <f t="shared" si="47"/>
        <v>43434</v>
      </c>
      <c r="AK191" s="202">
        <f t="shared" si="48"/>
        <v>41789</v>
      </c>
      <c r="AL191" s="127">
        <f t="shared" si="49"/>
        <v>15</v>
      </c>
      <c r="AM191" s="192">
        <f>IF(AND(IF(ISBLANK(K191),EOMONTH(AJ191,AL191*12),K191)&lt;'ECL Calculation'!$B$1,SUM('Input Sheet'!Q191,'Input Sheet'!R191)&gt;0),EOMONTH('ECL Calculation'!$B$1,12*5),IF(ISBLANK(K191),EOMONTH(AJ191,AL191*12),K191))</f>
        <v>48729</v>
      </c>
      <c r="AN191" s="203">
        <f t="shared" si="50"/>
        <v>110190000</v>
      </c>
      <c r="AO191" s="203">
        <f t="shared" si="51"/>
        <v>58598647.359999999</v>
      </c>
      <c r="AP191" s="203">
        <f t="shared" si="52"/>
        <v>51591352.640000001</v>
      </c>
      <c r="AQ191" s="126">
        <f>VLOOKUP(U191,'Lookup Table'!$B$2:$C$10,2,0)</f>
        <v>4</v>
      </c>
      <c r="AR191" s="127">
        <f>VLOOKUP(S191,'Lookup Table'!$B$2:$C$9,2,0)</f>
        <v>2</v>
      </c>
      <c r="AS191" s="127">
        <f>VLOOKUP(T191,'Lookup Table'!$B$2:$C$9,2,0)</f>
        <v>2</v>
      </c>
      <c r="AT191" s="136">
        <f t="shared" si="53"/>
        <v>54925647.359999999</v>
      </c>
      <c r="AU191" s="128">
        <f t="shared" si="54"/>
        <v>0.02</v>
      </c>
      <c r="AV191" s="136">
        <f t="shared" si="55"/>
        <v>343068.03</v>
      </c>
      <c r="AW191" s="37" t="str">
        <f t="shared" si="56"/>
        <v>B3</v>
      </c>
      <c r="AX191" s="128">
        <f>VLOOKUP(E191,'Lookup Table'!$B$12:$C$82,2,0)</f>
        <v>2.2499999999999999E-2</v>
      </c>
      <c r="AY191" s="128">
        <f>'Lookup Table'!$E$3</f>
        <v>0.45</v>
      </c>
      <c r="AZ191" s="129" t="str">
        <f t="shared" si="57"/>
        <v>Mauritania</v>
      </c>
      <c r="BA191" s="37">
        <f>VLOOKUP(AA191,'Lookup Table'!$J$3:$K$27,2,0)</f>
        <v>1</v>
      </c>
      <c r="BB191" s="37">
        <f t="shared" si="58"/>
        <v>1</v>
      </c>
      <c r="BC191" s="37">
        <f t="shared" si="59"/>
        <v>1</v>
      </c>
      <c r="BD191" s="37">
        <f>IF(AND(K191&lt;'ECL Calculation'!$B$1,'Input Sheet'!W191="No"),3,IF(X191="Yes",2,1))</f>
        <v>1</v>
      </c>
      <c r="BE191" s="37">
        <f t="shared" si="60"/>
        <v>1</v>
      </c>
      <c r="BF191" s="37" t="str">
        <f t="shared" si="61"/>
        <v>Stage 1</v>
      </c>
      <c r="BG191" s="37" t="str">
        <f t="shared" si="62"/>
        <v>Yes</v>
      </c>
    </row>
    <row r="192" spans="1:59" x14ac:dyDescent="0.2">
      <c r="A192" s="35">
        <f t="shared" si="63"/>
        <v>190</v>
      </c>
      <c r="B192" s="33">
        <v>1198</v>
      </c>
      <c r="C192" s="33" t="s">
        <v>437</v>
      </c>
      <c r="D192" s="33" t="s">
        <v>806</v>
      </c>
      <c r="E192" s="33" t="s">
        <v>495</v>
      </c>
      <c r="F192" s="33" t="s">
        <v>542</v>
      </c>
      <c r="G192" s="117">
        <v>2</v>
      </c>
      <c r="H192" s="34">
        <v>41660</v>
      </c>
      <c r="I192" s="34">
        <v>42501</v>
      </c>
      <c r="J192" s="34">
        <v>42501</v>
      </c>
      <c r="K192" s="34">
        <v>48790</v>
      </c>
      <c r="L192" s="34">
        <v>43495</v>
      </c>
      <c r="M192" s="34">
        <v>42034</v>
      </c>
      <c r="N192" s="113">
        <v>15</v>
      </c>
      <c r="O192" s="200">
        <v>53258500</v>
      </c>
      <c r="P192" s="200">
        <v>14825408.35</v>
      </c>
      <c r="Q192" s="200">
        <v>14825408.35</v>
      </c>
      <c r="R192" s="201">
        <v>157645.16</v>
      </c>
      <c r="S192" s="33" t="s">
        <v>22</v>
      </c>
      <c r="T192" s="33" t="s">
        <v>22</v>
      </c>
      <c r="U192" s="33" t="s">
        <v>22</v>
      </c>
      <c r="V192" s="33"/>
      <c r="W192" s="33" t="s">
        <v>210</v>
      </c>
      <c r="X192" s="33" t="s">
        <v>210</v>
      </c>
      <c r="Y192" s="33"/>
      <c r="Z192" s="33" t="s">
        <v>209</v>
      </c>
      <c r="AA192" s="35" t="str">
        <f>_xlfn.IFNA(VLOOKUP(E192,'Lookup Table'!$J$33:$K$176,2,0),"B3")</f>
        <v>Ba3</v>
      </c>
      <c r="AB192" s="35">
        <f>_xlfn.IFNA(VLOOKUP($AA192,'Rating Lookup'!$B$2:$I$27,8,0),15)</f>
        <v>13</v>
      </c>
      <c r="AC192" s="35" t="str">
        <f>_xlfn.IFNA(VLOOKUP(E192,'Lookup Table'!$M$33:$N$173,2,0),"B3")</f>
        <v>B1</v>
      </c>
      <c r="AD192" s="35">
        <f>_xlfn.IFNA(VLOOKUP($AC192,'Rating Lookup'!$B$2:$I$27,8,0),15)</f>
        <v>14</v>
      </c>
      <c r="AE192" s="35">
        <f t="shared" si="44"/>
        <v>0</v>
      </c>
      <c r="AG192" s="35" t="str">
        <f t="shared" si="45"/>
        <v>REHABILITATION OF NDIOUM-OUROSSOGUI-BAKEL ROAD (RN2) AND ASSOCIATED TRACK ROADS</v>
      </c>
      <c r="AH192" s="35" t="str">
        <f t="shared" si="46"/>
        <v>Government Loan</v>
      </c>
      <c r="AI192" s="202">
        <f>'ECL Calculation'!$B$1</f>
        <v>43465</v>
      </c>
      <c r="AJ192" s="202">
        <f t="shared" si="47"/>
        <v>43495</v>
      </c>
      <c r="AK192" s="202">
        <f t="shared" si="48"/>
        <v>42034</v>
      </c>
      <c r="AL192" s="127">
        <f t="shared" si="49"/>
        <v>15</v>
      </c>
      <c r="AM192" s="192">
        <f>IF(AND(IF(ISBLANK(K192),EOMONTH(AJ192,AL192*12),K192)&lt;'ECL Calculation'!$B$1,SUM('Input Sheet'!Q192,'Input Sheet'!R192)&gt;0),EOMONTH('ECL Calculation'!$B$1,12*5),IF(ISBLANK(K192),EOMONTH(AJ192,AL192*12),K192))</f>
        <v>48790</v>
      </c>
      <c r="AN192" s="203">
        <f t="shared" si="50"/>
        <v>53258500</v>
      </c>
      <c r="AO192" s="203">
        <f t="shared" si="51"/>
        <v>14825408.35</v>
      </c>
      <c r="AP192" s="203">
        <f t="shared" si="52"/>
        <v>38433091.649999999</v>
      </c>
      <c r="AQ192" s="126">
        <f>VLOOKUP(U192,'Lookup Table'!$B$2:$C$10,2,0)</f>
        <v>2</v>
      </c>
      <c r="AR192" s="127">
        <f>VLOOKUP(S192,'Lookup Table'!$B$2:$C$9,2,0)</f>
        <v>2</v>
      </c>
      <c r="AS192" s="127">
        <f>VLOOKUP(T192,'Lookup Table'!$B$2:$C$9,2,0)</f>
        <v>2</v>
      </c>
      <c r="AT192" s="136">
        <f t="shared" si="53"/>
        <v>14825408.35</v>
      </c>
      <c r="AU192" s="128">
        <f t="shared" si="54"/>
        <v>0.02</v>
      </c>
      <c r="AV192" s="136">
        <f t="shared" si="55"/>
        <v>157645.16</v>
      </c>
      <c r="AW192" s="37" t="str">
        <f t="shared" si="56"/>
        <v>Ba3</v>
      </c>
      <c r="AX192" s="128">
        <f>VLOOKUP(E192,'Lookup Table'!$B$12:$C$82,2,0)</f>
        <v>2.75E-2</v>
      </c>
      <c r="AY192" s="128">
        <f>'Lookup Table'!$E$3</f>
        <v>0.45</v>
      </c>
      <c r="AZ192" s="129" t="str">
        <f t="shared" si="57"/>
        <v>Senegal</v>
      </c>
      <c r="BA192" s="37">
        <f>VLOOKUP(AA192,'Lookup Table'!$J$3:$K$27,2,0)</f>
        <v>1</v>
      </c>
      <c r="BB192" s="37">
        <f t="shared" si="58"/>
        <v>1</v>
      </c>
      <c r="BC192" s="37">
        <f t="shared" si="59"/>
        <v>1</v>
      </c>
      <c r="BD192" s="37">
        <f>IF(AND(K192&lt;'ECL Calculation'!$B$1,'Input Sheet'!W192="No"),3,IF(X192="Yes",2,1))</f>
        <v>1</v>
      </c>
      <c r="BE192" s="37">
        <f t="shared" si="60"/>
        <v>1</v>
      </c>
      <c r="BF192" s="37" t="str">
        <f t="shared" si="61"/>
        <v>Stage 1</v>
      </c>
      <c r="BG192" s="37" t="str">
        <f t="shared" si="62"/>
        <v>Yes</v>
      </c>
    </row>
    <row r="193" spans="1:59" x14ac:dyDescent="0.2">
      <c r="A193" s="35">
        <f t="shared" si="63"/>
        <v>191</v>
      </c>
      <c r="B193" s="33">
        <v>1200</v>
      </c>
      <c r="C193" s="33" t="s">
        <v>438</v>
      </c>
      <c r="D193" s="33" t="s">
        <v>806</v>
      </c>
      <c r="E193" s="33" t="s">
        <v>530</v>
      </c>
      <c r="F193" s="33" t="s">
        <v>542</v>
      </c>
      <c r="G193" s="117">
        <v>3</v>
      </c>
      <c r="H193" s="34">
        <v>41704</v>
      </c>
      <c r="I193" s="34">
        <v>41844</v>
      </c>
      <c r="J193" s="34">
        <v>41844</v>
      </c>
      <c r="K193" s="34">
        <v>48823</v>
      </c>
      <c r="L193" s="34">
        <v>43525</v>
      </c>
      <c r="M193" s="34">
        <v>41973</v>
      </c>
      <c r="N193" s="113">
        <v>15</v>
      </c>
      <c r="O193" s="200">
        <v>356281000</v>
      </c>
      <c r="P193" s="200">
        <v>46454971.920000002</v>
      </c>
      <c r="Q193" s="200">
        <v>46454971.920000002</v>
      </c>
      <c r="R193" s="201">
        <v>467910.04</v>
      </c>
      <c r="S193" s="33" t="s">
        <v>22</v>
      </c>
      <c r="T193" s="33" t="s">
        <v>22</v>
      </c>
      <c r="U193" s="33" t="s">
        <v>204</v>
      </c>
      <c r="V193" s="33"/>
      <c r="W193" s="33" t="s">
        <v>210</v>
      </c>
      <c r="X193" s="33" t="s">
        <v>210</v>
      </c>
      <c r="Y193" s="33"/>
      <c r="Z193" s="33" t="s">
        <v>209</v>
      </c>
      <c r="AA193" s="35" t="str">
        <f>_xlfn.IFNA(VLOOKUP(E193,'Lookup Table'!$J$33:$K$176,2,0),"B3")</f>
        <v>Ba3</v>
      </c>
      <c r="AB193" s="35">
        <f>_xlfn.IFNA(VLOOKUP($AA193,'Rating Lookup'!$B$2:$I$27,8,0),15)</f>
        <v>13</v>
      </c>
      <c r="AC193" s="35">
        <f>_xlfn.IFNA(VLOOKUP(E193,'Lookup Table'!$M$33:$N$173,2,0),"B3")</f>
        <v>0</v>
      </c>
      <c r="AD193" s="35">
        <f>_xlfn.IFNA(VLOOKUP($AC193,'Rating Lookup'!$B$2:$I$27,8,0),15)</f>
        <v>15</v>
      </c>
      <c r="AE193" s="35">
        <f t="shared" si="44"/>
        <v>0</v>
      </c>
      <c r="AG193" s="35" t="str">
        <f t="shared" si="45"/>
        <v>DEVELOPMENT OF IRRIGATED AGRICULTURE - PHASE I</v>
      </c>
      <c r="AH193" s="35" t="str">
        <f t="shared" si="46"/>
        <v>Government Loan</v>
      </c>
      <c r="AI193" s="202">
        <f>'ECL Calculation'!$B$1</f>
        <v>43465</v>
      </c>
      <c r="AJ193" s="202">
        <f t="shared" si="47"/>
        <v>43525</v>
      </c>
      <c r="AK193" s="202">
        <f t="shared" si="48"/>
        <v>41973</v>
      </c>
      <c r="AL193" s="127">
        <f t="shared" si="49"/>
        <v>15</v>
      </c>
      <c r="AM193" s="192">
        <f>IF(AND(IF(ISBLANK(K193),EOMONTH(AJ193,AL193*12),K193)&lt;'ECL Calculation'!$B$1,SUM('Input Sheet'!Q193,'Input Sheet'!R193)&gt;0),EOMONTH('ECL Calculation'!$B$1,12*5),IF(ISBLANK(K193),EOMONTH(AJ193,AL193*12),K193))</f>
        <v>48823</v>
      </c>
      <c r="AN193" s="203">
        <f t="shared" si="50"/>
        <v>356281000</v>
      </c>
      <c r="AO193" s="203">
        <f t="shared" si="51"/>
        <v>46454971.920000002</v>
      </c>
      <c r="AP193" s="203">
        <f t="shared" si="52"/>
        <v>309826028.07999998</v>
      </c>
      <c r="AQ193" s="126">
        <f>VLOOKUP(U193,'Lookup Table'!$B$2:$C$10,2,0)</f>
        <v>4</v>
      </c>
      <c r="AR193" s="127">
        <f>VLOOKUP(S193,'Lookup Table'!$B$2:$C$9,2,0)</f>
        <v>2</v>
      </c>
      <c r="AS193" s="127">
        <f>VLOOKUP(T193,'Lookup Table'!$B$2:$C$9,2,0)</f>
        <v>2</v>
      </c>
      <c r="AT193" s="136">
        <f t="shared" si="53"/>
        <v>46454971.920000002</v>
      </c>
      <c r="AU193" s="128">
        <f t="shared" si="54"/>
        <v>0.03</v>
      </c>
      <c r="AV193" s="136">
        <f t="shared" si="55"/>
        <v>467910.04</v>
      </c>
      <c r="AW193" s="37" t="str">
        <f t="shared" si="56"/>
        <v>Ba3</v>
      </c>
      <c r="AX193" s="128">
        <f>VLOOKUP(E193,'Lookup Table'!$B$12:$C$82,2,0)</f>
        <v>2.6249999999999999E-2</v>
      </c>
      <c r="AY193" s="128">
        <f>'Lookup Table'!$E$3</f>
        <v>0.45</v>
      </c>
      <c r="AZ193" s="129" t="str">
        <f t="shared" si="57"/>
        <v>Serbia</v>
      </c>
      <c r="BA193" s="37">
        <f>VLOOKUP(AA193,'Lookup Table'!$J$3:$K$27,2,0)</f>
        <v>1</v>
      </c>
      <c r="BB193" s="37">
        <f t="shared" si="58"/>
        <v>1</v>
      </c>
      <c r="BC193" s="37">
        <f t="shared" si="59"/>
        <v>1</v>
      </c>
      <c r="BD193" s="37">
        <f>IF(AND(K193&lt;'ECL Calculation'!$B$1,'Input Sheet'!W193="No"),3,IF(X193="Yes",2,1))</f>
        <v>1</v>
      </c>
      <c r="BE193" s="37">
        <f t="shared" si="60"/>
        <v>1</v>
      </c>
      <c r="BF193" s="37" t="str">
        <f t="shared" si="61"/>
        <v>Stage 1</v>
      </c>
      <c r="BG193" s="37" t="str">
        <f t="shared" si="62"/>
        <v>Yes</v>
      </c>
    </row>
    <row r="194" spans="1:59" x14ac:dyDescent="0.2">
      <c r="A194" s="35">
        <f t="shared" si="63"/>
        <v>192</v>
      </c>
      <c r="B194" s="33">
        <v>1201</v>
      </c>
      <c r="C194" s="33" t="s">
        <v>439</v>
      </c>
      <c r="D194" s="33" t="s">
        <v>806</v>
      </c>
      <c r="E194" s="33" t="s">
        <v>493</v>
      </c>
      <c r="F194" s="33" t="s">
        <v>542</v>
      </c>
      <c r="G194" s="117">
        <v>1</v>
      </c>
      <c r="H194" s="34">
        <v>41785</v>
      </c>
      <c r="I194" s="34">
        <v>42058</v>
      </c>
      <c r="J194" s="34">
        <v>42058</v>
      </c>
      <c r="K194" s="34">
        <v>48882</v>
      </c>
      <c r="L194" s="34">
        <v>43585</v>
      </c>
      <c r="M194" s="34">
        <v>41942</v>
      </c>
      <c r="N194" s="113">
        <v>15</v>
      </c>
      <c r="O194" s="200">
        <v>18365000</v>
      </c>
      <c r="P194" s="200">
        <v>691321.16</v>
      </c>
      <c r="Q194" s="200">
        <v>691321.16</v>
      </c>
      <c r="R194" s="201">
        <v>1152.18</v>
      </c>
      <c r="S194" s="33" t="s">
        <v>22</v>
      </c>
      <c r="T194" s="33" t="s">
        <v>22</v>
      </c>
      <c r="U194" s="33" t="s">
        <v>204</v>
      </c>
      <c r="V194" s="33"/>
      <c r="W194" s="33" t="s">
        <v>210</v>
      </c>
      <c r="X194" s="33" t="s">
        <v>210</v>
      </c>
      <c r="Y194" s="33"/>
      <c r="Z194" s="33" t="s">
        <v>209</v>
      </c>
      <c r="AA194" s="35" t="str">
        <f>_xlfn.IFNA(VLOOKUP(E194,'Lookup Table'!$J$33:$K$176,2,0),"B3")</f>
        <v>B3</v>
      </c>
      <c r="AB194" s="35">
        <f>_xlfn.IFNA(VLOOKUP($AA194,'Rating Lookup'!$B$2:$I$27,8,0),15)</f>
        <v>16</v>
      </c>
      <c r="AC194" s="35" t="str">
        <f>_xlfn.IFNA(VLOOKUP(E194,'Lookup Table'!$M$33:$N$173,2,0),"B3")</f>
        <v>B3</v>
      </c>
      <c r="AD194" s="35">
        <f>_xlfn.IFNA(VLOOKUP($AC194,'Rating Lookup'!$B$2:$I$27,8,0),15)</f>
        <v>16</v>
      </c>
      <c r="AE194" s="35">
        <f t="shared" si="44"/>
        <v>0</v>
      </c>
      <c r="AG194" s="35" t="str">
        <f t="shared" si="45"/>
        <v>WIND POWER STATIONS</v>
      </c>
      <c r="AH194" s="35" t="str">
        <f t="shared" si="46"/>
        <v>Government Loan</v>
      </c>
      <c r="AI194" s="202">
        <f>'ECL Calculation'!$B$1</f>
        <v>43465</v>
      </c>
      <c r="AJ194" s="202">
        <f t="shared" si="47"/>
        <v>43585</v>
      </c>
      <c r="AK194" s="202">
        <f t="shared" si="48"/>
        <v>41942</v>
      </c>
      <c r="AL194" s="127">
        <f t="shared" si="49"/>
        <v>15</v>
      </c>
      <c r="AM194" s="192">
        <f>IF(AND(IF(ISBLANK(K194),EOMONTH(AJ194,AL194*12),K194)&lt;'ECL Calculation'!$B$1,SUM('Input Sheet'!Q194,'Input Sheet'!R194)&gt;0),EOMONTH('ECL Calculation'!$B$1,12*5),IF(ISBLANK(K194),EOMONTH(AJ194,AL194*12),K194))</f>
        <v>48882</v>
      </c>
      <c r="AN194" s="203">
        <f t="shared" si="50"/>
        <v>18365000</v>
      </c>
      <c r="AO194" s="203">
        <f t="shared" si="51"/>
        <v>691321.16</v>
      </c>
      <c r="AP194" s="203">
        <f t="shared" si="52"/>
        <v>17673678.84</v>
      </c>
      <c r="AQ194" s="126">
        <f>VLOOKUP(U194,'Lookup Table'!$B$2:$C$10,2,0)</f>
        <v>4</v>
      </c>
      <c r="AR194" s="127">
        <f>VLOOKUP(S194,'Lookup Table'!$B$2:$C$9,2,0)</f>
        <v>2</v>
      </c>
      <c r="AS194" s="127">
        <f>VLOOKUP(T194,'Lookup Table'!$B$2:$C$9,2,0)</f>
        <v>2</v>
      </c>
      <c r="AT194" s="136">
        <f t="shared" si="53"/>
        <v>691321.16</v>
      </c>
      <c r="AU194" s="128">
        <f t="shared" si="54"/>
        <v>0.01</v>
      </c>
      <c r="AV194" s="136">
        <f t="shared" si="55"/>
        <v>1152.18</v>
      </c>
      <c r="AW194" s="37" t="str">
        <f t="shared" si="56"/>
        <v>B3</v>
      </c>
      <c r="AX194" s="128">
        <f>VLOOKUP(E194,'Lookup Table'!$B$12:$C$82,2,0)</f>
        <v>2.2499999999999999E-2</v>
      </c>
      <c r="AY194" s="128">
        <f>'Lookup Table'!$E$3</f>
        <v>0.45</v>
      </c>
      <c r="AZ194" s="129" t="str">
        <f t="shared" si="57"/>
        <v>Mauritania</v>
      </c>
      <c r="BA194" s="37">
        <f>VLOOKUP(AA194,'Lookup Table'!$J$3:$K$27,2,0)</f>
        <v>1</v>
      </c>
      <c r="BB194" s="37">
        <f t="shared" si="58"/>
        <v>1</v>
      </c>
      <c r="BC194" s="37">
        <f t="shared" si="59"/>
        <v>1</v>
      </c>
      <c r="BD194" s="37">
        <f>IF(AND(K194&lt;'ECL Calculation'!$B$1,'Input Sheet'!W194="No"),3,IF(X194="Yes",2,1))</f>
        <v>1</v>
      </c>
      <c r="BE194" s="37">
        <f t="shared" si="60"/>
        <v>1</v>
      </c>
      <c r="BF194" s="37" t="str">
        <f t="shared" si="61"/>
        <v>Stage 1</v>
      </c>
      <c r="BG194" s="37" t="str">
        <f t="shared" si="62"/>
        <v>Yes</v>
      </c>
    </row>
    <row r="195" spans="1:59" x14ac:dyDescent="0.2">
      <c r="A195" s="35">
        <f t="shared" si="63"/>
        <v>193</v>
      </c>
      <c r="B195" s="33">
        <v>1202</v>
      </c>
      <c r="C195" s="33" t="s">
        <v>440</v>
      </c>
      <c r="D195" s="33" t="s">
        <v>806</v>
      </c>
      <c r="E195" s="33" t="s">
        <v>528</v>
      </c>
      <c r="F195" s="33" t="s">
        <v>542</v>
      </c>
      <c r="G195" s="117">
        <v>1</v>
      </c>
      <c r="H195" s="34">
        <v>41819</v>
      </c>
      <c r="I195" s="34">
        <v>42082</v>
      </c>
      <c r="J195" s="34">
        <v>42082</v>
      </c>
      <c r="K195" s="34">
        <v>48945</v>
      </c>
      <c r="L195" s="34">
        <v>43647</v>
      </c>
      <c r="M195" s="34">
        <v>42005</v>
      </c>
      <c r="N195" s="113">
        <v>15</v>
      </c>
      <c r="O195" s="200">
        <v>33057000</v>
      </c>
      <c r="P195" s="200">
        <v>8356097.04</v>
      </c>
      <c r="Q195" s="200">
        <v>8356097.04</v>
      </c>
      <c r="R195" s="201">
        <v>59495.56</v>
      </c>
      <c r="S195" s="33" t="s">
        <v>22</v>
      </c>
      <c r="T195" s="33" t="s">
        <v>22</v>
      </c>
      <c r="U195" s="33" t="s">
        <v>203</v>
      </c>
      <c r="V195" s="33"/>
      <c r="W195" s="33" t="s">
        <v>210</v>
      </c>
      <c r="X195" s="33" t="s">
        <v>210</v>
      </c>
      <c r="Y195" s="33"/>
      <c r="Z195" s="33" t="s">
        <v>209</v>
      </c>
      <c r="AA195" s="35" t="str">
        <f>_xlfn.IFNA(VLOOKUP(E195,'Lookup Table'!$J$33:$K$176,2,0),"B3")</f>
        <v>B3</v>
      </c>
      <c r="AB195" s="35">
        <f>_xlfn.IFNA(VLOOKUP($AA195,'Rating Lookup'!$B$2:$I$27,8,0),15)</f>
        <v>16</v>
      </c>
      <c r="AC195" s="35" t="str">
        <f>_xlfn.IFNA(VLOOKUP(E195,'Lookup Table'!$M$33:$N$173,2,0),"B3")</f>
        <v>B3</v>
      </c>
      <c r="AD195" s="35">
        <f>_xlfn.IFNA(VLOOKUP($AC195,'Rating Lookup'!$B$2:$I$27,8,0),15)</f>
        <v>16</v>
      </c>
      <c r="AE195" s="35">
        <f t="shared" si="44"/>
        <v>0</v>
      </c>
      <c r="AG195" s="35" t="str">
        <f t="shared" si="45"/>
        <v>SOLAR PARK FREETOWN PROJECT  .</v>
      </c>
      <c r="AH195" s="35" t="str">
        <f t="shared" si="46"/>
        <v>Government Loan</v>
      </c>
      <c r="AI195" s="202">
        <f>'ECL Calculation'!$B$1</f>
        <v>43465</v>
      </c>
      <c r="AJ195" s="202">
        <f t="shared" si="47"/>
        <v>43647</v>
      </c>
      <c r="AK195" s="202">
        <f t="shared" si="48"/>
        <v>42005</v>
      </c>
      <c r="AL195" s="127">
        <f t="shared" si="49"/>
        <v>15</v>
      </c>
      <c r="AM195" s="192">
        <f>IF(AND(IF(ISBLANK(K195),EOMONTH(AJ195,AL195*12),K195)&lt;'ECL Calculation'!$B$1,SUM('Input Sheet'!Q195,'Input Sheet'!R195)&gt;0),EOMONTH('ECL Calculation'!$B$1,12*5),IF(ISBLANK(K195),EOMONTH(AJ195,AL195*12),K195))</f>
        <v>48945</v>
      </c>
      <c r="AN195" s="203">
        <f t="shared" si="50"/>
        <v>33057000</v>
      </c>
      <c r="AO195" s="203">
        <f t="shared" si="51"/>
        <v>8356097.04</v>
      </c>
      <c r="AP195" s="203">
        <f t="shared" si="52"/>
        <v>24700902.960000001</v>
      </c>
      <c r="AQ195" s="126">
        <f>VLOOKUP(U195,'Lookup Table'!$B$2:$C$10,2,0)</f>
        <v>1</v>
      </c>
      <c r="AR195" s="127">
        <f>VLOOKUP(S195,'Lookup Table'!$B$2:$C$9,2,0)</f>
        <v>2</v>
      </c>
      <c r="AS195" s="127">
        <f>VLOOKUP(T195,'Lookup Table'!$B$2:$C$9,2,0)</f>
        <v>2</v>
      </c>
      <c r="AT195" s="136">
        <f t="shared" si="53"/>
        <v>8356097.04</v>
      </c>
      <c r="AU195" s="128">
        <f t="shared" si="54"/>
        <v>0.01</v>
      </c>
      <c r="AV195" s="136">
        <f t="shared" si="55"/>
        <v>59495.56</v>
      </c>
      <c r="AW195" s="37" t="str">
        <f t="shared" si="56"/>
        <v>B3</v>
      </c>
      <c r="AX195" s="128">
        <f>VLOOKUP(E195,'Lookup Table'!$B$12:$C$82,2,0)</f>
        <v>1.4999999999999999E-2</v>
      </c>
      <c r="AY195" s="128">
        <f>'Lookup Table'!$E$3</f>
        <v>0.45</v>
      </c>
      <c r="AZ195" s="129" t="str">
        <f t="shared" si="57"/>
        <v>Sierra Leone</v>
      </c>
      <c r="BA195" s="37">
        <f>VLOOKUP(AA195,'Lookup Table'!$J$3:$K$27,2,0)</f>
        <v>1</v>
      </c>
      <c r="BB195" s="37">
        <f t="shared" si="58"/>
        <v>1</v>
      </c>
      <c r="BC195" s="37">
        <f t="shared" si="59"/>
        <v>1</v>
      </c>
      <c r="BD195" s="37">
        <f>IF(AND(K195&lt;'ECL Calculation'!$B$1,'Input Sheet'!W195="No"),3,IF(X195="Yes",2,1))</f>
        <v>1</v>
      </c>
      <c r="BE195" s="37">
        <f t="shared" si="60"/>
        <v>1</v>
      </c>
      <c r="BF195" s="37" t="str">
        <f t="shared" si="61"/>
        <v>Stage 1</v>
      </c>
      <c r="BG195" s="37" t="str">
        <f t="shared" si="62"/>
        <v>Yes</v>
      </c>
    </row>
    <row r="196" spans="1:59" x14ac:dyDescent="0.2">
      <c r="A196" s="35">
        <f t="shared" si="63"/>
        <v>194</v>
      </c>
      <c r="B196" s="33">
        <v>1203</v>
      </c>
      <c r="C196" s="33" t="s">
        <v>441</v>
      </c>
      <c r="D196" s="33" t="s">
        <v>806</v>
      </c>
      <c r="E196" s="33" t="s">
        <v>490</v>
      </c>
      <c r="F196" s="33" t="s">
        <v>542</v>
      </c>
      <c r="G196" s="117">
        <v>2</v>
      </c>
      <c r="H196" s="34">
        <v>41820</v>
      </c>
      <c r="I196" s="34">
        <v>42239</v>
      </c>
      <c r="J196" s="34">
        <v>42239</v>
      </c>
      <c r="K196" s="34">
        <v>48945</v>
      </c>
      <c r="L196" s="34">
        <v>43647</v>
      </c>
      <c r="M196" s="34">
        <v>42005</v>
      </c>
      <c r="N196" s="113">
        <v>15</v>
      </c>
      <c r="O196" s="200">
        <v>36730000</v>
      </c>
      <c r="P196" s="200">
        <v>17951803.960000001</v>
      </c>
      <c r="Q196" s="200">
        <v>17951803.960000001</v>
      </c>
      <c r="R196" s="201">
        <v>205384.77</v>
      </c>
      <c r="S196" s="33" t="s">
        <v>22</v>
      </c>
      <c r="T196" s="33" t="s">
        <v>22</v>
      </c>
      <c r="U196" s="33" t="s">
        <v>204</v>
      </c>
      <c r="V196" s="33"/>
      <c r="W196" s="33" t="s">
        <v>210</v>
      </c>
      <c r="X196" s="33" t="s">
        <v>210</v>
      </c>
      <c r="Y196" s="33"/>
      <c r="Z196" s="33" t="s">
        <v>209</v>
      </c>
      <c r="AA196" s="35" t="str">
        <f>_xlfn.IFNA(VLOOKUP(E196,'Lookup Table'!$J$33:$K$176,2,0),"B3")</f>
        <v>B3</v>
      </c>
      <c r="AB196" s="35">
        <f>_xlfn.IFNA(VLOOKUP($AA196,'Rating Lookup'!$B$2:$I$27,8,0),15)</f>
        <v>16</v>
      </c>
      <c r="AC196" s="35" t="str">
        <f>_xlfn.IFNA(VLOOKUP(E196,'Lookup Table'!$M$33:$N$173,2,0),"B3")</f>
        <v>B3</v>
      </c>
      <c r="AD196" s="35">
        <f>_xlfn.IFNA(VLOOKUP($AC196,'Rating Lookup'!$B$2:$I$27,8,0),15)</f>
        <v>16</v>
      </c>
      <c r="AE196" s="35">
        <f t="shared" ref="AE196:AE232" si="64">IF(AB196-AD196&lt;0,0,AB196-AD196)</f>
        <v>0</v>
      </c>
      <c r="AG196" s="35" t="str">
        <f t="shared" ref="AG196:AG232" si="65">C196</f>
        <v>RECONSTRUCTION AND UPGRADING OF THE LAMINKOTO - PASSIMUS ROAD PROJECT</v>
      </c>
      <c r="AH196" s="35" t="str">
        <f t="shared" ref="AH196:AH232" si="66">D196</f>
        <v>Government Loan</v>
      </c>
      <c r="AI196" s="202">
        <f>'ECL Calculation'!$B$1</f>
        <v>43465</v>
      </c>
      <c r="AJ196" s="202">
        <f t="shared" ref="AJ196:AJ232" si="67">L196</f>
        <v>43647</v>
      </c>
      <c r="AK196" s="202">
        <f t="shared" ref="AK196:AK232" si="68">M196</f>
        <v>42005</v>
      </c>
      <c r="AL196" s="127">
        <f t="shared" ref="AL196:AL232" si="69">N196</f>
        <v>15</v>
      </c>
      <c r="AM196" s="192">
        <f>IF(AND(IF(ISBLANK(K196),EOMONTH(AJ196,AL196*12),K196)&lt;'ECL Calculation'!$B$1,SUM('Input Sheet'!Q196,'Input Sheet'!R196)&gt;0),EOMONTH('ECL Calculation'!$B$1,12*5),IF(ISBLANK(K196),EOMONTH(AJ196,AL196*12),K196))</f>
        <v>48945</v>
      </c>
      <c r="AN196" s="203">
        <f t="shared" ref="AN196:AN232" si="70">O196</f>
        <v>36730000</v>
      </c>
      <c r="AO196" s="203">
        <f t="shared" ref="AO196:AO232" si="71">P196</f>
        <v>17951803.960000001</v>
      </c>
      <c r="AP196" s="203">
        <f t="shared" ref="AP196:AP232" si="72">IF(Z196="No",0,AN196-AO196)</f>
        <v>18778196.039999999</v>
      </c>
      <c r="AQ196" s="126">
        <f>VLOOKUP(U196,'Lookup Table'!$B$2:$C$10,2,0)</f>
        <v>4</v>
      </c>
      <c r="AR196" s="127">
        <f>VLOOKUP(S196,'Lookup Table'!$B$2:$C$9,2,0)</f>
        <v>2</v>
      </c>
      <c r="AS196" s="127">
        <f>VLOOKUP(T196,'Lookup Table'!$B$2:$C$9,2,0)</f>
        <v>2</v>
      </c>
      <c r="AT196" s="136">
        <f t="shared" ref="AT196:AT232" si="73">Q196</f>
        <v>17951803.960000001</v>
      </c>
      <c r="AU196" s="128">
        <f t="shared" ref="AU196:AU232" si="74">G196/100</f>
        <v>0.02</v>
      </c>
      <c r="AV196" s="136">
        <f t="shared" ref="AV196:AV232" si="75">R196</f>
        <v>205384.77</v>
      </c>
      <c r="AW196" s="37" t="str">
        <f t="shared" ref="AW196:AW232" si="76">AA196</f>
        <v>B3</v>
      </c>
      <c r="AX196" s="128">
        <f>VLOOKUP(E196,'Lookup Table'!$B$12:$C$82,2,0)</f>
        <v>2.5000000000000001E-2</v>
      </c>
      <c r="AY196" s="128">
        <f>'Lookup Table'!$E$3</f>
        <v>0.45</v>
      </c>
      <c r="AZ196" s="129" t="str">
        <f t="shared" ref="AZ196:AZ232" si="77">E196</f>
        <v>Gambia</v>
      </c>
      <c r="BA196" s="37">
        <f>VLOOKUP(AA196,'Lookup Table'!$J$3:$K$27,2,0)</f>
        <v>1</v>
      </c>
      <c r="BB196" s="37">
        <f t="shared" ref="BB196:BB232" si="78">IF(AND(AD196&lt;=10,AE196&gt;=2,AB196&gt;10), 2,IF(AND(AD196&gt;10,AE196&gt;=1),2,1))</f>
        <v>1</v>
      </c>
      <c r="BC196" s="37">
        <f t="shared" ref="BC196:BC232" si="79">IF(W196="Yes",2,1)</f>
        <v>1</v>
      </c>
      <c r="BD196" s="37">
        <f>IF(AND(K196&lt;'ECL Calculation'!$B$1,'Input Sheet'!W196="No"),3,IF(X196="Yes",2,1))</f>
        <v>1</v>
      </c>
      <c r="BE196" s="37">
        <f t="shared" ref="BE196:BE232" si="80">IF(Y196="Yes",3,1)</f>
        <v>1</v>
      </c>
      <c r="BF196" s="37" t="str">
        <f t="shared" ref="BF196:BF232" si="81">IF(MAX(BA196:BE196)=2,"Stage 2",IF(MAX(BA196:BE196)=3,"Stage 3","Stage 1"))</f>
        <v>Stage 1</v>
      </c>
      <c r="BG196" s="37" t="str">
        <f t="shared" ref="BG196:BG232" si="82">IF(OR(AND(AK196&lt;AI196,AT196&lt;=0),V196="Grant"),"No","Yes")</f>
        <v>Yes</v>
      </c>
    </row>
    <row r="197" spans="1:59" x14ac:dyDescent="0.2">
      <c r="A197" s="35">
        <f t="shared" ref="A197:A232" si="83">A196+1</f>
        <v>195</v>
      </c>
      <c r="B197" s="33">
        <v>1204</v>
      </c>
      <c r="C197" s="33" t="s">
        <v>442</v>
      </c>
      <c r="D197" s="33" t="s">
        <v>806</v>
      </c>
      <c r="E197" s="33" t="s">
        <v>231</v>
      </c>
      <c r="F197" s="33" t="s">
        <v>542</v>
      </c>
      <c r="G197" s="117">
        <v>1</v>
      </c>
      <c r="H197" s="34">
        <v>41927</v>
      </c>
      <c r="I197" s="34">
        <v>41968</v>
      </c>
      <c r="J197" s="34">
        <v>41968</v>
      </c>
      <c r="K197" s="34">
        <v>49049</v>
      </c>
      <c r="L197" s="34">
        <v>43753</v>
      </c>
      <c r="M197" s="34">
        <v>42109</v>
      </c>
      <c r="N197" s="113">
        <v>15</v>
      </c>
      <c r="O197" s="200">
        <v>367300000</v>
      </c>
      <c r="P197" s="200">
        <v>343608567.06</v>
      </c>
      <c r="Q197" s="200">
        <v>343608567.06</v>
      </c>
      <c r="R197" s="201">
        <v>715851.14</v>
      </c>
      <c r="S197" s="33" t="s">
        <v>22</v>
      </c>
      <c r="T197" s="33" t="s">
        <v>22</v>
      </c>
      <c r="U197" s="33" t="s">
        <v>206</v>
      </c>
      <c r="V197" s="33"/>
      <c r="W197" s="33" t="s">
        <v>210</v>
      </c>
      <c r="X197" s="33" t="s">
        <v>210</v>
      </c>
      <c r="Y197" s="33"/>
      <c r="Z197" s="33" t="s">
        <v>209</v>
      </c>
      <c r="AA197" s="35" t="str">
        <f>_xlfn.IFNA(VLOOKUP(E197,'Lookup Table'!$J$33:$K$176,2,0),"B3")</f>
        <v>B2</v>
      </c>
      <c r="AB197" s="35">
        <f>_xlfn.IFNA(VLOOKUP($AA197,'Rating Lookup'!$B$2:$I$27,8,0),15)</f>
        <v>15</v>
      </c>
      <c r="AC197" s="35" t="str">
        <f>_xlfn.IFNA(VLOOKUP(E197,'Lookup Table'!$M$33:$N$173,2,0),"B3")</f>
        <v>B2</v>
      </c>
      <c r="AD197" s="35">
        <f>_xlfn.IFNA(VLOOKUP($AC197,'Rating Lookup'!$B$2:$I$27,8,0),15)</f>
        <v>15</v>
      </c>
      <c r="AE197" s="35">
        <f t="shared" si="64"/>
        <v>0</v>
      </c>
      <c r="AG197" s="35" t="str">
        <f t="shared" si="65"/>
        <v>AL DAHRA AGRICULTURAL CO-TOSHKA " EGYPT " .</v>
      </c>
      <c r="AH197" s="35" t="str">
        <f t="shared" si="66"/>
        <v>Government Loan</v>
      </c>
      <c r="AI197" s="202">
        <f>'ECL Calculation'!$B$1</f>
        <v>43465</v>
      </c>
      <c r="AJ197" s="202">
        <f t="shared" si="67"/>
        <v>43753</v>
      </c>
      <c r="AK197" s="202">
        <f t="shared" si="68"/>
        <v>42109</v>
      </c>
      <c r="AL197" s="127">
        <f t="shared" si="69"/>
        <v>15</v>
      </c>
      <c r="AM197" s="192">
        <f>IF(AND(IF(ISBLANK(K197),EOMONTH(AJ197,AL197*12),K197)&lt;'ECL Calculation'!$B$1,SUM('Input Sheet'!Q197,'Input Sheet'!R197)&gt;0),EOMONTH('ECL Calculation'!$B$1,12*5),IF(ISBLANK(K197),EOMONTH(AJ197,AL197*12),K197))</f>
        <v>49049</v>
      </c>
      <c r="AN197" s="203">
        <f t="shared" si="70"/>
        <v>367300000</v>
      </c>
      <c r="AO197" s="203">
        <f t="shared" si="71"/>
        <v>343608567.06</v>
      </c>
      <c r="AP197" s="203">
        <f t="shared" si="72"/>
        <v>23691432.939999998</v>
      </c>
      <c r="AQ197" s="126">
        <f>VLOOKUP(U197,'Lookup Table'!$B$2:$C$10,2,0)</f>
        <v>12</v>
      </c>
      <c r="AR197" s="127">
        <f>VLOOKUP(S197,'Lookup Table'!$B$2:$C$9,2,0)</f>
        <v>2</v>
      </c>
      <c r="AS197" s="127">
        <f>VLOOKUP(T197,'Lookup Table'!$B$2:$C$9,2,0)</f>
        <v>2</v>
      </c>
      <c r="AT197" s="136">
        <f t="shared" si="73"/>
        <v>343608567.06</v>
      </c>
      <c r="AU197" s="128">
        <f t="shared" si="74"/>
        <v>0.01</v>
      </c>
      <c r="AV197" s="136">
        <f t="shared" si="75"/>
        <v>715851.14</v>
      </c>
      <c r="AW197" s="37" t="str">
        <f t="shared" si="76"/>
        <v>B2</v>
      </c>
      <c r="AX197" s="128">
        <f>VLOOKUP(E197,'Lookup Table'!$B$12:$C$82,2,0)</f>
        <v>2.8999999999999998E-2</v>
      </c>
      <c r="AY197" s="128">
        <f>'Lookup Table'!$E$3</f>
        <v>0.45</v>
      </c>
      <c r="AZ197" s="129" t="str">
        <f t="shared" si="77"/>
        <v>Egypt</v>
      </c>
      <c r="BA197" s="37">
        <f>VLOOKUP(AA197,'Lookup Table'!$J$3:$K$27,2,0)</f>
        <v>1</v>
      </c>
      <c r="BB197" s="37">
        <f t="shared" si="78"/>
        <v>1</v>
      </c>
      <c r="BC197" s="37">
        <f t="shared" si="79"/>
        <v>1</v>
      </c>
      <c r="BD197" s="37">
        <f>IF(AND(K197&lt;'ECL Calculation'!$B$1,'Input Sheet'!W197="No"),3,IF(X197="Yes",2,1))</f>
        <v>1</v>
      </c>
      <c r="BE197" s="37">
        <f t="shared" si="80"/>
        <v>1</v>
      </c>
      <c r="BF197" s="37" t="str">
        <f t="shared" si="81"/>
        <v>Stage 1</v>
      </c>
      <c r="BG197" s="37" t="str">
        <f t="shared" si="82"/>
        <v>Yes</v>
      </c>
    </row>
    <row r="198" spans="1:59" x14ac:dyDescent="0.2">
      <c r="A198" s="35">
        <f t="shared" si="83"/>
        <v>196</v>
      </c>
      <c r="B198" s="33">
        <v>1205</v>
      </c>
      <c r="C198" s="33" t="s">
        <v>401</v>
      </c>
      <c r="D198" s="33" t="s">
        <v>806</v>
      </c>
      <c r="E198" s="33" t="s">
        <v>531</v>
      </c>
      <c r="F198" s="33" t="s">
        <v>229</v>
      </c>
      <c r="G198" s="117">
        <v>4.5</v>
      </c>
      <c r="H198" s="34">
        <v>41934</v>
      </c>
      <c r="I198" s="34">
        <v>42003</v>
      </c>
      <c r="J198" s="34">
        <v>42003</v>
      </c>
      <c r="K198" s="34">
        <v>43220</v>
      </c>
      <c r="L198" s="34">
        <v>42673</v>
      </c>
      <c r="M198" s="34">
        <v>42124</v>
      </c>
      <c r="N198" s="113">
        <v>2</v>
      </c>
      <c r="O198" s="200">
        <v>1836500000</v>
      </c>
      <c r="P198" s="200">
        <v>1836500000</v>
      </c>
      <c r="Q198" s="200">
        <v>0</v>
      </c>
      <c r="R198" s="201">
        <v>0</v>
      </c>
      <c r="S198" s="33" t="s">
        <v>22</v>
      </c>
      <c r="T198" s="33" t="s">
        <v>22</v>
      </c>
      <c r="U198" s="33" t="s">
        <v>203</v>
      </c>
      <c r="V198" s="33"/>
      <c r="W198" s="33" t="s">
        <v>210</v>
      </c>
      <c r="X198" s="33" t="s">
        <v>210</v>
      </c>
      <c r="Y198" s="33"/>
      <c r="Z198" s="33" t="s">
        <v>209</v>
      </c>
      <c r="AA198" s="35" t="str">
        <f>_xlfn.IFNA(VLOOKUP(E198,'Lookup Table'!$J$33:$K$176,2,0),"B3")</f>
        <v>B3</v>
      </c>
      <c r="AB198" s="35">
        <f>_xlfn.IFNA(VLOOKUP($AA198,'Rating Lookup'!$B$2:$I$27,8,0),15)</f>
        <v>16</v>
      </c>
      <c r="AC198" s="35" t="str">
        <f>_xlfn.IFNA(VLOOKUP(E198,'Lookup Table'!$M$33:$N$173,2,0),"B3")</f>
        <v>B3</v>
      </c>
      <c r="AD198" s="35">
        <f>_xlfn.IFNA(VLOOKUP($AC198,'Rating Lookup'!$B$2:$I$27,8,0),15)</f>
        <v>16</v>
      </c>
      <c r="AE198" s="35">
        <f t="shared" si="64"/>
        <v>0</v>
      </c>
      <c r="AG198" s="35" t="str">
        <f t="shared" si="65"/>
        <v>BALANCE OF PAYMENT</v>
      </c>
      <c r="AH198" s="35" t="str">
        <f t="shared" si="66"/>
        <v>Government Loan</v>
      </c>
      <c r="AI198" s="202">
        <f>'ECL Calculation'!$B$1</f>
        <v>43465</v>
      </c>
      <c r="AJ198" s="202">
        <f t="shared" si="67"/>
        <v>42673</v>
      </c>
      <c r="AK198" s="202">
        <f t="shared" si="68"/>
        <v>42124</v>
      </c>
      <c r="AL198" s="127">
        <f t="shared" si="69"/>
        <v>2</v>
      </c>
      <c r="AM198" s="192">
        <f>IF(AND(IF(ISBLANK(K198),EOMONTH(AJ198,AL198*12),K198)&lt;'ECL Calculation'!$B$1,SUM('Input Sheet'!Q198,'Input Sheet'!R198)&gt;0),EOMONTH('ECL Calculation'!$B$1,12*5),IF(ISBLANK(K198),EOMONTH(AJ198,AL198*12),K198))</f>
        <v>43220</v>
      </c>
      <c r="AN198" s="203">
        <f t="shared" si="70"/>
        <v>1836500000</v>
      </c>
      <c r="AO198" s="203">
        <f t="shared" si="71"/>
        <v>1836500000</v>
      </c>
      <c r="AP198" s="203">
        <f t="shared" si="72"/>
        <v>0</v>
      </c>
      <c r="AQ198" s="126">
        <f>VLOOKUP(U198,'Lookup Table'!$B$2:$C$10,2,0)</f>
        <v>1</v>
      </c>
      <c r="AR198" s="127">
        <f>VLOOKUP(S198,'Lookup Table'!$B$2:$C$9,2,0)</f>
        <v>2</v>
      </c>
      <c r="AS198" s="127">
        <f>VLOOKUP(T198,'Lookup Table'!$B$2:$C$9,2,0)</f>
        <v>2</v>
      </c>
      <c r="AT198" s="136">
        <f t="shared" si="73"/>
        <v>0</v>
      </c>
      <c r="AU198" s="128">
        <f t="shared" si="74"/>
        <v>4.4999999999999998E-2</v>
      </c>
      <c r="AV198" s="136">
        <f t="shared" si="75"/>
        <v>0</v>
      </c>
      <c r="AW198" s="37" t="str">
        <f t="shared" si="76"/>
        <v>B3</v>
      </c>
      <c r="AX198" s="128">
        <f>VLOOKUP(E198,'Lookup Table'!$B$12:$C$82,2,0)</f>
        <v>4.4999999999999998E-2</v>
      </c>
      <c r="AY198" s="128">
        <f>'Lookup Table'!$E$3</f>
        <v>0.45</v>
      </c>
      <c r="AZ198" s="129" t="str">
        <f t="shared" si="77"/>
        <v>Belarus</v>
      </c>
      <c r="BA198" s="37">
        <f>VLOOKUP(AA198,'Lookup Table'!$J$3:$K$27,2,0)</f>
        <v>1</v>
      </c>
      <c r="BB198" s="37">
        <f t="shared" si="78"/>
        <v>1</v>
      </c>
      <c r="BC198" s="37">
        <f t="shared" si="79"/>
        <v>1</v>
      </c>
      <c r="BD198" s="37">
        <f>IF(AND(K198&lt;'ECL Calculation'!$B$1,'Input Sheet'!W198="No"),3,IF(X198="Yes",2,1))</f>
        <v>3</v>
      </c>
      <c r="BE198" s="37">
        <f t="shared" si="80"/>
        <v>1</v>
      </c>
      <c r="BF198" s="37" t="str">
        <f t="shared" si="81"/>
        <v>Stage 3</v>
      </c>
      <c r="BG198" s="37" t="str">
        <f t="shared" si="82"/>
        <v>No</v>
      </c>
    </row>
    <row r="199" spans="1:59" x14ac:dyDescent="0.2">
      <c r="A199" s="35">
        <f t="shared" si="83"/>
        <v>197</v>
      </c>
      <c r="B199" s="33">
        <v>1206</v>
      </c>
      <c r="C199" s="33" t="s">
        <v>443</v>
      </c>
      <c r="D199" s="33" t="s">
        <v>806</v>
      </c>
      <c r="E199" s="33" t="s">
        <v>501</v>
      </c>
      <c r="F199" s="33" t="s">
        <v>542</v>
      </c>
      <c r="G199" s="117">
        <v>2</v>
      </c>
      <c r="H199" s="34">
        <v>41963</v>
      </c>
      <c r="I199" s="34">
        <v>42309</v>
      </c>
      <c r="J199" s="34">
        <v>42309</v>
      </c>
      <c r="K199" s="34">
        <v>49049</v>
      </c>
      <c r="L199" s="34">
        <v>43753</v>
      </c>
      <c r="M199" s="34">
        <v>42109</v>
      </c>
      <c r="N199" s="113">
        <v>15</v>
      </c>
      <c r="O199" s="200">
        <v>110190000</v>
      </c>
      <c r="P199" s="200">
        <v>0</v>
      </c>
      <c r="Q199" s="200">
        <v>0</v>
      </c>
      <c r="R199" s="201">
        <v>0</v>
      </c>
      <c r="S199" s="33" t="s">
        <v>22</v>
      </c>
      <c r="T199" s="33" t="s">
        <v>22</v>
      </c>
      <c r="U199" s="33" t="s">
        <v>203</v>
      </c>
      <c r="V199" s="33"/>
      <c r="W199" s="33" t="s">
        <v>210</v>
      </c>
      <c r="X199" s="33" t="s">
        <v>210</v>
      </c>
      <c r="Y199" s="33"/>
      <c r="Z199" s="33" t="s">
        <v>209</v>
      </c>
      <c r="AA199" s="35" t="str">
        <f>_xlfn.IFNA(VLOOKUP(E199,'Lookup Table'!$J$33:$K$176,2,0),"B3")</f>
        <v>B3</v>
      </c>
      <c r="AB199" s="35">
        <f>_xlfn.IFNA(VLOOKUP($AA199,'Rating Lookup'!$B$2:$I$27,8,0),15)</f>
        <v>16</v>
      </c>
      <c r="AC199" s="35" t="str">
        <f>_xlfn.IFNA(VLOOKUP(E199,'Lookup Table'!$M$33:$N$173,2,0),"B3")</f>
        <v>B3</v>
      </c>
      <c r="AD199" s="35">
        <f>_xlfn.IFNA(VLOOKUP($AC199,'Rating Lookup'!$B$2:$I$27,8,0),15)</f>
        <v>16</v>
      </c>
      <c r="AE199" s="35">
        <f t="shared" si="64"/>
        <v>0</v>
      </c>
      <c r="AG199" s="35" t="str">
        <f t="shared" si="65"/>
        <v>DEVELOPMENT &amp; ASPHALTING OF THE MADAGASCAR RN5-SOANIERANA IVONGO-MANANARA .</v>
      </c>
      <c r="AH199" s="35" t="str">
        <f t="shared" si="66"/>
        <v>Government Loan</v>
      </c>
      <c r="AI199" s="202">
        <f>'ECL Calculation'!$B$1</f>
        <v>43465</v>
      </c>
      <c r="AJ199" s="202">
        <f t="shared" si="67"/>
        <v>43753</v>
      </c>
      <c r="AK199" s="202">
        <f t="shared" si="68"/>
        <v>42109</v>
      </c>
      <c r="AL199" s="127">
        <f t="shared" si="69"/>
        <v>15</v>
      </c>
      <c r="AM199" s="192">
        <f>IF(AND(IF(ISBLANK(K199),EOMONTH(AJ199,AL199*12),K199)&lt;'ECL Calculation'!$B$1,SUM('Input Sheet'!Q199,'Input Sheet'!R199)&gt;0),EOMONTH('ECL Calculation'!$B$1,12*5),IF(ISBLANK(K199),EOMONTH(AJ199,AL199*12),K199))</f>
        <v>49049</v>
      </c>
      <c r="AN199" s="203">
        <f t="shared" si="70"/>
        <v>110190000</v>
      </c>
      <c r="AO199" s="203">
        <f t="shared" si="71"/>
        <v>0</v>
      </c>
      <c r="AP199" s="203">
        <f t="shared" si="72"/>
        <v>110190000</v>
      </c>
      <c r="AQ199" s="126">
        <f>VLOOKUP(U199,'Lookup Table'!$B$2:$C$10,2,0)</f>
        <v>1</v>
      </c>
      <c r="AR199" s="127">
        <f>VLOOKUP(S199,'Lookup Table'!$B$2:$C$9,2,0)</f>
        <v>2</v>
      </c>
      <c r="AS199" s="127">
        <f>VLOOKUP(T199,'Lookup Table'!$B$2:$C$9,2,0)</f>
        <v>2</v>
      </c>
      <c r="AT199" s="136">
        <f t="shared" si="73"/>
        <v>0</v>
      </c>
      <c r="AU199" s="128">
        <f t="shared" si="74"/>
        <v>0.02</v>
      </c>
      <c r="AV199" s="136">
        <f t="shared" si="75"/>
        <v>0</v>
      </c>
      <c r="AW199" s="37" t="str">
        <f t="shared" si="76"/>
        <v>B3</v>
      </c>
      <c r="AX199" s="128">
        <f>VLOOKUP(E199,'Lookup Table'!$B$12:$C$82,2,0)</f>
        <v>0.03</v>
      </c>
      <c r="AY199" s="128">
        <f>'Lookup Table'!$E$3</f>
        <v>0.45</v>
      </c>
      <c r="AZ199" s="129" t="str">
        <f t="shared" si="77"/>
        <v>Madagascar</v>
      </c>
      <c r="BA199" s="37">
        <f>VLOOKUP(AA199,'Lookup Table'!$J$3:$K$27,2,0)</f>
        <v>1</v>
      </c>
      <c r="BB199" s="37">
        <f t="shared" si="78"/>
        <v>1</v>
      </c>
      <c r="BC199" s="37">
        <f t="shared" si="79"/>
        <v>1</v>
      </c>
      <c r="BD199" s="37">
        <f>IF(AND(K199&lt;'ECL Calculation'!$B$1,'Input Sheet'!W199="No"),3,IF(X199="Yes",2,1))</f>
        <v>1</v>
      </c>
      <c r="BE199" s="37">
        <f t="shared" si="80"/>
        <v>1</v>
      </c>
      <c r="BF199" s="37" t="str">
        <f t="shared" si="81"/>
        <v>Stage 1</v>
      </c>
      <c r="BG199" s="37" t="str">
        <f t="shared" si="82"/>
        <v>No</v>
      </c>
    </row>
    <row r="200" spans="1:59" x14ac:dyDescent="0.2">
      <c r="A200" s="35">
        <f t="shared" si="83"/>
        <v>198</v>
      </c>
      <c r="B200" s="33">
        <v>1207</v>
      </c>
      <c r="C200" s="33" t="s">
        <v>444</v>
      </c>
      <c r="D200" s="33" t="s">
        <v>806</v>
      </c>
      <c r="E200" s="33" t="s">
        <v>532</v>
      </c>
      <c r="F200" s="33" t="s">
        <v>542</v>
      </c>
      <c r="G200" s="117">
        <v>3</v>
      </c>
      <c r="H200" s="34">
        <v>42022</v>
      </c>
      <c r="I200" s="34">
        <v>42654</v>
      </c>
      <c r="J200" s="34">
        <v>42654</v>
      </c>
      <c r="K200" s="34">
        <v>48059</v>
      </c>
      <c r="L200" s="34">
        <v>43495</v>
      </c>
      <c r="M200" s="34">
        <v>42215</v>
      </c>
      <c r="N200" s="113">
        <v>13</v>
      </c>
      <c r="O200" s="200">
        <v>36730000</v>
      </c>
      <c r="P200" s="200">
        <v>33230242.850000001</v>
      </c>
      <c r="Q200" s="200">
        <v>33230242.850000001</v>
      </c>
      <c r="R200" s="201">
        <v>425303.79</v>
      </c>
      <c r="S200" s="33" t="s">
        <v>22</v>
      </c>
      <c r="T200" s="33" t="s">
        <v>22</v>
      </c>
      <c r="U200" s="33" t="s">
        <v>204</v>
      </c>
      <c r="V200" s="33"/>
      <c r="W200" s="33" t="s">
        <v>210</v>
      </c>
      <c r="X200" s="33" t="s">
        <v>210</v>
      </c>
      <c r="Y200" s="33"/>
      <c r="Z200" s="33" t="s">
        <v>209</v>
      </c>
      <c r="AA200" s="35" t="str">
        <f>_xlfn.IFNA(VLOOKUP(E200,'Lookup Table'!$J$33:$K$176,2,0),"B3")</f>
        <v>B3</v>
      </c>
      <c r="AB200" s="35">
        <f>_xlfn.IFNA(VLOOKUP($AA200,'Rating Lookup'!$B$2:$I$27,8,0),15)</f>
        <v>16</v>
      </c>
      <c r="AC200" s="35" t="str">
        <f>_xlfn.IFNA(VLOOKUP(E200,'Lookup Table'!$M$33:$N$173,2,0),"B3")</f>
        <v>B3</v>
      </c>
      <c r="AD200" s="35">
        <f>_xlfn.IFNA(VLOOKUP($AC200,'Rating Lookup'!$B$2:$I$27,8,0),15)</f>
        <v>16</v>
      </c>
      <c r="AE200" s="35">
        <f t="shared" si="64"/>
        <v>0</v>
      </c>
      <c r="AG200" s="35" t="str">
        <f t="shared" si="65"/>
        <v>MANZINI-MBADLANE HIGHWAY (PHASE I) PROJECT</v>
      </c>
      <c r="AH200" s="35" t="str">
        <f t="shared" si="66"/>
        <v>Government Loan</v>
      </c>
      <c r="AI200" s="202">
        <f>'ECL Calculation'!$B$1</f>
        <v>43465</v>
      </c>
      <c r="AJ200" s="202">
        <f t="shared" si="67"/>
        <v>43495</v>
      </c>
      <c r="AK200" s="202">
        <f t="shared" si="68"/>
        <v>42215</v>
      </c>
      <c r="AL200" s="127">
        <f t="shared" si="69"/>
        <v>13</v>
      </c>
      <c r="AM200" s="192">
        <f>IF(AND(IF(ISBLANK(K200),EOMONTH(AJ200,AL200*12),K200)&lt;'ECL Calculation'!$B$1,SUM('Input Sheet'!Q200,'Input Sheet'!R200)&gt;0),EOMONTH('ECL Calculation'!$B$1,12*5),IF(ISBLANK(K200),EOMONTH(AJ200,AL200*12),K200))</f>
        <v>48059</v>
      </c>
      <c r="AN200" s="203">
        <f t="shared" si="70"/>
        <v>36730000</v>
      </c>
      <c r="AO200" s="203">
        <f t="shared" si="71"/>
        <v>33230242.850000001</v>
      </c>
      <c r="AP200" s="203">
        <f t="shared" si="72"/>
        <v>3499757.1499999985</v>
      </c>
      <c r="AQ200" s="126">
        <f>VLOOKUP(U200,'Lookup Table'!$B$2:$C$10,2,0)</f>
        <v>4</v>
      </c>
      <c r="AR200" s="127">
        <f>VLOOKUP(S200,'Lookup Table'!$B$2:$C$9,2,0)</f>
        <v>2</v>
      </c>
      <c r="AS200" s="127">
        <f>VLOOKUP(T200,'Lookup Table'!$B$2:$C$9,2,0)</f>
        <v>2</v>
      </c>
      <c r="AT200" s="136">
        <f t="shared" si="73"/>
        <v>33230242.850000001</v>
      </c>
      <c r="AU200" s="128">
        <f t="shared" si="74"/>
        <v>0.03</v>
      </c>
      <c r="AV200" s="136">
        <f t="shared" si="75"/>
        <v>425303.79</v>
      </c>
      <c r="AW200" s="37" t="str">
        <f t="shared" si="76"/>
        <v>B3</v>
      </c>
      <c r="AX200" s="128">
        <f>VLOOKUP(E200,'Lookup Table'!$B$12:$C$82,2,0)</f>
        <v>0.03</v>
      </c>
      <c r="AY200" s="128">
        <f>'Lookup Table'!$E$3</f>
        <v>0.45</v>
      </c>
      <c r="AZ200" s="129" t="str">
        <f t="shared" si="77"/>
        <v>Swaziland</v>
      </c>
      <c r="BA200" s="37">
        <f>VLOOKUP(AA200,'Lookup Table'!$J$3:$K$27,2,0)</f>
        <v>1</v>
      </c>
      <c r="BB200" s="37">
        <f t="shared" si="78"/>
        <v>1</v>
      </c>
      <c r="BC200" s="37">
        <f t="shared" si="79"/>
        <v>1</v>
      </c>
      <c r="BD200" s="37">
        <f>IF(AND(K200&lt;'ECL Calculation'!$B$1,'Input Sheet'!W200="No"),3,IF(X200="Yes",2,1))</f>
        <v>1</v>
      </c>
      <c r="BE200" s="37">
        <f t="shared" si="80"/>
        <v>1</v>
      </c>
      <c r="BF200" s="37" t="str">
        <f t="shared" si="81"/>
        <v>Stage 1</v>
      </c>
      <c r="BG200" s="37" t="str">
        <f t="shared" si="82"/>
        <v>Yes</v>
      </c>
    </row>
    <row r="201" spans="1:59" x14ac:dyDescent="0.2">
      <c r="A201" s="35">
        <f t="shared" si="83"/>
        <v>199</v>
      </c>
      <c r="B201" s="33">
        <v>1208</v>
      </c>
      <c r="C201" s="33" t="s">
        <v>445</v>
      </c>
      <c r="D201" s="33" t="s">
        <v>806</v>
      </c>
      <c r="E201" s="33" t="s">
        <v>529</v>
      </c>
      <c r="F201" s="33" t="s">
        <v>542</v>
      </c>
      <c r="G201" s="117">
        <v>2</v>
      </c>
      <c r="H201" s="34">
        <v>41913</v>
      </c>
      <c r="I201" s="34">
        <v>41913</v>
      </c>
      <c r="J201" s="34">
        <v>41913</v>
      </c>
      <c r="K201" s="34">
        <v>47574</v>
      </c>
      <c r="L201" s="34">
        <v>44927</v>
      </c>
      <c r="M201" s="34">
        <v>42095</v>
      </c>
      <c r="N201" s="113">
        <v>11</v>
      </c>
      <c r="O201" s="200">
        <v>300000000</v>
      </c>
      <c r="P201" s="200">
        <v>300000000</v>
      </c>
      <c r="Q201" s="200">
        <v>300000000</v>
      </c>
      <c r="R201" s="201">
        <v>5750000</v>
      </c>
      <c r="S201" s="33" t="s">
        <v>22</v>
      </c>
      <c r="T201" s="33" t="s">
        <v>22</v>
      </c>
      <c r="U201" s="33" t="s">
        <v>203</v>
      </c>
      <c r="V201" s="33"/>
      <c r="W201" s="33" t="s">
        <v>210</v>
      </c>
      <c r="X201" s="33" t="s">
        <v>210</v>
      </c>
      <c r="Y201" s="33"/>
      <c r="Z201" s="33" t="s">
        <v>209</v>
      </c>
      <c r="AA201" s="35" t="str">
        <f>_xlfn.IFNA(VLOOKUP(E201,'Lookup Table'!$J$33:$K$176,2,0),"B3")</f>
        <v>Aa2</v>
      </c>
      <c r="AB201" s="35">
        <f>_xlfn.IFNA(VLOOKUP($AA201,'Rating Lookup'!$B$2:$I$27,8,0),15)</f>
        <v>3</v>
      </c>
      <c r="AC201" s="35" t="str">
        <f>_xlfn.IFNA(VLOOKUP(E201,'Lookup Table'!$M$33:$N$173,2,0),"B3")</f>
        <v>Aaa</v>
      </c>
      <c r="AD201" s="35">
        <f>_xlfn.IFNA(VLOOKUP($AC201,'Rating Lookup'!$B$2:$I$27,8,0),15)</f>
        <v>1</v>
      </c>
      <c r="AE201" s="35">
        <f t="shared" si="64"/>
        <v>2</v>
      </c>
      <c r="AG201" s="35" t="str">
        <f t="shared" si="65"/>
        <v>GRAIN SILOS IN THE EMIRATE OF FUJAIRAH  .</v>
      </c>
      <c r="AH201" s="35" t="str">
        <f t="shared" si="66"/>
        <v>Government Loan</v>
      </c>
      <c r="AI201" s="202">
        <f>'ECL Calculation'!$B$1</f>
        <v>43465</v>
      </c>
      <c r="AJ201" s="202">
        <f t="shared" si="67"/>
        <v>44927</v>
      </c>
      <c r="AK201" s="202">
        <f t="shared" si="68"/>
        <v>42095</v>
      </c>
      <c r="AL201" s="127">
        <f t="shared" si="69"/>
        <v>11</v>
      </c>
      <c r="AM201" s="192">
        <f>IF(AND(IF(ISBLANK(K201),EOMONTH(AJ201,AL201*12),K201)&lt;'ECL Calculation'!$B$1,SUM('Input Sheet'!Q201,'Input Sheet'!R201)&gt;0),EOMONTH('ECL Calculation'!$B$1,12*5),IF(ISBLANK(K201),EOMONTH(AJ201,AL201*12),K201))</f>
        <v>47574</v>
      </c>
      <c r="AN201" s="203">
        <f t="shared" si="70"/>
        <v>300000000</v>
      </c>
      <c r="AO201" s="203">
        <f t="shared" si="71"/>
        <v>300000000</v>
      </c>
      <c r="AP201" s="203">
        <f t="shared" si="72"/>
        <v>0</v>
      </c>
      <c r="AQ201" s="126">
        <f>VLOOKUP(U201,'Lookup Table'!$B$2:$C$10,2,0)</f>
        <v>1</v>
      </c>
      <c r="AR201" s="127">
        <f>VLOOKUP(S201,'Lookup Table'!$B$2:$C$9,2,0)</f>
        <v>2</v>
      </c>
      <c r="AS201" s="127">
        <f>VLOOKUP(T201,'Lookup Table'!$B$2:$C$9,2,0)</f>
        <v>2</v>
      </c>
      <c r="AT201" s="136">
        <f t="shared" si="73"/>
        <v>300000000</v>
      </c>
      <c r="AU201" s="128">
        <f t="shared" si="74"/>
        <v>0.02</v>
      </c>
      <c r="AV201" s="136">
        <f t="shared" si="75"/>
        <v>5750000</v>
      </c>
      <c r="AW201" s="37" t="str">
        <f t="shared" si="76"/>
        <v>Aa2</v>
      </c>
      <c r="AX201" s="128">
        <f>VLOOKUP(E201,'Lookup Table'!$B$12:$C$82,2,0)</f>
        <v>2.4375000000000001E-2</v>
      </c>
      <c r="AY201" s="128">
        <f>'Lookup Table'!$E$3</f>
        <v>0.45</v>
      </c>
      <c r="AZ201" s="129" t="str">
        <f t="shared" si="77"/>
        <v>United Arab Emirates</v>
      </c>
      <c r="BA201" s="37">
        <f>VLOOKUP(AA201,'Lookup Table'!$J$3:$K$27,2,0)</f>
        <v>1</v>
      </c>
      <c r="BB201" s="37">
        <f t="shared" si="78"/>
        <v>1</v>
      </c>
      <c r="BC201" s="37">
        <f t="shared" si="79"/>
        <v>1</v>
      </c>
      <c r="BD201" s="37">
        <f>IF(AND(K201&lt;'ECL Calculation'!$B$1,'Input Sheet'!W201="No"),3,IF(X201="Yes",2,1))</f>
        <v>1</v>
      </c>
      <c r="BE201" s="37">
        <f t="shared" si="80"/>
        <v>1</v>
      </c>
      <c r="BF201" s="37" t="str">
        <f t="shared" si="81"/>
        <v>Stage 1</v>
      </c>
      <c r="BG201" s="37" t="str">
        <f t="shared" si="82"/>
        <v>Yes</v>
      </c>
    </row>
    <row r="202" spans="1:59" x14ac:dyDescent="0.2">
      <c r="A202" s="35">
        <f t="shared" si="83"/>
        <v>200</v>
      </c>
      <c r="B202" s="33">
        <v>1209</v>
      </c>
      <c r="C202" s="33" t="s">
        <v>446</v>
      </c>
      <c r="D202" s="33" t="s">
        <v>806</v>
      </c>
      <c r="E202" s="33" t="s">
        <v>484</v>
      </c>
      <c r="F202" s="33" t="s">
        <v>542</v>
      </c>
      <c r="G202" s="117">
        <v>2</v>
      </c>
      <c r="H202" s="34">
        <v>42057</v>
      </c>
      <c r="I202" s="34">
        <v>42106</v>
      </c>
      <c r="J202" s="34">
        <v>42106</v>
      </c>
      <c r="K202" s="34">
        <v>49188</v>
      </c>
      <c r="L202" s="34">
        <v>43891</v>
      </c>
      <c r="M202" s="34">
        <v>42248</v>
      </c>
      <c r="N202" s="113">
        <v>15</v>
      </c>
      <c r="O202" s="200">
        <v>330570000</v>
      </c>
      <c r="P202" s="200">
        <v>219377635.94</v>
      </c>
      <c r="Q202" s="200">
        <v>219377635.94</v>
      </c>
      <c r="R202" s="201">
        <v>15863435.91</v>
      </c>
      <c r="S202" s="33" t="s">
        <v>22</v>
      </c>
      <c r="T202" s="33" t="s">
        <v>22</v>
      </c>
      <c r="U202" s="33" t="s">
        <v>203</v>
      </c>
      <c r="V202" s="33"/>
      <c r="W202" s="33" t="s">
        <v>210</v>
      </c>
      <c r="X202" s="33" t="s">
        <v>209</v>
      </c>
      <c r="Y202" s="239" t="s">
        <v>209</v>
      </c>
      <c r="Z202" s="33" t="s">
        <v>209</v>
      </c>
      <c r="AA202" s="35" t="str">
        <f>_xlfn.IFNA(VLOOKUP(E202,'Lookup Table'!$J$33:$K$176,2,0),"B3")</f>
        <v>Ca-C</v>
      </c>
      <c r="AB202" s="35">
        <f>_xlfn.IFNA(VLOOKUP($AA202,'Rating Lookup'!$B$2:$I$27,8,0),15)</f>
        <v>15</v>
      </c>
      <c r="AC202" s="35" t="str">
        <f>_xlfn.IFNA(VLOOKUP(E202,'Lookup Table'!$M$33:$N$173,2,0),"B3")</f>
        <v>Ca-C</v>
      </c>
      <c r="AD202" s="35">
        <f>_xlfn.IFNA(VLOOKUP($AC202,'Rating Lookup'!$B$2:$I$27,8,0),15)</f>
        <v>15</v>
      </c>
      <c r="AE202" s="35">
        <f t="shared" si="64"/>
        <v>0</v>
      </c>
      <c r="AG202" s="35" t="str">
        <f t="shared" si="65"/>
        <v>DAMS UPPER ATBARA AND STATE</v>
      </c>
      <c r="AH202" s="35" t="str">
        <f t="shared" si="66"/>
        <v>Government Loan</v>
      </c>
      <c r="AI202" s="202">
        <f>'ECL Calculation'!$B$1</f>
        <v>43465</v>
      </c>
      <c r="AJ202" s="202">
        <f t="shared" si="67"/>
        <v>43891</v>
      </c>
      <c r="AK202" s="202">
        <f t="shared" si="68"/>
        <v>42248</v>
      </c>
      <c r="AL202" s="127">
        <f t="shared" si="69"/>
        <v>15</v>
      </c>
      <c r="AM202" s="192">
        <f>IF(AND(IF(ISBLANK(K202),EOMONTH(AJ202,AL202*12),K202)&lt;'ECL Calculation'!$B$1,SUM('Input Sheet'!Q202,'Input Sheet'!R202)&gt;0),EOMONTH('ECL Calculation'!$B$1,12*5),IF(ISBLANK(K202),EOMONTH(AJ202,AL202*12),K202))</f>
        <v>49188</v>
      </c>
      <c r="AN202" s="203">
        <f t="shared" si="70"/>
        <v>330570000</v>
      </c>
      <c r="AO202" s="203">
        <f t="shared" si="71"/>
        <v>219377635.94</v>
      </c>
      <c r="AP202" s="203">
        <f t="shared" si="72"/>
        <v>111192364.06</v>
      </c>
      <c r="AQ202" s="126">
        <f>VLOOKUP(U202,'Lookup Table'!$B$2:$C$10,2,0)</f>
        <v>1</v>
      </c>
      <c r="AR202" s="127">
        <f>VLOOKUP(S202,'Lookup Table'!$B$2:$C$9,2,0)</f>
        <v>2</v>
      </c>
      <c r="AS202" s="127">
        <f>VLOOKUP(T202,'Lookup Table'!$B$2:$C$9,2,0)</f>
        <v>2</v>
      </c>
      <c r="AT202" s="136">
        <f t="shared" si="73"/>
        <v>219377635.94</v>
      </c>
      <c r="AU202" s="128">
        <f t="shared" si="74"/>
        <v>0.02</v>
      </c>
      <c r="AV202" s="136">
        <f t="shared" si="75"/>
        <v>15863435.91</v>
      </c>
      <c r="AW202" s="37" t="str">
        <f t="shared" si="76"/>
        <v>Ca-C</v>
      </c>
      <c r="AX202" s="128">
        <f>VLOOKUP(E202,'Lookup Table'!$B$12:$C$82,2,0)</f>
        <v>2.9249999999999998E-2</v>
      </c>
      <c r="AY202" s="128">
        <f>'Lookup Table'!$E$3</f>
        <v>0.45</v>
      </c>
      <c r="AZ202" s="129" t="str">
        <f t="shared" si="77"/>
        <v>Sudan</v>
      </c>
      <c r="BA202" s="37">
        <f>VLOOKUP(AA202,'Lookup Table'!$J$3:$K$27,2,0)</f>
        <v>1</v>
      </c>
      <c r="BB202" s="37">
        <f t="shared" si="78"/>
        <v>1</v>
      </c>
      <c r="BC202" s="37">
        <f t="shared" si="79"/>
        <v>1</v>
      </c>
      <c r="BD202" s="37">
        <f>IF(AND(K202&lt;'ECL Calculation'!$B$1,'Input Sheet'!W202="No"),3,IF(X202="Yes",2,1))</f>
        <v>2</v>
      </c>
      <c r="BE202" s="37">
        <f t="shared" si="80"/>
        <v>3</v>
      </c>
      <c r="BF202" s="37" t="str">
        <f t="shared" si="81"/>
        <v>Stage 3</v>
      </c>
      <c r="BG202" s="37" t="str">
        <f t="shared" si="82"/>
        <v>Yes</v>
      </c>
    </row>
    <row r="203" spans="1:59" x14ac:dyDescent="0.2">
      <c r="A203" s="35">
        <f t="shared" si="83"/>
        <v>201</v>
      </c>
      <c r="B203" s="33">
        <v>1210</v>
      </c>
      <c r="C203" s="33" t="s">
        <v>447</v>
      </c>
      <c r="D203" s="33" t="s">
        <v>806</v>
      </c>
      <c r="E203" s="33" t="s">
        <v>533</v>
      </c>
      <c r="F203" s="33" t="s">
        <v>542</v>
      </c>
      <c r="G203" s="117">
        <v>2.5</v>
      </c>
      <c r="H203" s="34">
        <v>42072</v>
      </c>
      <c r="I203" s="34">
        <v>43107</v>
      </c>
      <c r="J203" s="34">
        <v>43107</v>
      </c>
      <c r="K203" s="34">
        <v>49202</v>
      </c>
      <c r="L203" s="34">
        <v>43905</v>
      </c>
      <c r="M203" s="34">
        <v>42262</v>
      </c>
      <c r="N203" s="113">
        <v>15</v>
      </c>
      <c r="O203" s="200">
        <v>36730000</v>
      </c>
      <c r="P203" s="200">
        <v>0</v>
      </c>
      <c r="Q203" s="200">
        <v>0</v>
      </c>
      <c r="R203" s="201">
        <v>0</v>
      </c>
      <c r="S203" s="33" t="s">
        <v>22</v>
      </c>
      <c r="T203" s="33" t="s">
        <v>22</v>
      </c>
      <c r="U203" s="33" t="s">
        <v>203</v>
      </c>
      <c r="V203" s="33"/>
      <c r="W203" s="33" t="s">
        <v>210</v>
      </c>
      <c r="X203" s="33" t="s">
        <v>210</v>
      </c>
      <c r="Y203" s="33"/>
      <c r="Z203" s="33" t="s">
        <v>209</v>
      </c>
      <c r="AA203" s="35" t="str">
        <f>_xlfn.IFNA(VLOOKUP(E203,'Lookup Table'!$J$33:$K$176,2,0),"B3")</f>
        <v>B3</v>
      </c>
      <c r="AB203" s="35">
        <f>_xlfn.IFNA(VLOOKUP($AA203,'Rating Lookup'!$B$2:$I$27,8,0),15)</f>
        <v>16</v>
      </c>
      <c r="AC203" s="35" t="str">
        <f>_xlfn.IFNA(VLOOKUP(E203,'Lookup Table'!$M$33:$N$173,2,0),"B3")</f>
        <v>B3</v>
      </c>
      <c r="AD203" s="35">
        <f>_xlfn.IFNA(VLOOKUP($AC203,'Rating Lookup'!$B$2:$I$27,8,0),15)</f>
        <v>16</v>
      </c>
      <c r="AE203" s="35">
        <f t="shared" si="64"/>
        <v>0</v>
      </c>
      <c r="AG203" s="35" t="str">
        <f t="shared" si="65"/>
        <v>ROUTE SOKODE-BASSAR</v>
      </c>
      <c r="AH203" s="35" t="str">
        <f t="shared" si="66"/>
        <v>Government Loan</v>
      </c>
      <c r="AI203" s="202">
        <f>'ECL Calculation'!$B$1</f>
        <v>43465</v>
      </c>
      <c r="AJ203" s="202">
        <f t="shared" si="67"/>
        <v>43905</v>
      </c>
      <c r="AK203" s="202">
        <f t="shared" si="68"/>
        <v>42262</v>
      </c>
      <c r="AL203" s="127">
        <f t="shared" si="69"/>
        <v>15</v>
      </c>
      <c r="AM203" s="192">
        <f>IF(AND(IF(ISBLANK(K203),EOMONTH(AJ203,AL203*12),K203)&lt;'ECL Calculation'!$B$1,SUM('Input Sheet'!Q203,'Input Sheet'!R203)&gt;0),EOMONTH('ECL Calculation'!$B$1,12*5),IF(ISBLANK(K203),EOMONTH(AJ203,AL203*12),K203))</f>
        <v>49202</v>
      </c>
      <c r="AN203" s="203">
        <f t="shared" si="70"/>
        <v>36730000</v>
      </c>
      <c r="AO203" s="203">
        <f t="shared" si="71"/>
        <v>0</v>
      </c>
      <c r="AP203" s="203">
        <f t="shared" si="72"/>
        <v>36730000</v>
      </c>
      <c r="AQ203" s="126">
        <f>VLOOKUP(U203,'Lookup Table'!$B$2:$C$10,2,0)</f>
        <v>1</v>
      </c>
      <c r="AR203" s="127">
        <f>VLOOKUP(S203,'Lookup Table'!$B$2:$C$9,2,0)</f>
        <v>2</v>
      </c>
      <c r="AS203" s="127">
        <f>VLOOKUP(T203,'Lookup Table'!$B$2:$C$9,2,0)</f>
        <v>2</v>
      </c>
      <c r="AT203" s="136">
        <f t="shared" si="73"/>
        <v>0</v>
      </c>
      <c r="AU203" s="128">
        <f t="shared" si="74"/>
        <v>2.5000000000000001E-2</v>
      </c>
      <c r="AV203" s="136">
        <f t="shared" si="75"/>
        <v>0</v>
      </c>
      <c r="AW203" s="37" t="str">
        <f t="shared" si="76"/>
        <v>B3</v>
      </c>
      <c r="AX203" s="128">
        <f>VLOOKUP(E203,'Lookup Table'!$B$12:$C$82,2,0)</f>
        <v>2.5000000000000001E-2</v>
      </c>
      <c r="AY203" s="128">
        <f>'Lookup Table'!$E$3</f>
        <v>0.45</v>
      </c>
      <c r="AZ203" s="129" t="str">
        <f t="shared" si="77"/>
        <v>Togo</v>
      </c>
      <c r="BA203" s="37">
        <f>VLOOKUP(AA203,'Lookup Table'!$J$3:$K$27,2,0)</f>
        <v>1</v>
      </c>
      <c r="BB203" s="37">
        <f t="shared" si="78"/>
        <v>1</v>
      </c>
      <c r="BC203" s="37">
        <f t="shared" si="79"/>
        <v>1</v>
      </c>
      <c r="BD203" s="37">
        <f>IF(AND(K203&lt;'ECL Calculation'!$B$1,'Input Sheet'!W203="No"),3,IF(X203="Yes",2,1))</f>
        <v>1</v>
      </c>
      <c r="BE203" s="37">
        <f t="shared" si="80"/>
        <v>1</v>
      </c>
      <c r="BF203" s="37" t="str">
        <f t="shared" si="81"/>
        <v>Stage 1</v>
      </c>
      <c r="BG203" s="37" t="str">
        <f t="shared" si="82"/>
        <v>No</v>
      </c>
    </row>
    <row r="204" spans="1:59" x14ac:dyDescent="0.2">
      <c r="A204" s="35">
        <f t="shared" si="83"/>
        <v>202</v>
      </c>
      <c r="B204" s="33">
        <v>1211</v>
      </c>
      <c r="C204" s="33" t="s">
        <v>448</v>
      </c>
      <c r="D204" s="33" t="s">
        <v>806</v>
      </c>
      <c r="E204" s="33" t="s">
        <v>529</v>
      </c>
      <c r="F204" s="33" t="s">
        <v>542</v>
      </c>
      <c r="G204" s="117">
        <v>1.5</v>
      </c>
      <c r="H204" s="34">
        <v>42095</v>
      </c>
      <c r="I204" s="34">
        <v>42099</v>
      </c>
      <c r="J204" s="34">
        <v>42099</v>
      </c>
      <c r="K204" s="34">
        <v>45566</v>
      </c>
      <c r="L204" s="34">
        <v>43556</v>
      </c>
      <c r="M204" s="34">
        <v>42278</v>
      </c>
      <c r="N204" s="113">
        <v>6</v>
      </c>
      <c r="O204" s="200">
        <v>293840000</v>
      </c>
      <c r="P204" s="200">
        <v>293840000</v>
      </c>
      <c r="Q204" s="200">
        <v>293840000</v>
      </c>
      <c r="R204" s="201">
        <v>1089656.6399999999</v>
      </c>
      <c r="S204" s="33" t="s">
        <v>22</v>
      </c>
      <c r="T204" s="33" t="s">
        <v>22</v>
      </c>
      <c r="U204" s="33" t="s">
        <v>204</v>
      </c>
      <c r="V204" s="33"/>
      <c r="W204" s="33" t="s">
        <v>210</v>
      </c>
      <c r="X204" s="33" t="s">
        <v>210</v>
      </c>
      <c r="Y204" s="33"/>
      <c r="Z204" s="33" t="s">
        <v>209</v>
      </c>
      <c r="AA204" s="35" t="str">
        <f>_xlfn.IFNA(VLOOKUP(E204,'Lookup Table'!$J$33:$K$176,2,0),"B3")</f>
        <v>Aa2</v>
      </c>
      <c r="AB204" s="35">
        <f>_xlfn.IFNA(VLOOKUP($AA204,'Rating Lookup'!$B$2:$I$27,8,0),15)</f>
        <v>3</v>
      </c>
      <c r="AC204" s="35" t="str">
        <f>_xlfn.IFNA(VLOOKUP(E204,'Lookup Table'!$M$33:$N$173,2,0),"B3")</f>
        <v>Aaa</v>
      </c>
      <c r="AD204" s="35">
        <f>_xlfn.IFNA(VLOOKUP($AC204,'Rating Lookup'!$B$2:$I$27,8,0),15)</f>
        <v>1</v>
      </c>
      <c r="AE204" s="35">
        <f t="shared" si="64"/>
        <v>2</v>
      </c>
      <c r="AG204" s="35" t="str">
        <f t="shared" si="65"/>
        <v>THE ESTABLISHMENT OF A FACTORY FOR THE MANUFACTURE OF TRAINING AIRCRAFT</v>
      </c>
      <c r="AH204" s="35" t="str">
        <f t="shared" si="66"/>
        <v>Government Loan</v>
      </c>
      <c r="AI204" s="202">
        <f>'ECL Calculation'!$B$1</f>
        <v>43465</v>
      </c>
      <c r="AJ204" s="202">
        <f t="shared" si="67"/>
        <v>43556</v>
      </c>
      <c r="AK204" s="202">
        <f t="shared" si="68"/>
        <v>42278</v>
      </c>
      <c r="AL204" s="127">
        <f t="shared" si="69"/>
        <v>6</v>
      </c>
      <c r="AM204" s="192">
        <f>IF(AND(IF(ISBLANK(K204),EOMONTH(AJ204,AL204*12),K204)&lt;'ECL Calculation'!$B$1,SUM('Input Sheet'!Q204,'Input Sheet'!R204)&gt;0),EOMONTH('ECL Calculation'!$B$1,12*5),IF(ISBLANK(K204),EOMONTH(AJ204,AL204*12),K204))</f>
        <v>45566</v>
      </c>
      <c r="AN204" s="203">
        <f t="shared" si="70"/>
        <v>293840000</v>
      </c>
      <c r="AO204" s="203">
        <f t="shared" si="71"/>
        <v>293840000</v>
      </c>
      <c r="AP204" s="203">
        <f t="shared" si="72"/>
        <v>0</v>
      </c>
      <c r="AQ204" s="126">
        <f>VLOOKUP(U204,'Lookup Table'!$B$2:$C$10,2,0)</f>
        <v>4</v>
      </c>
      <c r="AR204" s="127">
        <f>VLOOKUP(S204,'Lookup Table'!$B$2:$C$9,2,0)</f>
        <v>2</v>
      </c>
      <c r="AS204" s="127">
        <f>VLOOKUP(T204,'Lookup Table'!$B$2:$C$9,2,0)</f>
        <v>2</v>
      </c>
      <c r="AT204" s="136">
        <f t="shared" si="73"/>
        <v>293840000</v>
      </c>
      <c r="AU204" s="128">
        <f t="shared" si="74"/>
        <v>1.4999999999999999E-2</v>
      </c>
      <c r="AV204" s="136">
        <f t="shared" si="75"/>
        <v>1089656.6399999999</v>
      </c>
      <c r="AW204" s="37" t="str">
        <f t="shared" si="76"/>
        <v>Aa2</v>
      </c>
      <c r="AX204" s="128">
        <f>VLOOKUP(E204,'Lookup Table'!$B$12:$C$82,2,0)</f>
        <v>2.4375000000000001E-2</v>
      </c>
      <c r="AY204" s="128">
        <f>'Lookup Table'!$E$3</f>
        <v>0.45</v>
      </c>
      <c r="AZ204" s="129" t="str">
        <f t="shared" si="77"/>
        <v>United Arab Emirates</v>
      </c>
      <c r="BA204" s="37">
        <f>VLOOKUP(AA204,'Lookup Table'!$J$3:$K$27,2,0)</f>
        <v>1</v>
      </c>
      <c r="BB204" s="37">
        <f t="shared" si="78"/>
        <v>1</v>
      </c>
      <c r="BC204" s="37">
        <f t="shared" si="79"/>
        <v>1</v>
      </c>
      <c r="BD204" s="37">
        <f>IF(AND(K204&lt;'ECL Calculation'!$B$1,'Input Sheet'!W204="No"),3,IF(X204="Yes",2,1))</f>
        <v>1</v>
      </c>
      <c r="BE204" s="37">
        <f t="shared" si="80"/>
        <v>1</v>
      </c>
      <c r="BF204" s="37" t="str">
        <f t="shared" si="81"/>
        <v>Stage 1</v>
      </c>
      <c r="BG204" s="37" t="str">
        <f t="shared" si="82"/>
        <v>Yes</v>
      </c>
    </row>
    <row r="205" spans="1:59" x14ac:dyDescent="0.2">
      <c r="A205" s="35">
        <f t="shared" si="83"/>
        <v>203</v>
      </c>
      <c r="B205" s="33">
        <v>1212</v>
      </c>
      <c r="C205" s="33" t="s">
        <v>449</v>
      </c>
      <c r="D205" s="33" t="s">
        <v>806</v>
      </c>
      <c r="E205" s="33" t="s">
        <v>522</v>
      </c>
      <c r="F205" s="33" t="s">
        <v>542</v>
      </c>
      <c r="G205" s="117">
        <v>3</v>
      </c>
      <c r="H205" s="34">
        <v>42159</v>
      </c>
      <c r="I205" s="34">
        <v>42239</v>
      </c>
      <c r="J205" s="34">
        <v>42239</v>
      </c>
      <c r="K205" s="34">
        <v>48197</v>
      </c>
      <c r="L205" s="34">
        <v>43631</v>
      </c>
      <c r="M205" s="34">
        <v>42353</v>
      </c>
      <c r="N205" s="113">
        <v>13</v>
      </c>
      <c r="O205" s="200">
        <v>183650000</v>
      </c>
      <c r="P205" s="200">
        <v>108720800</v>
      </c>
      <c r="Q205" s="200">
        <v>108720800</v>
      </c>
      <c r="R205" s="201">
        <v>1766713</v>
      </c>
      <c r="S205" s="33" t="s">
        <v>22</v>
      </c>
      <c r="T205" s="33" t="s">
        <v>22</v>
      </c>
      <c r="U205" s="33" t="s">
        <v>203</v>
      </c>
      <c r="V205" s="33"/>
      <c r="W205" s="33" t="s">
        <v>210</v>
      </c>
      <c r="X205" s="33" t="s">
        <v>210</v>
      </c>
      <c r="Y205" s="33"/>
      <c r="Z205" s="33" t="s">
        <v>209</v>
      </c>
      <c r="AA205" s="35" t="str">
        <f>_xlfn.IFNA(VLOOKUP(E205,'Lookup Table'!$J$33:$K$176,2,0),"B3")</f>
        <v>B1</v>
      </c>
      <c r="AB205" s="35">
        <f>_xlfn.IFNA(VLOOKUP($AA205,'Rating Lookup'!$B$2:$I$27,8,0),15)</f>
        <v>14</v>
      </c>
      <c r="AC205" s="35" t="str">
        <f>_xlfn.IFNA(VLOOKUP(E205,'Lookup Table'!$M$33:$N$173,2,0),"B3")</f>
        <v>Ba3</v>
      </c>
      <c r="AD205" s="35">
        <f>_xlfn.IFNA(VLOOKUP($AC205,'Rating Lookup'!$B$2:$I$27,8,0),15)</f>
        <v>13</v>
      </c>
      <c r="AE205" s="35">
        <f t="shared" si="64"/>
        <v>1</v>
      </c>
      <c r="AG205" s="35" t="str">
        <f t="shared" si="65"/>
        <v>SUPPORT OF AGRICULTURAL SECTOR PROJECT</v>
      </c>
      <c r="AH205" s="35" t="str">
        <f t="shared" si="66"/>
        <v>Government Loan</v>
      </c>
      <c r="AI205" s="202">
        <f>'ECL Calculation'!$B$1</f>
        <v>43465</v>
      </c>
      <c r="AJ205" s="202">
        <f t="shared" si="67"/>
        <v>43631</v>
      </c>
      <c r="AK205" s="202">
        <f t="shared" si="68"/>
        <v>42353</v>
      </c>
      <c r="AL205" s="127">
        <f t="shared" si="69"/>
        <v>13</v>
      </c>
      <c r="AM205" s="192">
        <f>IF(AND(IF(ISBLANK(K205),EOMONTH(AJ205,AL205*12),K205)&lt;'ECL Calculation'!$B$1,SUM('Input Sheet'!Q205,'Input Sheet'!R205)&gt;0),EOMONTH('ECL Calculation'!$B$1,12*5),IF(ISBLANK(K205),EOMONTH(AJ205,AL205*12),K205))</f>
        <v>48197</v>
      </c>
      <c r="AN205" s="203">
        <f t="shared" si="70"/>
        <v>183650000</v>
      </c>
      <c r="AO205" s="203">
        <f t="shared" si="71"/>
        <v>108720800</v>
      </c>
      <c r="AP205" s="203">
        <f t="shared" si="72"/>
        <v>74929200</v>
      </c>
      <c r="AQ205" s="126">
        <f>VLOOKUP(U205,'Lookup Table'!$B$2:$C$10,2,0)</f>
        <v>1</v>
      </c>
      <c r="AR205" s="127">
        <f>VLOOKUP(S205,'Lookup Table'!$B$2:$C$9,2,0)</f>
        <v>2</v>
      </c>
      <c r="AS205" s="127">
        <f>VLOOKUP(T205,'Lookup Table'!$B$2:$C$9,2,0)</f>
        <v>2</v>
      </c>
      <c r="AT205" s="136">
        <f t="shared" si="73"/>
        <v>108720800</v>
      </c>
      <c r="AU205" s="128">
        <f t="shared" si="74"/>
        <v>0.03</v>
      </c>
      <c r="AV205" s="136">
        <f t="shared" si="75"/>
        <v>1766713</v>
      </c>
      <c r="AW205" s="37" t="str">
        <f t="shared" si="76"/>
        <v>B1</v>
      </c>
      <c r="AX205" s="128">
        <f>VLOOKUP(E205,'Lookup Table'!$B$12:$C$82,2,0)</f>
        <v>0.04</v>
      </c>
      <c r="AY205" s="128">
        <f>'Lookup Table'!$E$3</f>
        <v>0.45</v>
      </c>
      <c r="AZ205" s="129" t="str">
        <f t="shared" si="77"/>
        <v>Montenegro</v>
      </c>
      <c r="BA205" s="37">
        <f>VLOOKUP(AA205,'Lookup Table'!$J$3:$K$27,2,0)</f>
        <v>1</v>
      </c>
      <c r="BB205" s="37">
        <f t="shared" si="78"/>
        <v>2</v>
      </c>
      <c r="BC205" s="37">
        <f t="shared" si="79"/>
        <v>1</v>
      </c>
      <c r="BD205" s="37">
        <f>IF(AND(K205&lt;'ECL Calculation'!$B$1,'Input Sheet'!W205="No"),3,IF(X205="Yes",2,1))</f>
        <v>1</v>
      </c>
      <c r="BE205" s="37">
        <f t="shared" si="80"/>
        <v>1</v>
      </c>
      <c r="BF205" s="37" t="str">
        <f t="shared" si="81"/>
        <v>Stage 2</v>
      </c>
      <c r="BG205" s="37" t="str">
        <f t="shared" si="82"/>
        <v>Yes</v>
      </c>
    </row>
    <row r="206" spans="1:59" x14ac:dyDescent="0.2">
      <c r="A206" s="35">
        <f t="shared" si="83"/>
        <v>204</v>
      </c>
      <c r="B206" s="33">
        <v>1213</v>
      </c>
      <c r="C206" s="33" t="s">
        <v>450</v>
      </c>
      <c r="D206" s="33" t="s">
        <v>806</v>
      </c>
      <c r="E206" s="33" t="s">
        <v>485</v>
      </c>
      <c r="F206" s="33" t="s">
        <v>542</v>
      </c>
      <c r="G206" s="117">
        <v>1</v>
      </c>
      <c r="H206" s="34">
        <v>42166</v>
      </c>
      <c r="I206" s="34">
        <v>42361</v>
      </c>
      <c r="J206" s="34">
        <v>42361</v>
      </c>
      <c r="K206" s="34">
        <v>49293</v>
      </c>
      <c r="L206" s="34">
        <v>43997</v>
      </c>
      <c r="M206" s="34">
        <v>42353</v>
      </c>
      <c r="N206" s="113">
        <v>15</v>
      </c>
      <c r="O206" s="200">
        <v>33057000</v>
      </c>
      <c r="P206" s="200">
        <v>0</v>
      </c>
      <c r="Q206" s="200">
        <v>0</v>
      </c>
      <c r="R206" s="201">
        <v>0</v>
      </c>
      <c r="S206" s="33" t="s">
        <v>22</v>
      </c>
      <c r="T206" s="33" t="s">
        <v>22</v>
      </c>
      <c r="U206" s="33" t="s">
        <v>203</v>
      </c>
      <c r="V206" s="33"/>
      <c r="W206" s="33" t="s">
        <v>210</v>
      </c>
      <c r="X206" s="33" t="s">
        <v>210</v>
      </c>
      <c r="Y206" s="33"/>
      <c r="Z206" s="33" t="s">
        <v>209</v>
      </c>
      <c r="AA206" s="35" t="str">
        <f>_xlfn.IFNA(VLOOKUP(E206,'Lookup Table'!$J$33:$K$176,2,0),"B3")</f>
        <v>B3</v>
      </c>
      <c r="AB206" s="35">
        <f>_xlfn.IFNA(VLOOKUP($AA206,'Rating Lookup'!$B$2:$I$27,8,0),15)</f>
        <v>16</v>
      </c>
      <c r="AC206" s="35">
        <f>_xlfn.IFNA(VLOOKUP(E206,'Lookup Table'!$M$33:$N$173,2,0),"B3")</f>
        <v>0</v>
      </c>
      <c r="AD206" s="35">
        <f>_xlfn.IFNA(VLOOKUP($AC206,'Rating Lookup'!$B$2:$I$27,8,0),15)</f>
        <v>15</v>
      </c>
      <c r="AE206" s="35">
        <f t="shared" si="64"/>
        <v>1</v>
      </c>
      <c r="AG206" s="35" t="str">
        <f t="shared" si="65"/>
        <v>HYBRID RENEWABLE ENERGY SYSTEMS FOR RURAL ELECTRFICATION IN 30 VILLAGES</v>
      </c>
      <c r="AH206" s="35" t="str">
        <f t="shared" si="66"/>
        <v>Government Loan</v>
      </c>
      <c r="AI206" s="202">
        <f>'ECL Calculation'!$B$1</f>
        <v>43465</v>
      </c>
      <c r="AJ206" s="202">
        <f t="shared" si="67"/>
        <v>43997</v>
      </c>
      <c r="AK206" s="202">
        <f t="shared" si="68"/>
        <v>42353</v>
      </c>
      <c r="AL206" s="127">
        <f t="shared" si="69"/>
        <v>15</v>
      </c>
      <c r="AM206" s="192">
        <f>IF(AND(IF(ISBLANK(K206),EOMONTH(AJ206,AL206*12),K206)&lt;'ECL Calculation'!$B$1,SUM('Input Sheet'!Q206,'Input Sheet'!R206)&gt;0),EOMONTH('ECL Calculation'!$B$1,12*5),IF(ISBLANK(K206),EOMONTH(AJ206,AL206*12),K206))</f>
        <v>49293</v>
      </c>
      <c r="AN206" s="203">
        <f t="shared" si="70"/>
        <v>33057000</v>
      </c>
      <c r="AO206" s="203">
        <f t="shared" si="71"/>
        <v>0</v>
      </c>
      <c r="AP206" s="203">
        <f t="shared" si="72"/>
        <v>33057000</v>
      </c>
      <c r="AQ206" s="126">
        <f>VLOOKUP(U206,'Lookup Table'!$B$2:$C$10,2,0)</f>
        <v>1</v>
      </c>
      <c r="AR206" s="127">
        <f>VLOOKUP(S206,'Lookup Table'!$B$2:$C$9,2,0)</f>
        <v>2</v>
      </c>
      <c r="AS206" s="127">
        <f>VLOOKUP(T206,'Lookup Table'!$B$2:$C$9,2,0)</f>
        <v>2</v>
      </c>
      <c r="AT206" s="136">
        <f t="shared" si="73"/>
        <v>0</v>
      </c>
      <c r="AU206" s="128">
        <f t="shared" si="74"/>
        <v>0.01</v>
      </c>
      <c r="AV206" s="136">
        <f t="shared" si="75"/>
        <v>0</v>
      </c>
      <c r="AW206" s="37" t="str">
        <f t="shared" si="76"/>
        <v>B3</v>
      </c>
      <c r="AX206" s="128">
        <f>VLOOKUP(E206,'Lookup Table'!$B$12:$C$82,2,0)</f>
        <v>2.2000000000000002E-2</v>
      </c>
      <c r="AY206" s="128">
        <f>'Lookup Table'!$E$3</f>
        <v>0.45</v>
      </c>
      <c r="AZ206" s="129" t="str">
        <f t="shared" si="77"/>
        <v>Mali</v>
      </c>
      <c r="BA206" s="37">
        <f>VLOOKUP(AA206,'Lookup Table'!$J$3:$K$27,2,0)</f>
        <v>1</v>
      </c>
      <c r="BB206" s="37">
        <f t="shared" si="78"/>
        <v>2</v>
      </c>
      <c r="BC206" s="37">
        <f t="shared" si="79"/>
        <v>1</v>
      </c>
      <c r="BD206" s="37">
        <f>IF(AND(K206&lt;'ECL Calculation'!$B$1,'Input Sheet'!W206="No"),3,IF(X206="Yes",2,1))</f>
        <v>1</v>
      </c>
      <c r="BE206" s="37">
        <f t="shared" si="80"/>
        <v>1</v>
      </c>
      <c r="BF206" s="37" t="str">
        <f t="shared" si="81"/>
        <v>Stage 2</v>
      </c>
      <c r="BG206" s="37" t="str">
        <f t="shared" si="82"/>
        <v>No</v>
      </c>
    </row>
    <row r="207" spans="1:59" x14ac:dyDescent="0.2">
      <c r="A207" s="35">
        <f t="shared" si="83"/>
        <v>205</v>
      </c>
      <c r="B207" s="33">
        <v>1214</v>
      </c>
      <c r="C207" s="33" t="s">
        <v>451</v>
      </c>
      <c r="D207" s="33" t="s">
        <v>806</v>
      </c>
      <c r="E207" s="33" t="s">
        <v>499</v>
      </c>
      <c r="F207" s="33" t="s">
        <v>542</v>
      </c>
      <c r="G207" s="117">
        <v>2</v>
      </c>
      <c r="H207" s="34">
        <v>42177</v>
      </c>
      <c r="I207" s="34">
        <v>42463</v>
      </c>
      <c r="J207" s="34">
        <v>42463</v>
      </c>
      <c r="K207" s="34">
        <v>49308</v>
      </c>
      <c r="L207" s="34">
        <v>44012</v>
      </c>
      <c r="M207" s="34">
        <v>42368</v>
      </c>
      <c r="N207" s="113">
        <v>15</v>
      </c>
      <c r="O207" s="200">
        <v>22038000</v>
      </c>
      <c r="P207" s="200">
        <v>3838468.65</v>
      </c>
      <c r="Q207" s="200">
        <v>3838468.65</v>
      </c>
      <c r="R207" s="201">
        <v>-36044.17</v>
      </c>
      <c r="S207" s="33" t="s">
        <v>22</v>
      </c>
      <c r="T207" s="33" t="s">
        <v>22</v>
      </c>
      <c r="U207" s="33" t="s">
        <v>203</v>
      </c>
      <c r="V207" s="33"/>
      <c r="W207" s="33" t="s">
        <v>210</v>
      </c>
      <c r="X207" s="33" t="s">
        <v>210</v>
      </c>
      <c r="Y207" s="33"/>
      <c r="Z207" s="33" t="s">
        <v>209</v>
      </c>
      <c r="AA207" s="35" t="str">
        <f>_xlfn.IFNA(VLOOKUP(E207,'Lookup Table'!$J$33:$K$176,2,0),"B3")</f>
        <v>B2</v>
      </c>
      <c r="AB207" s="35">
        <f>_xlfn.IFNA(VLOOKUP($AA207,'Rating Lookup'!$B$2:$I$27,8,0),15)</f>
        <v>15</v>
      </c>
      <c r="AC207" s="35" t="str">
        <f>_xlfn.IFNA(VLOOKUP(E207,'Lookup Table'!$M$33:$N$173,2,0),"B3")</f>
        <v>B3</v>
      </c>
      <c r="AD207" s="35">
        <f>_xlfn.IFNA(VLOOKUP($AC207,'Rating Lookup'!$B$2:$I$27,8,0),15)</f>
        <v>16</v>
      </c>
      <c r="AE207" s="35">
        <f t="shared" si="64"/>
        <v>0</v>
      </c>
      <c r="AG207" s="35" t="str">
        <f t="shared" si="65"/>
        <v>SMALL SCALE WASTE TO ENERGY PROJECT</v>
      </c>
      <c r="AH207" s="35" t="str">
        <f t="shared" si="66"/>
        <v>Government Loan</v>
      </c>
      <c r="AI207" s="202">
        <f>'ECL Calculation'!$B$1</f>
        <v>43465</v>
      </c>
      <c r="AJ207" s="202">
        <f t="shared" si="67"/>
        <v>44012</v>
      </c>
      <c r="AK207" s="202">
        <f t="shared" si="68"/>
        <v>42368</v>
      </c>
      <c r="AL207" s="127">
        <f t="shared" si="69"/>
        <v>15</v>
      </c>
      <c r="AM207" s="192">
        <f>IF(AND(IF(ISBLANK(K207),EOMONTH(AJ207,AL207*12),K207)&lt;'ECL Calculation'!$B$1,SUM('Input Sheet'!Q207,'Input Sheet'!R207)&gt;0),EOMONTH('ECL Calculation'!$B$1,12*5),IF(ISBLANK(K207),EOMONTH(AJ207,AL207*12),K207))</f>
        <v>49308</v>
      </c>
      <c r="AN207" s="203">
        <f t="shared" si="70"/>
        <v>22038000</v>
      </c>
      <c r="AO207" s="203">
        <f t="shared" si="71"/>
        <v>3838468.65</v>
      </c>
      <c r="AP207" s="203">
        <f t="shared" si="72"/>
        <v>18199531.350000001</v>
      </c>
      <c r="AQ207" s="126">
        <f>VLOOKUP(U207,'Lookup Table'!$B$2:$C$10,2,0)</f>
        <v>1</v>
      </c>
      <c r="AR207" s="127">
        <f>VLOOKUP(S207,'Lookup Table'!$B$2:$C$9,2,0)</f>
        <v>2</v>
      </c>
      <c r="AS207" s="127">
        <f>VLOOKUP(T207,'Lookup Table'!$B$2:$C$9,2,0)</f>
        <v>2</v>
      </c>
      <c r="AT207" s="136">
        <f t="shared" si="73"/>
        <v>3838468.65</v>
      </c>
      <c r="AU207" s="128">
        <f t="shared" si="74"/>
        <v>0.02</v>
      </c>
      <c r="AV207" s="136">
        <f t="shared" si="75"/>
        <v>-36044.17</v>
      </c>
      <c r="AW207" s="37" t="str">
        <f t="shared" si="76"/>
        <v>B2</v>
      </c>
      <c r="AX207" s="128">
        <f>VLOOKUP(E207,'Lookup Table'!$B$12:$C$82,2,0)</f>
        <v>3.6249999999999998E-2</v>
      </c>
      <c r="AY207" s="128">
        <f>'Lookup Table'!$E$3</f>
        <v>0.45</v>
      </c>
      <c r="AZ207" s="129" t="str">
        <f t="shared" si="77"/>
        <v>Maldives</v>
      </c>
      <c r="BA207" s="37">
        <f>VLOOKUP(AA207,'Lookup Table'!$J$3:$K$27,2,0)</f>
        <v>1</v>
      </c>
      <c r="BB207" s="37">
        <f t="shared" si="78"/>
        <v>1</v>
      </c>
      <c r="BC207" s="37">
        <f t="shared" si="79"/>
        <v>1</v>
      </c>
      <c r="BD207" s="37">
        <f>IF(AND(K207&lt;'ECL Calculation'!$B$1,'Input Sheet'!W207="No"),3,IF(X207="Yes",2,1))</f>
        <v>1</v>
      </c>
      <c r="BE207" s="37">
        <f t="shared" si="80"/>
        <v>1</v>
      </c>
      <c r="BF207" s="37" t="str">
        <f t="shared" si="81"/>
        <v>Stage 1</v>
      </c>
      <c r="BG207" s="37" t="str">
        <f t="shared" si="82"/>
        <v>Yes</v>
      </c>
    </row>
    <row r="208" spans="1:59" x14ac:dyDescent="0.2">
      <c r="A208" s="35">
        <f t="shared" si="83"/>
        <v>206</v>
      </c>
      <c r="B208" s="33">
        <v>1215</v>
      </c>
      <c r="C208" s="33" t="s">
        <v>452</v>
      </c>
      <c r="D208" s="33" t="s">
        <v>806</v>
      </c>
      <c r="E208" s="33" t="s">
        <v>534</v>
      </c>
      <c r="F208" s="33" t="s">
        <v>542</v>
      </c>
      <c r="G208" s="117">
        <v>2</v>
      </c>
      <c r="H208" s="34">
        <v>42282</v>
      </c>
      <c r="I208" s="34">
        <v>42501</v>
      </c>
      <c r="J208" s="34">
        <v>42501</v>
      </c>
      <c r="K208" s="34">
        <v>49414</v>
      </c>
      <c r="L208" s="34">
        <v>44119</v>
      </c>
      <c r="M208" s="34">
        <v>42475</v>
      </c>
      <c r="N208" s="113">
        <v>15</v>
      </c>
      <c r="O208" s="200">
        <v>55095000</v>
      </c>
      <c r="P208" s="200">
        <v>17268536.539999999</v>
      </c>
      <c r="Q208" s="200">
        <v>17268536.539999999</v>
      </c>
      <c r="R208" s="201">
        <v>36333.660000000003</v>
      </c>
      <c r="S208" s="33" t="s">
        <v>22</v>
      </c>
      <c r="T208" s="33" t="s">
        <v>22</v>
      </c>
      <c r="U208" s="33" t="s">
        <v>203</v>
      </c>
      <c r="V208" s="33"/>
      <c r="W208" s="33" t="s">
        <v>210</v>
      </c>
      <c r="X208" s="33" t="s">
        <v>210</v>
      </c>
      <c r="Y208" s="33"/>
      <c r="Z208" s="33" t="s">
        <v>209</v>
      </c>
      <c r="AA208" s="35" t="str">
        <f>_xlfn.IFNA(VLOOKUP(E208,'Lookup Table'!$J$33:$K$176,2,0),"B3")</f>
        <v>Caa2</v>
      </c>
      <c r="AB208" s="35">
        <f>_xlfn.IFNA(VLOOKUP($AA208,'Rating Lookup'!$B$2:$I$27,8,0),15)</f>
        <v>18</v>
      </c>
      <c r="AC208" s="35" t="str">
        <f>_xlfn.IFNA(VLOOKUP(E208,'Lookup Table'!$M$33:$N$173,2,0),"B3")</f>
        <v>Caa1</v>
      </c>
      <c r="AD208" s="35">
        <f>_xlfn.IFNA(VLOOKUP($AC208,'Rating Lookup'!$B$2:$I$27,8,0),15)</f>
        <v>17</v>
      </c>
      <c r="AE208" s="35">
        <f t="shared" si="64"/>
        <v>1</v>
      </c>
      <c r="AG208" s="35" t="str">
        <f t="shared" si="65"/>
        <v>THE 10 MWP GRID CONCENTRATER SOLAR PV PROJECT</v>
      </c>
      <c r="AH208" s="35" t="str">
        <f t="shared" si="66"/>
        <v>Government Loan</v>
      </c>
      <c r="AI208" s="202">
        <f>'ECL Calculation'!$B$1</f>
        <v>43465</v>
      </c>
      <c r="AJ208" s="202">
        <f t="shared" si="67"/>
        <v>44119</v>
      </c>
      <c r="AK208" s="202">
        <f t="shared" si="68"/>
        <v>42475</v>
      </c>
      <c r="AL208" s="127">
        <f t="shared" si="69"/>
        <v>15</v>
      </c>
      <c r="AM208" s="192">
        <f>IF(AND(IF(ISBLANK(K208),EOMONTH(AJ208,AL208*12),K208)&lt;'ECL Calculation'!$B$1,SUM('Input Sheet'!Q208,'Input Sheet'!R208)&gt;0),EOMONTH('ECL Calculation'!$B$1,12*5),IF(ISBLANK(K208),EOMONTH(AJ208,AL208*12),K208))</f>
        <v>49414</v>
      </c>
      <c r="AN208" s="203">
        <f t="shared" si="70"/>
        <v>55095000</v>
      </c>
      <c r="AO208" s="203">
        <f t="shared" si="71"/>
        <v>17268536.539999999</v>
      </c>
      <c r="AP208" s="203">
        <f t="shared" si="72"/>
        <v>37826463.460000001</v>
      </c>
      <c r="AQ208" s="126">
        <f>VLOOKUP(U208,'Lookup Table'!$B$2:$C$10,2,0)</f>
        <v>1</v>
      </c>
      <c r="AR208" s="127">
        <f>VLOOKUP(S208,'Lookup Table'!$B$2:$C$9,2,0)</f>
        <v>2</v>
      </c>
      <c r="AS208" s="127">
        <f>VLOOKUP(T208,'Lookup Table'!$B$2:$C$9,2,0)</f>
        <v>2</v>
      </c>
      <c r="AT208" s="136">
        <f t="shared" si="73"/>
        <v>17268536.539999999</v>
      </c>
      <c r="AU208" s="128">
        <f t="shared" si="74"/>
        <v>0.02</v>
      </c>
      <c r="AV208" s="136">
        <f t="shared" si="75"/>
        <v>36333.660000000003</v>
      </c>
      <c r="AW208" s="37" t="str">
        <f t="shared" si="76"/>
        <v>Caa2</v>
      </c>
      <c r="AX208" s="128">
        <f>VLOOKUP(E208,'Lookup Table'!$B$12:$C$82,2,0)</f>
        <v>0.02</v>
      </c>
      <c r="AY208" s="128">
        <f>'Lookup Table'!$E$3</f>
        <v>0.45</v>
      </c>
      <c r="AZ208" s="129" t="str">
        <f t="shared" si="77"/>
        <v>Cuba</v>
      </c>
      <c r="BA208" s="37">
        <f>VLOOKUP(AA208,'Lookup Table'!$J$3:$K$27,2,0)</f>
        <v>1</v>
      </c>
      <c r="BB208" s="37">
        <f t="shared" si="78"/>
        <v>2</v>
      </c>
      <c r="BC208" s="37">
        <f t="shared" si="79"/>
        <v>1</v>
      </c>
      <c r="BD208" s="37">
        <f>IF(AND(K208&lt;'ECL Calculation'!$B$1,'Input Sheet'!W208="No"),3,IF(X208="Yes",2,1))</f>
        <v>1</v>
      </c>
      <c r="BE208" s="37">
        <f t="shared" si="80"/>
        <v>1</v>
      </c>
      <c r="BF208" s="37" t="str">
        <f t="shared" si="81"/>
        <v>Stage 2</v>
      </c>
      <c r="BG208" s="37" t="str">
        <f t="shared" si="82"/>
        <v>Yes</v>
      </c>
    </row>
    <row r="209" spans="1:59" x14ac:dyDescent="0.2">
      <c r="A209" s="35">
        <f t="shared" si="83"/>
        <v>207</v>
      </c>
      <c r="B209" s="33">
        <v>1217</v>
      </c>
      <c r="C209" s="33" t="s">
        <v>453</v>
      </c>
      <c r="D209" s="33" t="s">
        <v>806</v>
      </c>
      <c r="E209" s="33" t="s">
        <v>535</v>
      </c>
      <c r="F209" s="33" t="s">
        <v>542</v>
      </c>
      <c r="G209" s="117">
        <v>2</v>
      </c>
      <c r="H209" s="34">
        <v>42402</v>
      </c>
      <c r="I209" s="34">
        <v>42527</v>
      </c>
      <c r="J209" s="34">
        <v>42527</v>
      </c>
      <c r="K209" s="34">
        <v>49536</v>
      </c>
      <c r="L209" s="34">
        <v>44242</v>
      </c>
      <c r="M209" s="34">
        <v>42597</v>
      </c>
      <c r="N209" s="113">
        <v>15</v>
      </c>
      <c r="O209" s="200">
        <v>55095000</v>
      </c>
      <c r="P209" s="200">
        <v>0</v>
      </c>
      <c r="Q209" s="200">
        <v>0</v>
      </c>
      <c r="R209" s="201">
        <v>0</v>
      </c>
      <c r="S209" s="33" t="s">
        <v>22</v>
      </c>
      <c r="T209" s="33" t="s">
        <v>22</v>
      </c>
      <c r="U209" s="33" t="s">
        <v>203</v>
      </c>
      <c r="V209" s="33"/>
      <c r="W209" s="33" t="s">
        <v>210</v>
      </c>
      <c r="X209" s="33" t="s">
        <v>210</v>
      </c>
      <c r="Y209" s="33"/>
      <c r="Z209" s="33" t="s">
        <v>209</v>
      </c>
      <c r="AA209" s="35" t="str">
        <f>_xlfn.IFNA(VLOOKUP(E209,'Lookup Table'!$J$33:$K$176,2,0),"B3")</f>
        <v>B3</v>
      </c>
      <c r="AB209" s="35">
        <f>_xlfn.IFNA(VLOOKUP($AA209,'Rating Lookup'!$B$2:$I$27,8,0),15)</f>
        <v>16</v>
      </c>
      <c r="AC209" s="35" t="str">
        <f>_xlfn.IFNA(VLOOKUP(E209,'Lookup Table'!$M$33:$N$173,2,0),"B3")</f>
        <v>B3</v>
      </c>
      <c r="AD209" s="35">
        <f>_xlfn.IFNA(VLOOKUP($AC209,'Rating Lookup'!$B$2:$I$27,8,0),15)</f>
        <v>16</v>
      </c>
      <c r="AE209" s="35">
        <f t="shared" si="64"/>
        <v>0</v>
      </c>
      <c r="AG209" s="35" t="str">
        <f t="shared" si="65"/>
        <v>THE GEOTHERMAL ENERGY PROJECT</v>
      </c>
      <c r="AH209" s="35" t="str">
        <f t="shared" si="66"/>
        <v>Government Loan</v>
      </c>
      <c r="AI209" s="202">
        <f>'ECL Calculation'!$B$1</f>
        <v>43465</v>
      </c>
      <c r="AJ209" s="202">
        <f t="shared" si="67"/>
        <v>44242</v>
      </c>
      <c r="AK209" s="202">
        <f t="shared" si="68"/>
        <v>42597</v>
      </c>
      <c r="AL209" s="127">
        <f t="shared" si="69"/>
        <v>15</v>
      </c>
      <c r="AM209" s="192">
        <f>IF(AND(IF(ISBLANK(K209),EOMONTH(AJ209,AL209*12),K209)&lt;'ECL Calculation'!$B$1,SUM('Input Sheet'!Q209,'Input Sheet'!R209)&gt;0),EOMONTH('ECL Calculation'!$B$1,12*5),IF(ISBLANK(K209),EOMONTH(AJ209,AL209*12),K209))</f>
        <v>49536</v>
      </c>
      <c r="AN209" s="203">
        <f t="shared" si="70"/>
        <v>55095000</v>
      </c>
      <c r="AO209" s="203">
        <f t="shared" si="71"/>
        <v>0</v>
      </c>
      <c r="AP209" s="203">
        <f t="shared" si="72"/>
        <v>55095000</v>
      </c>
      <c r="AQ209" s="126">
        <f>VLOOKUP(U209,'Lookup Table'!$B$2:$C$10,2,0)</f>
        <v>1</v>
      </c>
      <c r="AR209" s="127">
        <f>VLOOKUP(S209,'Lookup Table'!$B$2:$C$9,2,0)</f>
        <v>2</v>
      </c>
      <c r="AS209" s="127">
        <f>VLOOKUP(T209,'Lookup Table'!$B$2:$C$9,2,0)</f>
        <v>2</v>
      </c>
      <c r="AT209" s="136">
        <f t="shared" si="73"/>
        <v>0</v>
      </c>
      <c r="AU209" s="128">
        <f t="shared" si="74"/>
        <v>0.02</v>
      </c>
      <c r="AV209" s="136">
        <f t="shared" si="75"/>
        <v>0</v>
      </c>
      <c r="AW209" s="37" t="str">
        <f t="shared" si="76"/>
        <v>B3</v>
      </c>
      <c r="AX209" s="128">
        <f>VLOOKUP(E209,'Lookup Table'!$B$12:$C$82,2,0)</f>
        <v>0.02</v>
      </c>
      <c r="AY209" s="128">
        <f>'Lookup Table'!$E$3</f>
        <v>0.45</v>
      </c>
      <c r="AZ209" s="129" t="str">
        <f t="shared" si="77"/>
        <v>Saint Vincent and the Grenadines</v>
      </c>
      <c r="BA209" s="37">
        <f>VLOOKUP(AA209,'Lookup Table'!$J$3:$K$27,2,0)</f>
        <v>1</v>
      </c>
      <c r="BB209" s="37">
        <f t="shared" si="78"/>
        <v>1</v>
      </c>
      <c r="BC209" s="37">
        <f t="shared" si="79"/>
        <v>1</v>
      </c>
      <c r="BD209" s="37">
        <f>IF(AND(K209&lt;'ECL Calculation'!$B$1,'Input Sheet'!W209="No"),3,IF(X209="Yes",2,1))</f>
        <v>1</v>
      </c>
      <c r="BE209" s="37">
        <f t="shared" si="80"/>
        <v>1</v>
      </c>
      <c r="BF209" s="37" t="str">
        <f t="shared" si="81"/>
        <v>Stage 1</v>
      </c>
      <c r="BG209" s="37" t="str">
        <f t="shared" si="82"/>
        <v>No</v>
      </c>
    </row>
    <row r="210" spans="1:59" x14ac:dyDescent="0.2">
      <c r="A210" s="35">
        <f t="shared" si="83"/>
        <v>208</v>
      </c>
      <c r="B210" s="33">
        <v>1218</v>
      </c>
      <c r="C210" s="33" t="s">
        <v>454</v>
      </c>
      <c r="D210" s="33" t="s">
        <v>806</v>
      </c>
      <c r="E210" s="33" t="s">
        <v>536</v>
      </c>
      <c r="F210" s="33" t="s">
        <v>542</v>
      </c>
      <c r="G210" s="117">
        <v>2</v>
      </c>
      <c r="H210" s="34">
        <v>42405</v>
      </c>
      <c r="I210" s="34">
        <v>42781</v>
      </c>
      <c r="J210" s="34">
        <v>42781</v>
      </c>
      <c r="K210" s="34">
        <v>49536</v>
      </c>
      <c r="L210" s="34">
        <v>44242</v>
      </c>
      <c r="M210" s="34">
        <v>42597</v>
      </c>
      <c r="N210" s="113">
        <v>15</v>
      </c>
      <c r="O210" s="200">
        <v>55095000</v>
      </c>
      <c r="P210" s="200">
        <v>1410160.22</v>
      </c>
      <c r="Q210" s="200">
        <v>1410160.22</v>
      </c>
      <c r="R210" s="201">
        <v>10655.19</v>
      </c>
      <c r="S210" s="33" t="s">
        <v>22</v>
      </c>
      <c r="T210" s="33" t="s">
        <v>22</v>
      </c>
      <c r="U210" s="33" t="s">
        <v>204</v>
      </c>
      <c r="V210" s="33"/>
      <c r="W210" s="33" t="s">
        <v>210</v>
      </c>
      <c r="X210" s="33" t="s">
        <v>210</v>
      </c>
      <c r="Y210" s="33"/>
      <c r="Z210" s="33" t="s">
        <v>209</v>
      </c>
      <c r="AA210" s="35" t="str">
        <f>_xlfn.IFNA(VLOOKUP(E210,'Lookup Table'!$J$33:$K$176,2,0),"B3")</f>
        <v>B2</v>
      </c>
      <c r="AB210" s="35">
        <f>_xlfn.IFNA(VLOOKUP($AA210,'Rating Lookup'!$B$2:$I$27,8,0),15)</f>
        <v>15</v>
      </c>
      <c r="AC210" s="35" t="str">
        <f>_xlfn.IFNA(VLOOKUP(E210,'Lookup Table'!$M$33:$N$173,2,0),"B3")</f>
        <v>B3</v>
      </c>
      <c r="AD210" s="35">
        <f>_xlfn.IFNA(VLOOKUP($AC210,'Rating Lookup'!$B$2:$I$27,8,0),15)</f>
        <v>16</v>
      </c>
      <c r="AE210" s="35">
        <f t="shared" si="64"/>
        <v>0</v>
      </c>
      <c r="AG210" s="35" t="str">
        <f t="shared" si="65"/>
        <v>NAHUEVE HYDROPOWER PROJECT</v>
      </c>
      <c r="AH210" s="35" t="str">
        <f t="shared" si="66"/>
        <v>Government Loan</v>
      </c>
      <c r="AI210" s="202">
        <f>'ECL Calculation'!$B$1</f>
        <v>43465</v>
      </c>
      <c r="AJ210" s="202">
        <f t="shared" si="67"/>
        <v>44242</v>
      </c>
      <c r="AK210" s="202">
        <f t="shared" si="68"/>
        <v>42597</v>
      </c>
      <c r="AL210" s="127">
        <f t="shared" si="69"/>
        <v>15</v>
      </c>
      <c r="AM210" s="192">
        <f>IF(AND(IF(ISBLANK(K210),EOMONTH(AJ210,AL210*12),K210)&lt;'ECL Calculation'!$B$1,SUM('Input Sheet'!Q210,'Input Sheet'!R210)&gt;0),EOMONTH('ECL Calculation'!$B$1,12*5),IF(ISBLANK(K210),EOMONTH(AJ210,AL210*12),K210))</f>
        <v>49536</v>
      </c>
      <c r="AN210" s="203">
        <f t="shared" si="70"/>
        <v>55095000</v>
      </c>
      <c r="AO210" s="203">
        <f t="shared" si="71"/>
        <v>1410160.22</v>
      </c>
      <c r="AP210" s="203">
        <f t="shared" si="72"/>
        <v>53684839.780000001</v>
      </c>
      <c r="AQ210" s="126">
        <f>VLOOKUP(U210,'Lookup Table'!$B$2:$C$10,2,0)</f>
        <v>4</v>
      </c>
      <c r="AR210" s="127">
        <f>VLOOKUP(S210,'Lookup Table'!$B$2:$C$9,2,0)</f>
        <v>2</v>
      </c>
      <c r="AS210" s="127">
        <f>VLOOKUP(T210,'Lookup Table'!$B$2:$C$9,2,0)</f>
        <v>2</v>
      </c>
      <c r="AT210" s="136">
        <f t="shared" si="73"/>
        <v>1410160.22</v>
      </c>
      <c r="AU210" s="128">
        <f t="shared" si="74"/>
        <v>0.02</v>
      </c>
      <c r="AV210" s="136">
        <f t="shared" si="75"/>
        <v>10655.19</v>
      </c>
      <c r="AW210" s="37" t="str">
        <f t="shared" si="76"/>
        <v>B2</v>
      </c>
      <c r="AX210" s="128">
        <f>VLOOKUP(E210,'Lookup Table'!$B$12:$C$82,2,0)</f>
        <v>0.02</v>
      </c>
      <c r="AY210" s="128">
        <f>'Lookup Table'!$E$3</f>
        <v>0.45</v>
      </c>
      <c r="AZ210" s="129" t="str">
        <f t="shared" si="77"/>
        <v>Argentina</v>
      </c>
      <c r="BA210" s="37">
        <f>VLOOKUP(AA210,'Lookup Table'!$J$3:$K$27,2,0)</f>
        <v>1</v>
      </c>
      <c r="BB210" s="37">
        <f t="shared" si="78"/>
        <v>1</v>
      </c>
      <c r="BC210" s="37">
        <f t="shared" si="79"/>
        <v>1</v>
      </c>
      <c r="BD210" s="37">
        <f>IF(AND(K210&lt;'ECL Calculation'!$B$1,'Input Sheet'!W210="No"),3,IF(X210="Yes",2,1))</f>
        <v>1</v>
      </c>
      <c r="BE210" s="37">
        <f t="shared" si="80"/>
        <v>1</v>
      </c>
      <c r="BF210" s="37" t="str">
        <f t="shared" si="81"/>
        <v>Stage 1</v>
      </c>
      <c r="BG210" s="37" t="str">
        <f t="shared" si="82"/>
        <v>Yes</v>
      </c>
    </row>
    <row r="211" spans="1:59" x14ac:dyDescent="0.2">
      <c r="A211" s="35">
        <f t="shared" si="83"/>
        <v>209</v>
      </c>
      <c r="B211" s="33">
        <v>1219</v>
      </c>
      <c r="C211" s="33" t="s">
        <v>455</v>
      </c>
      <c r="D211" s="33" t="s">
        <v>806</v>
      </c>
      <c r="E211" s="33" t="s">
        <v>530</v>
      </c>
      <c r="F211" s="33" t="s">
        <v>542</v>
      </c>
      <c r="G211" s="117">
        <v>2.25</v>
      </c>
      <c r="H211" s="34">
        <v>42647</v>
      </c>
      <c r="I211" s="34">
        <v>42708</v>
      </c>
      <c r="J211" s="34">
        <v>42708</v>
      </c>
      <c r="K211" s="34">
        <v>46117</v>
      </c>
      <c r="L211" s="34">
        <v>44474</v>
      </c>
      <c r="M211" s="34">
        <v>42855</v>
      </c>
      <c r="N211" s="113">
        <v>5</v>
      </c>
      <c r="O211" s="200">
        <v>3673000000</v>
      </c>
      <c r="P211" s="200">
        <v>2938400000</v>
      </c>
      <c r="Q211" s="200">
        <v>2938400000</v>
      </c>
      <c r="R211" s="201">
        <v>14875765.66</v>
      </c>
      <c r="S211" s="33" t="s">
        <v>22</v>
      </c>
      <c r="T211" s="33" t="s">
        <v>22</v>
      </c>
      <c r="U211" s="33" t="s">
        <v>203</v>
      </c>
      <c r="V211" s="33"/>
      <c r="W211" s="33" t="s">
        <v>210</v>
      </c>
      <c r="X211" s="33" t="s">
        <v>210</v>
      </c>
      <c r="Y211" s="33"/>
      <c r="Z211" s="33" t="s">
        <v>209</v>
      </c>
      <c r="AA211" s="35" t="str">
        <f>_xlfn.IFNA(VLOOKUP(E211,'Lookup Table'!$J$33:$K$176,2,0),"B3")</f>
        <v>Ba3</v>
      </c>
      <c r="AB211" s="35">
        <f>_xlfn.IFNA(VLOOKUP($AA211,'Rating Lookup'!$B$2:$I$27,8,0),15)</f>
        <v>13</v>
      </c>
      <c r="AC211" s="35">
        <f>_xlfn.IFNA(VLOOKUP(E211,'Lookup Table'!$M$33:$N$173,2,0),"B3")</f>
        <v>0</v>
      </c>
      <c r="AD211" s="35">
        <f>_xlfn.IFNA(VLOOKUP($AC211,'Rating Lookup'!$B$2:$I$27,8,0),15)</f>
        <v>15</v>
      </c>
      <c r="AE211" s="35">
        <f t="shared" si="64"/>
        <v>0</v>
      </c>
      <c r="AG211" s="35" t="str">
        <f t="shared" si="65"/>
        <v>SUPPORT THE GENERAL BUDGET</v>
      </c>
      <c r="AH211" s="35" t="str">
        <f t="shared" si="66"/>
        <v>Government Loan</v>
      </c>
      <c r="AI211" s="202">
        <f>'ECL Calculation'!$B$1</f>
        <v>43465</v>
      </c>
      <c r="AJ211" s="202">
        <f t="shared" si="67"/>
        <v>44474</v>
      </c>
      <c r="AK211" s="202">
        <f t="shared" si="68"/>
        <v>42855</v>
      </c>
      <c r="AL211" s="127">
        <f t="shared" si="69"/>
        <v>5</v>
      </c>
      <c r="AM211" s="192">
        <f>IF(AND(IF(ISBLANK(K211),EOMONTH(AJ211,AL211*12),K211)&lt;'ECL Calculation'!$B$1,SUM('Input Sheet'!Q211,'Input Sheet'!R211)&gt;0),EOMONTH('ECL Calculation'!$B$1,12*5),IF(ISBLANK(K211),EOMONTH(AJ211,AL211*12),K211))</f>
        <v>46117</v>
      </c>
      <c r="AN211" s="203">
        <f t="shared" si="70"/>
        <v>3673000000</v>
      </c>
      <c r="AO211" s="203">
        <f t="shared" si="71"/>
        <v>2938400000</v>
      </c>
      <c r="AP211" s="203">
        <f t="shared" si="72"/>
        <v>734600000</v>
      </c>
      <c r="AQ211" s="126">
        <f>VLOOKUP(U211,'Lookup Table'!$B$2:$C$10,2,0)</f>
        <v>1</v>
      </c>
      <c r="AR211" s="127">
        <f>VLOOKUP(S211,'Lookup Table'!$B$2:$C$9,2,0)</f>
        <v>2</v>
      </c>
      <c r="AS211" s="127">
        <f>VLOOKUP(T211,'Lookup Table'!$B$2:$C$9,2,0)</f>
        <v>2</v>
      </c>
      <c r="AT211" s="136">
        <f t="shared" si="73"/>
        <v>2938400000</v>
      </c>
      <c r="AU211" s="128">
        <f t="shared" si="74"/>
        <v>2.2499999999999999E-2</v>
      </c>
      <c r="AV211" s="136">
        <f t="shared" si="75"/>
        <v>14875765.66</v>
      </c>
      <c r="AW211" s="37" t="str">
        <f t="shared" si="76"/>
        <v>Ba3</v>
      </c>
      <c r="AX211" s="128">
        <f>VLOOKUP(E211,'Lookup Table'!$B$12:$C$82,2,0)</f>
        <v>2.6249999999999999E-2</v>
      </c>
      <c r="AY211" s="128">
        <f>'Lookup Table'!$E$3</f>
        <v>0.45</v>
      </c>
      <c r="AZ211" s="129" t="str">
        <f t="shared" si="77"/>
        <v>Serbia</v>
      </c>
      <c r="BA211" s="37">
        <f>VLOOKUP(AA211,'Lookup Table'!$J$3:$K$27,2,0)</f>
        <v>1</v>
      </c>
      <c r="BB211" s="37">
        <f t="shared" si="78"/>
        <v>1</v>
      </c>
      <c r="BC211" s="37">
        <f t="shared" si="79"/>
        <v>1</v>
      </c>
      <c r="BD211" s="37">
        <f>IF(AND(K211&lt;'ECL Calculation'!$B$1,'Input Sheet'!W211="No"),3,IF(X211="Yes",2,1))</f>
        <v>1</v>
      </c>
      <c r="BE211" s="37">
        <f t="shared" si="80"/>
        <v>1</v>
      </c>
      <c r="BF211" s="37" t="str">
        <f t="shared" si="81"/>
        <v>Stage 1</v>
      </c>
      <c r="BG211" s="37" t="str">
        <f t="shared" si="82"/>
        <v>Yes</v>
      </c>
    </row>
    <row r="212" spans="1:59" x14ac:dyDescent="0.2">
      <c r="A212" s="35">
        <f t="shared" si="83"/>
        <v>210</v>
      </c>
      <c r="B212" s="33">
        <v>1220</v>
      </c>
      <c r="C212" s="33" t="s">
        <v>418</v>
      </c>
      <c r="D212" s="33" t="s">
        <v>806</v>
      </c>
      <c r="E212" s="33" t="s">
        <v>480</v>
      </c>
      <c r="F212" s="33" t="s">
        <v>542</v>
      </c>
      <c r="G212" s="117">
        <v>2.5</v>
      </c>
      <c r="H212" s="34">
        <v>42689</v>
      </c>
      <c r="I212" s="34">
        <v>42810</v>
      </c>
      <c r="J212" s="34">
        <v>42810</v>
      </c>
      <c r="K212" s="34">
        <v>49810</v>
      </c>
      <c r="L212" s="34">
        <v>44515</v>
      </c>
      <c r="M212" s="34">
        <v>42870</v>
      </c>
      <c r="N212" s="113">
        <v>15</v>
      </c>
      <c r="O212" s="200">
        <v>146920000</v>
      </c>
      <c r="P212" s="200">
        <v>146920000</v>
      </c>
      <c r="Q212" s="200">
        <v>146920000</v>
      </c>
      <c r="R212" s="201">
        <v>459124.98</v>
      </c>
      <c r="S212" s="33" t="s">
        <v>22</v>
      </c>
      <c r="T212" s="33" t="s">
        <v>22</v>
      </c>
      <c r="U212" s="33" t="s">
        <v>204</v>
      </c>
      <c r="V212" s="33"/>
      <c r="W212" s="33" t="s">
        <v>210</v>
      </c>
      <c r="X212" s="33" t="s">
        <v>210</v>
      </c>
      <c r="Y212" s="33"/>
      <c r="Z212" s="33" t="s">
        <v>209</v>
      </c>
      <c r="AA212" s="35" t="str">
        <f>_xlfn.IFNA(VLOOKUP(E212,'Lookup Table'!$J$33:$K$176,2,0),"B3")</f>
        <v>Ba1</v>
      </c>
      <c r="AB212" s="35">
        <f>_xlfn.IFNA(VLOOKUP($AA212,'Rating Lookup'!$B$2:$I$27,8,0),15)</f>
        <v>11</v>
      </c>
      <c r="AC212" s="35" t="str">
        <f>_xlfn.IFNA(VLOOKUP(E212,'Lookup Table'!$M$33:$N$173,2,0),"B3")</f>
        <v>Ba1</v>
      </c>
      <c r="AD212" s="35">
        <f>_xlfn.IFNA(VLOOKUP($AC212,'Rating Lookup'!$B$2:$I$27,8,0),15)</f>
        <v>11</v>
      </c>
      <c r="AE212" s="35">
        <f t="shared" si="64"/>
        <v>0</v>
      </c>
      <c r="AG212" s="35" t="str">
        <f t="shared" si="65"/>
        <v>HIGH-SPEED TRAIN - TANGIR - CASABLANCA  .</v>
      </c>
      <c r="AH212" s="35" t="str">
        <f t="shared" si="66"/>
        <v>Government Loan</v>
      </c>
      <c r="AI212" s="202">
        <f>'ECL Calculation'!$B$1</f>
        <v>43465</v>
      </c>
      <c r="AJ212" s="202">
        <f t="shared" si="67"/>
        <v>44515</v>
      </c>
      <c r="AK212" s="202">
        <f t="shared" si="68"/>
        <v>42870</v>
      </c>
      <c r="AL212" s="127">
        <f t="shared" si="69"/>
        <v>15</v>
      </c>
      <c r="AM212" s="192">
        <f>IF(AND(IF(ISBLANK(K212),EOMONTH(AJ212,AL212*12),K212)&lt;'ECL Calculation'!$B$1,SUM('Input Sheet'!Q212,'Input Sheet'!R212)&gt;0),EOMONTH('ECL Calculation'!$B$1,12*5),IF(ISBLANK(K212),EOMONTH(AJ212,AL212*12),K212))</f>
        <v>49810</v>
      </c>
      <c r="AN212" s="203">
        <f t="shared" si="70"/>
        <v>146920000</v>
      </c>
      <c r="AO212" s="203">
        <f t="shared" si="71"/>
        <v>146920000</v>
      </c>
      <c r="AP212" s="203">
        <f t="shared" si="72"/>
        <v>0</v>
      </c>
      <c r="AQ212" s="126">
        <f>VLOOKUP(U212,'Lookup Table'!$B$2:$C$10,2,0)</f>
        <v>4</v>
      </c>
      <c r="AR212" s="127">
        <f>VLOOKUP(S212,'Lookup Table'!$B$2:$C$9,2,0)</f>
        <v>2</v>
      </c>
      <c r="AS212" s="127">
        <f>VLOOKUP(T212,'Lookup Table'!$B$2:$C$9,2,0)</f>
        <v>2</v>
      </c>
      <c r="AT212" s="136">
        <f t="shared" si="73"/>
        <v>146920000</v>
      </c>
      <c r="AU212" s="128">
        <f t="shared" si="74"/>
        <v>2.5000000000000001E-2</v>
      </c>
      <c r="AV212" s="136">
        <f t="shared" si="75"/>
        <v>459124.98</v>
      </c>
      <c r="AW212" s="37" t="str">
        <f t="shared" si="76"/>
        <v>Ba1</v>
      </c>
      <c r="AX212" s="128">
        <f>VLOOKUP(E212,'Lookup Table'!$B$12:$C$82,2,0)</f>
        <v>3.1662499999999996E-2</v>
      </c>
      <c r="AY212" s="128">
        <f>'Lookup Table'!$E$3</f>
        <v>0.45</v>
      </c>
      <c r="AZ212" s="129" t="str">
        <f t="shared" si="77"/>
        <v>Morocco</v>
      </c>
      <c r="BA212" s="37">
        <f>VLOOKUP(AA212,'Lookup Table'!$J$3:$K$27,2,0)</f>
        <v>1</v>
      </c>
      <c r="BB212" s="37">
        <f t="shared" si="78"/>
        <v>1</v>
      </c>
      <c r="BC212" s="37">
        <f t="shared" si="79"/>
        <v>1</v>
      </c>
      <c r="BD212" s="37">
        <f>IF(AND(K212&lt;'ECL Calculation'!$B$1,'Input Sheet'!W212="No"),3,IF(X212="Yes",2,1))</f>
        <v>1</v>
      </c>
      <c r="BE212" s="37">
        <f t="shared" si="80"/>
        <v>1</v>
      </c>
      <c r="BF212" s="37" t="str">
        <f t="shared" si="81"/>
        <v>Stage 1</v>
      </c>
      <c r="BG212" s="37" t="str">
        <f t="shared" si="82"/>
        <v>Yes</v>
      </c>
    </row>
    <row r="213" spans="1:59" x14ac:dyDescent="0.2">
      <c r="A213" s="35">
        <f t="shared" si="83"/>
        <v>211</v>
      </c>
      <c r="B213" s="33">
        <v>1221</v>
      </c>
      <c r="C213" s="33" t="s">
        <v>456</v>
      </c>
      <c r="D213" s="33" t="s">
        <v>806</v>
      </c>
      <c r="E213" s="33" t="s">
        <v>537</v>
      </c>
      <c r="F213" s="33" t="s">
        <v>542</v>
      </c>
      <c r="G213" s="117">
        <v>2</v>
      </c>
      <c r="H213" s="34">
        <v>42749</v>
      </c>
      <c r="I213" s="34">
        <v>42934</v>
      </c>
      <c r="J213" s="34">
        <v>42934</v>
      </c>
      <c r="K213" s="34">
        <v>49871</v>
      </c>
      <c r="L213" s="34">
        <v>44576</v>
      </c>
      <c r="M213" s="34">
        <v>42931</v>
      </c>
      <c r="N213" s="113">
        <v>15</v>
      </c>
      <c r="O213" s="200">
        <v>55095000</v>
      </c>
      <c r="P213" s="200">
        <v>16611995.699999999</v>
      </c>
      <c r="Q213" s="200">
        <v>16611995.699999999</v>
      </c>
      <c r="R213" s="201">
        <v>67210.789999999994</v>
      </c>
      <c r="S213" s="33" t="s">
        <v>22</v>
      </c>
      <c r="T213" s="33" t="s">
        <v>22</v>
      </c>
      <c r="U213" s="33" t="s">
        <v>203</v>
      </c>
      <c r="V213" s="33"/>
      <c r="W213" s="33" t="s">
        <v>210</v>
      </c>
      <c r="X213" s="33" t="s">
        <v>210</v>
      </c>
      <c r="Y213" s="33"/>
      <c r="Z213" s="33" t="s">
        <v>209</v>
      </c>
      <c r="AA213" s="35" t="str">
        <f>_xlfn.IFNA(VLOOKUP(E213,'Lookup Table'!$J$33:$K$176,2,0),"B3")</f>
        <v>B3</v>
      </c>
      <c r="AB213" s="35">
        <f>_xlfn.IFNA(VLOOKUP($AA213,'Rating Lookup'!$B$2:$I$27,8,0),15)</f>
        <v>16</v>
      </c>
      <c r="AC213" s="35" t="str">
        <f>_xlfn.IFNA(VLOOKUP(E213,'Lookup Table'!$M$33:$N$173,2,0),"B3")</f>
        <v>B3</v>
      </c>
      <c r="AD213" s="35">
        <f>_xlfn.IFNA(VLOOKUP($AC213,'Rating Lookup'!$B$2:$I$27,8,0),15)</f>
        <v>16</v>
      </c>
      <c r="AE213" s="35">
        <f t="shared" si="64"/>
        <v>0</v>
      </c>
      <c r="AG213" s="35" t="str">
        <f t="shared" si="65"/>
        <v>HYBRID SOLAR AND WIND POWER PROJECT</v>
      </c>
      <c r="AH213" s="35" t="str">
        <f t="shared" si="66"/>
        <v>Government Loan</v>
      </c>
      <c r="AI213" s="202">
        <f>'ECL Calculation'!$B$1</f>
        <v>43465</v>
      </c>
      <c r="AJ213" s="202">
        <f t="shared" si="67"/>
        <v>44576</v>
      </c>
      <c r="AK213" s="202">
        <f t="shared" si="68"/>
        <v>42931</v>
      </c>
      <c r="AL213" s="127">
        <f t="shared" si="69"/>
        <v>15</v>
      </c>
      <c r="AM213" s="192">
        <f>IF(AND(IF(ISBLANK(K213),EOMONTH(AJ213,AL213*12),K213)&lt;'ECL Calculation'!$B$1,SUM('Input Sheet'!Q213,'Input Sheet'!R213)&gt;0),EOMONTH('ECL Calculation'!$B$1,12*5),IF(ISBLANK(K213),EOMONTH(AJ213,AL213*12),K213))</f>
        <v>49871</v>
      </c>
      <c r="AN213" s="203">
        <f t="shared" si="70"/>
        <v>55095000</v>
      </c>
      <c r="AO213" s="203">
        <f t="shared" si="71"/>
        <v>16611995.699999999</v>
      </c>
      <c r="AP213" s="203">
        <f t="shared" si="72"/>
        <v>38483004.299999997</v>
      </c>
      <c r="AQ213" s="126">
        <f>VLOOKUP(U213,'Lookup Table'!$B$2:$C$10,2,0)</f>
        <v>1</v>
      </c>
      <c r="AR213" s="127">
        <f>VLOOKUP(S213,'Lookup Table'!$B$2:$C$9,2,0)</f>
        <v>2</v>
      </c>
      <c r="AS213" s="127">
        <f>VLOOKUP(T213,'Lookup Table'!$B$2:$C$9,2,0)</f>
        <v>2</v>
      </c>
      <c r="AT213" s="136">
        <f t="shared" si="73"/>
        <v>16611995.699999999</v>
      </c>
      <c r="AU213" s="128">
        <f t="shared" si="74"/>
        <v>0.02</v>
      </c>
      <c r="AV213" s="136">
        <f t="shared" si="75"/>
        <v>67210.789999999994</v>
      </c>
      <c r="AW213" s="37" t="str">
        <f t="shared" si="76"/>
        <v>B3</v>
      </c>
      <c r="AX213" s="128">
        <f>VLOOKUP(E213,'Lookup Table'!$B$12:$C$82,2,0)</f>
        <v>0.02</v>
      </c>
      <c r="AY213" s="128">
        <f>'Lookup Table'!$E$3</f>
        <v>0.45</v>
      </c>
      <c r="AZ213" s="129" t="str">
        <f t="shared" si="77"/>
        <v>Antigua and Barbuda</v>
      </c>
      <c r="BA213" s="37">
        <f>VLOOKUP(AA213,'Lookup Table'!$J$3:$K$27,2,0)</f>
        <v>1</v>
      </c>
      <c r="BB213" s="37">
        <f t="shared" si="78"/>
        <v>1</v>
      </c>
      <c r="BC213" s="37">
        <f t="shared" si="79"/>
        <v>1</v>
      </c>
      <c r="BD213" s="37">
        <f>IF(AND(K213&lt;'ECL Calculation'!$B$1,'Input Sheet'!W213="No"),3,IF(X213="Yes",2,1))</f>
        <v>1</v>
      </c>
      <c r="BE213" s="37">
        <f t="shared" si="80"/>
        <v>1</v>
      </c>
      <c r="BF213" s="37" t="str">
        <f t="shared" si="81"/>
        <v>Stage 1</v>
      </c>
      <c r="BG213" s="37" t="str">
        <f t="shared" si="82"/>
        <v>Yes</v>
      </c>
    </row>
    <row r="214" spans="1:59" x14ac:dyDescent="0.2">
      <c r="A214" s="35">
        <f t="shared" si="83"/>
        <v>212</v>
      </c>
      <c r="B214" s="33">
        <v>1222</v>
      </c>
      <c r="C214" s="33" t="s">
        <v>448</v>
      </c>
      <c r="D214" s="33" t="s">
        <v>806</v>
      </c>
      <c r="E214" s="33" t="s">
        <v>529</v>
      </c>
      <c r="F214" s="33" t="s">
        <v>542</v>
      </c>
      <c r="G214" s="117">
        <v>1.5</v>
      </c>
      <c r="H214" s="34">
        <v>42771</v>
      </c>
      <c r="I214" s="34">
        <v>42793</v>
      </c>
      <c r="J214" s="34">
        <v>42793</v>
      </c>
      <c r="K214" s="34">
        <v>46239</v>
      </c>
      <c r="L214" s="34">
        <v>44232</v>
      </c>
      <c r="M214" s="34">
        <v>42952</v>
      </c>
      <c r="N214" s="113">
        <v>6</v>
      </c>
      <c r="O214" s="200">
        <v>165285000</v>
      </c>
      <c r="P214" s="200">
        <v>165285000</v>
      </c>
      <c r="Q214" s="200">
        <v>165285000</v>
      </c>
      <c r="R214" s="201">
        <v>998596.85</v>
      </c>
      <c r="S214" s="33" t="s">
        <v>22</v>
      </c>
      <c r="T214" s="33" t="s">
        <v>22</v>
      </c>
      <c r="U214" s="33" t="s">
        <v>206</v>
      </c>
      <c r="V214" s="33"/>
      <c r="W214" s="33" t="s">
        <v>210</v>
      </c>
      <c r="X214" s="33" t="s">
        <v>210</v>
      </c>
      <c r="Y214" s="33"/>
      <c r="Z214" s="33" t="s">
        <v>209</v>
      </c>
      <c r="AA214" s="35" t="str">
        <f>_xlfn.IFNA(VLOOKUP(E214,'Lookup Table'!$J$33:$K$176,2,0),"B3")</f>
        <v>Aa2</v>
      </c>
      <c r="AB214" s="35">
        <f>_xlfn.IFNA(VLOOKUP($AA214,'Rating Lookup'!$B$2:$I$27,8,0),15)</f>
        <v>3</v>
      </c>
      <c r="AC214" s="35" t="str">
        <f>_xlfn.IFNA(VLOOKUP(E214,'Lookup Table'!$M$33:$N$173,2,0),"B3")</f>
        <v>Aaa</v>
      </c>
      <c r="AD214" s="35">
        <f>_xlfn.IFNA(VLOOKUP($AC214,'Rating Lookup'!$B$2:$I$27,8,0),15)</f>
        <v>1</v>
      </c>
      <c r="AE214" s="35">
        <f t="shared" si="64"/>
        <v>2</v>
      </c>
      <c r="AG214" s="35" t="str">
        <f t="shared" si="65"/>
        <v>THE ESTABLISHMENT OF A FACTORY FOR THE MANUFACTURE OF TRAINING AIRCRAFT</v>
      </c>
      <c r="AH214" s="35" t="str">
        <f t="shared" si="66"/>
        <v>Government Loan</v>
      </c>
      <c r="AI214" s="202">
        <f>'ECL Calculation'!$B$1</f>
        <v>43465</v>
      </c>
      <c r="AJ214" s="202">
        <f t="shared" si="67"/>
        <v>44232</v>
      </c>
      <c r="AK214" s="202">
        <f t="shared" si="68"/>
        <v>42952</v>
      </c>
      <c r="AL214" s="127">
        <f t="shared" si="69"/>
        <v>6</v>
      </c>
      <c r="AM214" s="192">
        <f>IF(AND(IF(ISBLANK(K214),EOMONTH(AJ214,AL214*12),K214)&lt;'ECL Calculation'!$B$1,SUM('Input Sheet'!Q214,'Input Sheet'!R214)&gt;0),EOMONTH('ECL Calculation'!$B$1,12*5),IF(ISBLANK(K214),EOMONTH(AJ214,AL214*12),K214))</f>
        <v>46239</v>
      </c>
      <c r="AN214" s="203">
        <f t="shared" si="70"/>
        <v>165285000</v>
      </c>
      <c r="AO214" s="203">
        <f t="shared" si="71"/>
        <v>165285000</v>
      </c>
      <c r="AP214" s="203">
        <f t="shared" si="72"/>
        <v>0</v>
      </c>
      <c r="AQ214" s="126">
        <f>VLOOKUP(U214,'Lookup Table'!$B$2:$C$10,2,0)</f>
        <v>12</v>
      </c>
      <c r="AR214" s="127">
        <f>VLOOKUP(S214,'Lookup Table'!$B$2:$C$9,2,0)</f>
        <v>2</v>
      </c>
      <c r="AS214" s="127">
        <f>VLOOKUP(T214,'Lookup Table'!$B$2:$C$9,2,0)</f>
        <v>2</v>
      </c>
      <c r="AT214" s="136">
        <f t="shared" si="73"/>
        <v>165285000</v>
      </c>
      <c r="AU214" s="128">
        <f t="shared" si="74"/>
        <v>1.4999999999999999E-2</v>
      </c>
      <c r="AV214" s="136">
        <f t="shared" si="75"/>
        <v>998596.85</v>
      </c>
      <c r="AW214" s="37" t="str">
        <f t="shared" si="76"/>
        <v>Aa2</v>
      </c>
      <c r="AX214" s="128">
        <f>VLOOKUP(E214,'Lookup Table'!$B$12:$C$82,2,0)</f>
        <v>2.4375000000000001E-2</v>
      </c>
      <c r="AY214" s="128">
        <f>'Lookup Table'!$E$3</f>
        <v>0.45</v>
      </c>
      <c r="AZ214" s="129" t="str">
        <f t="shared" si="77"/>
        <v>United Arab Emirates</v>
      </c>
      <c r="BA214" s="37">
        <f>VLOOKUP(AA214,'Lookup Table'!$J$3:$K$27,2,0)</f>
        <v>1</v>
      </c>
      <c r="BB214" s="37">
        <f t="shared" si="78"/>
        <v>1</v>
      </c>
      <c r="BC214" s="37">
        <f t="shared" si="79"/>
        <v>1</v>
      </c>
      <c r="BD214" s="37">
        <f>IF(AND(K214&lt;'ECL Calculation'!$B$1,'Input Sheet'!W214="No"),3,IF(X214="Yes",2,1))</f>
        <v>1</v>
      </c>
      <c r="BE214" s="37">
        <f t="shared" si="80"/>
        <v>1</v>
      </c>
      <c r="BF214" s="37" t="str">
        <f t="shared" si="81"/>
        <v>Stage 1</v>
      </c>
      <c r="BG214" s="37" t="str">
        <f t="shared" si="82"/>
        <v>Yes</v>
      </c>
    </row>
    <row r="215" spans="1:59" x14ac:dyDescent="0.2">
      <c r="A215" s="35">
        <f t="shared" si="83"/>
        <v>213</v>
      </c>
      <c r="B215" s="33">
        <v>1223</v>
      </c>
      <c r="C215" s="33" t="s">
        <v>457</v>
      </c>
      <c r="D215" s="33" t="s">
        <v>806</v>
      </c>
      <c r="E215" s="33" t="s">
        <v>529</v>
      </c>
      <c r="F215" s="33" t="s">
        <v>542</v>
      </c>
      <c r="G215" s="117">
        <v>1.5</v>
      </c>
      <c r="H215" s="34">
        <v>42893</v>
      </c>
      <c r="I215" s="34">
        <v>43086</v>
      </c>
      <c r="J215" s="34">
        <v>43086</v>
      </c>
      <c r="K215" s="34">
        <v>46366</v>
      </c>
      <c r="L215" s="34">
        <v>44357</v>
      </c>
      <c r="M215" s="34">
        <v>43079</v>
      </c>
      <c r="N215" s="113">
        <v>6</v>
      </c>
      <c r="O215" s="200">
        <v>734600000</v>
      </c>
      <c r="P215" s="200">
        <v>734600000</v>
      </c>
      <c r="Q215" s="200">
        <v>734600000</v>
      </c>
      <c r="R215" s="201">
        <v>17599791.670000002</v>
      </c>
      <c r="S215" s="33" t="s">
        <v>22</v>
      </c>
      <c r="T215" s="33" t="s">
        <v>22</v>
      </c>
      <c r="U215" s="33" t="s">
        <v>203</v>
      </c>
      <c r="V215" s="33"/>
      <c r="W215" s="33" t="s">
        <v>210</v>
      </c>
      <c r="X215" s="33" t="s">
        <v>210</v>
      </c>
      <c r="Y215" s="33"/>
      <c r="Z215" s="33" t="s">
        <v>209</v>
      </c>
      <c r="AA215" s="35" t="str">
        <f>_xlfn.IFNA(VLOOKUP(E215,'Lookup Table'!$J$33:$K$176,2,0),"B3")</f>
        <v>Aa2</v>
      </c>
      <c r="AB215" s="35">
        <f>_xlfn.IFNA(VLOOKUP($AA215,'Rating Lookup'!$B$2:$I$27,8,0),15)</f>
        <v>3</v>
      </c>
      <c r="AC215" s="35" t="str">
        <f>_xlfn.IFNA(VLOOKUP(E215,'Lookup Table'!$M$33:$N$173,2,0),"B3")</f>
        <v>Aaa</v>
      </c>
      <c r="AD215" s="35">
        <f>_xlfn.IFNA(VLOOKUP($AC215,'Rating Lookup'!$B$2:$I$27,8,0),15)</f>
        <v>1</v>
      </c>
      <c r="AE215" s="35">
        <f t="shared" si="64"/>
        <v>2</v>
      </c>
      <c r="AG215" s="35" t="str">
        <f t="shared" si="65"/>
        <v>EXPANSION OF THE ESTABLISHMENT OF CALIDUS  AIRFRAFT  MANUFACTURING COMPANY</v>
      </c>
      <c r="AH215" s="35" t="str">
        <f t="shared" si="66"/>
        <v>Government Loan</v>
      </c>
      <c r="AI215" s="202">
        <f>'ECL Calculation'!$B$1</f>
        <v>43465</v>
      </c>
      <c r="AJ215" s="202">
        <f t="shared" si="67"/>
        <v>44357</v>
      </c>
      <c r="AK215" s="202">
        <f t="shared" si="68"/>
        <v>43079</v>
      </c>
      <c r="AL215" s="127">
        <f t="shared" si="69"/>
        <v>6</v>
      </c>
      <c r="AM215" s="192">
        <f>IF(AND(IF(ISBLANK(K215),EOMONTH(AJ215,AL215*12),K215)&lt;'ECL Calculation'!$B$1,SUM('Input Sheet'!Q215,'Input Sheet'!R215)&gt;0),EOMONTH('ECL Calculation'!$B$1,12*5),IF(ISBLANK(K215),EOMONTH(AJ215,AL215*12),K215))</f>
        <v>46366</v>
      </c>
      <c r="AN215" s="203">
        <f t="shared" si="70"/>
        <v>734600000</v>
      </c>
      <c r="AO215" s="203">
        <f t="shared" si="71"/>
        <v>734600000</v>
      </c>
      <c r="AP215" s="203">
        <f t="shared" si="72"/>
        <v>0</v>
      </c>
      <c r="AQ215" s="126">
        <f>VLOOKUP(U215,'Lookup Table'!$B$2:$C$10,2,0)</f>
        <v>1</v>
      </c>
      <c r="AR215" s="127">
        <f>VLOOKUP(S215,'Lookup Table'!$B$2:$C$9,2,0)</f>
        <v>2</v>
      </c>
      <c r="AS215" s="127">
        <f>VLOOKUP(T215,'Lookup Table'!$B$2:$C$9,2,0)</f>
        <v>2</v>
      </c>
      <c r="AT215" s="136">
        <f t="shared" si="73"/>
        <v>734600000</v>
      </c>
      <c r="AU215" s="128">
        <f t="shared" si="74"/>
        <v>1.4999999999999999E-2</v>
      </c>
      <c r="AV215" s="136">
        <f t="shared" si="75"/>
        <v>17599791.670000002</v>
      </c>
      <c r="AW215" s="37" t="str">
        <f t="shared" si="76"/>
        <v>Aa2</v>
      </c>
      <c r="AX215" s="128">
        <f>VLOOKUP(E215,'Lookup Table'!$B$12:$C$82,2,0)</f>
        <v>2.4375000000000001E-2</v>
      </c>
      <c r="AY215" s="128">
        <f>'Lookup Table'!$E$3</f>
        <v>0.45</v>
      </c>
      <c r="AZ215" s="129" t="str">
        <f t="shared" si="77"/>
        <v>United Arab Emirates</v>
      </c>
      <c r="BA215" s="37">
        <f>VLOOKUP(AA215,'Lookup Table'!$J$3:$K$27,2,0)</f>
        <v>1</v>
      </c>
      <c r="BB215" s="37">
        <f t="shared" si="78"/>
        <v>1</v>
      </c>
      <c r="BC215" s="37">
        <f t="shared" si="79"/>
        <v>1</v>
      </c>
      <c r="BD215" s="37">
        <f>IF(AND(K215&lt;'ECL Calculation'!$B$1,'Input Sheet'!W215="No"),3,IF(X215="Yes",2,1))</f>
        <v>1</v>
      </c>
      <c r="BE215" s="37">
        <f t="shared" si="80"/>
        <v>1</v>
      </c>
      <c r="BF215" s="37" t="str">
        <f t="shared" si="81"/>
        <v>Stage 1</v>
      </c>
      <c r="BG215" s="37" t="str">
        <f t="shared" si="82"/>
        <v>Yes</v>
      </c>
    </row>
    <row r="216" spans="1:59" x14ac:dyDescent="0.2">
      <c r="A216" s="35">
        <f t="shared" si="83"/>
        <v>214</v>
      </c>
      <c r="B216" s="33">
        <v>1224</v>
      </c>
      <c r="C216" s="33" t="s">
        <v>458</v>
      </c>
      <c r="D216" s="33" t="s">
        <v>806</v>
      </c>
      <c r="E216" s="33" t="s">
        <v>231</v>
      </c>
      <c r="F216" s="33" t="s">
        <v>542</v>
      </c>
      <c r="G216" s="117">
        <v>1</v>
      </c>
      <c r="H216" s="34">
        <v>42995</v>
      </c>
      <c r="I216" s="34">
        <v>43031</v>
      </c>
      <c r="J216" s="34">
        <v>43031</v>
      </c>
      <c r="K216" s="34">
        <v>46466</v>
      </c>
      <c r="L216" s="34">
        <v>44459</v>
      </c>
      <c r="M216" s="34">
        <v>43179</v>
      </c>
      <c r="N216" s="113">
        <v>6</v>
      </c>
      <c r="O216" s="200">
        <v>40403000</v>
      </c>
      <c r="P216" s="200">
        <v>38337205.630000003</v>
      </c>
      <c r="Q216" s="200">
        <v>38337205.630000003</v>
      </c>
      <c r="R216" s="201">
        <v>397891.41</v>
      </c>
      <c r="S216" s="33" t="s">
        <v>22</v>
      </c>
      <c r="T216" s="33" t="s">
        <v>22</v>
      </c>
      <c r="U216" s="33" t="s">
        <v>203</v>
      </c>
      <c r="V216" s="33"/>
      <c r="W216" s="33" t="s">
        <v>210</v>
      </c>
      <c r="X216" s="33" t="s">
        <v>210</v>
      </c>
      <c r="Y216" s="33"/>
      <c r="Z216" s="33" t="s">
        <v>209</v>
      </c>
      <c r="AA216" s="35" t="str">
        <f>_xlfn.IFNA(VLOOKUP(E216,'Lookup Table'!$J$33:$K$176,2,0),"B3")</f>
        <v>B2</v>
      </c>
      <c r="AB216" s="35">
        <f>_xlfn.IFNA(VLOOKUP($AA216,'Rating Lookup'!$B$2:$I$27,8,0),15)</f>
        <v>15</v>
      </c>
      <c r="AC216" s="35" t="str">
        <f>_xlfn.IFNA(VLOOKUP(E216,'Lookup Table'!$M$33:$N$173,2,0),"B3")</f>
        <v>B2</v>
      </c>
      <c r="AD216" s="35">
        <f>_xlfn.IFNA(VLOOKUP($AC216,'Rating Lookup'!$B$2:$I$27,8,0),15)</f>
        <v>15</v>
      </c>
      <c r="AE216" s="35">
        <f t="shared" si="64"/>
        <v>0</v>
      </c>
      <c r="AG216" s="35" t="str">
        <f t="shared" si="65"/>
        <v>10 MW SOLAR POWER PLANT IN TOSHKA - PHASE 2 ARABIC REPULIC OF EGYPT</v>
      </c>
      <c r="AH216" s="35" t="str">
        <f t="shared" si="66"/>
        <v>Government Loan</v>
      </c>
      <c r="AI216" s="202">
        <f>'ECL Calculation'!$B$1</f>
        <v>43465</v>
      </c>
      <c r="AJ216" s="202">
        <f t="shared" si="67"/>
        <v>44459</v>
      </c>
      <c r="AK216" s="202">
        <f t="shared" si="68"/>
        <v>43179</v>
      </c>
      <c r="AL216" s="127">
        <f t="shared" si="69"/>
        <v>6</v>
      </c>
      <c r="AM216" s="192">
        <f>IF(AND(IF(ISBLANK(K216),EOMONTH(AJ216,AL216*12),K216)&lt;'ECL Calculation'!$B$1,SUM('Input Sheet'!Q216,'Input Sheet'!R216)&gt;0),EOMONTH('ECL Calculation'!$B$1,12*5),IF(ISBLANK(K216),EOMONTH(AJ216,AL216*12),K216))</f>
        <v>46466</v>
      </c>
      <c r="AN216" s="203">
        <f t="shared" si="70"/>
        <v>40403000</v>
      </c>
      <c r="AO216" s="203">
        <f t="shared" si="71"/>
        <v>38337205.630000003</v>
      </c>
      <c r="AP216" s="203">
        <f t="shared" si="72"/>
        <v>2065794.3699999973</v>
      </c>
      <c r="AQ216" s="126">
        <f>VLOOKUP(U216,'Lookup Table'!$B$2:$C$10,2,0)</f>
        <v>1</v>
      </c>
      <c r="AR216" s="127">
        <f>VLOOKUP(S216,'Lookup Table'!$B$2:$C$9,2,0)</f>
        <v>2</v>
      </c>
      <c r="AS216" s="127">
        <f>VLOOKUP(T216,'Lookup Table'!$B$2:$C$9,2,0)</f>
        <v>2</v>
      </c>
      <c r="AT216" s="136">
        <f t="shared" si="73"/>
        <v>38337205.630000003</v>
      </c>
      <c r="AU216" s="128">
        <f t="shared" si="74"/>
        <v>0.01</v>
      </c>
      <c r="AV216" s="136">
        <f t="shared" si="75"/>
        <v>397891.41</v>
      </c>
      <c r="AW216" s="37" t="str">
        <f t="shared" si="76"/>
        <v>B2</v>
      </c>
      <c r="AX216" s="128">
        <f>VLOOKUP(E216,'Lookup Table'!$B$12:$C$82,2,0)</f>
        <v>2.8999999999999998E-2</v>
      </c>
      <c r="AY216" s="128">
        <f>'Lookup Table'!$E$3</f>
        <v>0.45</v>
      </c>
      <c r="AZ216" s="129" t="str">
        <f t="shared" si="77"/>
        <v>Egypt</v>
      </c>
      <c r="BA216" s="37">
        <f>VLOOKUP(AA216,'Lookup Table'!$J$3:$K$27,2,0)</f>
        <v>1</v>
      </c>
      <c r="BB216" s="37">
        <f t="shared" si="78"/>
        <v>1</v>
      </c>
      <c r="BC216" s="37">
        <f t="shared" si="79"/>
        <v>1</v>
      </c>
      <c r="BD216" s="37">
        <f>IF(AND(K216&lt;'ECL Calculation'!$B$1,'Input Sheet'!W216="No"),3,IF(X216="Yes",2,1))</f>
        <v>1</v>
      </c>
      <c r="BE216" s="37">
        <f t="shared" si="80"/>
        <v>1</v>
      </c>
      <c r="BF216" s="37" t="str">
        <f t="shared" si="81"/>
        <v>Stage 1</v>
      </c>
      <c r="BG216" s="37" t="str">
        <f t="shared" si="82"/>
        <v>Yes</v>
      </c>
    </row>
    <row r="217" spans="1:59" x14ac:dyDescent="0.2">
      <c r="A217" s="35">
        <f t="shared" si="83"/>
        <v>215</v>
      </c>
      <c r="B217" s="33">
        <v>1225</v>
      </c>
      <c r="C217" s="33" t="s">
        <v>459</v>
      </c>
      <c r="D217" s="33" t="s">
        <v>806</v>
      </c>
      <c r="E217" s="33" t="s">
        <v>499</v>
      </c>
      <c r="F217" s="33" t="s">
        <v>542</v>
      </c>
      <c r="G217" s="117">
        <v>4</v>
      </c>
      <c r="H217" s="34">
        <v>43025</v>
      </c>
      <c r="I217" s="34">
        <v>43059</v>
      </c>
      <c r="J217" s="34">
        <v>43059</v>
      </c>
      <c r="K217" s="34">
        <v>48334</v>
      </c>
      <c r="L217" s="34">
        <v>44134</v>
      </c>
      <c r="M217" s="34">
        <v>43220</v>
      </c>
      <c r="N217" s="113">
        <v>12</v>
      </c>
      <c r="O217" s="200">
        <v>183650000</v>
      </c>
      <c r="P217" s="200">
        <v>3083089.5</v>
      </c>
      <c r="Q217" s="200">
        <v>3083089.5</v>
      </c>
      <c r="R217" s="201">
        <v>86962.83</v>
      </c>
      <c r="S217" s="33" t="s">
        <v>22</v>
      </c>
      <c r="T217" s="33" t="s">
        <v>22</v>
      </c>
      <c r="U217" s="33" t="s">
        <v>203</v>
      </c>
      <c r="V217" s="33"/>
      <c r="W217" s="33" t="s">
        <v>210</v>
      </c>
      <c r="X217" s="33" t="s">
        <v>210</v>
      </c>
      <c r="Y217" s="33"/>
      <c r="Z217" s="33" t="s">
        <v>209</v>
      </c>
      <c r="AA217" s="35" t="str">
        <f>_xlfn.IFNA(VLOOKUP(E217,'Lookup Table'!$J$33:$K$176,2,0),"B3")</f>
        <v>B2</v>
      </c>
      <c r="AB217" s="35">
        <f>_xlfn.IFNA(VLOOKUP($AA217,'Rating Lookup'!$B$2:$I$27,8,0),15)</f>
        <v>15</v>
      </c>
      <c r="AC217" s="35" t="str">
        <f>_xlfn.IFNA(VLOOKUP(E217,'Lookup Table'!$M$33:$N$173,2,0),"B3")</f>
        <v>B3</v>
      </c>
      <c r="AD217" s="35">
        <f>_xlfn.IFNA(VLOOKUP($AC217,'Rating Lookup'!$B$2:$I$27,8,0),15)</f>
        <v>16</v>
      </c>
      <c r="AE217" s="35">
        <f t="shared" si="64"/>
        <v>0</v>
      </c>
      <c r="AG217" s="35" t="str">
        <f t="shared" si="65"/>
        <v>VELANA INTERNATIONAL AIRPORT</v>
      </c>
      <c r="AH217" s="35" t="str">
        <f t="shared" si="66"/>
        <v>Government Loan</v>
      </c>
      <c r="AI217" s="202">
        <f>'ECL Calculation'!$B$1</f>
        <v>43465</v>
      </c>
      <c r="AJ217" s="202">
        <f t="shared" si="67"/>
        <v>44134</v>
      </c>
      <c r="AK217" s="202">
        <f t="shared" si="68"/>
        <v>43220</v>
      </c>
      <c r="AL217" s="127">
        <f t="shared" si="69"/>
        <v>12</v>
      </c>
      <c r="AM217" s="192">
        <f>IF(AND(IF(ISBLANK(K217),EOMONTH(AJ217,AL217*12),K217)&lt;'ECL Calculation'!$B$1,SUM('Input Sheet'!Q217,'Input Sheet'!R217)&gt;0),EOMONTH('ECL Calculation'!$B$1,12*5),IF(ISBLANK(K217),EOMONTH(AJ217,AL217*12),K217))</f>
        <v>48334</v>
      </c>
      <c r="AN217" s="203">
        <f t="shared" si="70"/>
        <v>183650000</v>
      </c>
      <c r="AO217" s="203">
        <f t="shared" si="71"/>
        <v>3083089.5</v>
      </c>
      <c r="AP217" s="203">
        <f t="shared" si="72"/>
        <v>180566910.5</v>
      </c>
      <c r="AQ217" s="126">
        <f>VLOOKUP(U217,'Lookup Table'!$B$2:$C$10,2,0)</f>
        <v>1</v>
      </c>
      <c r="AR217" s="127">
        <f>VLOOKUP(S217,'Lookup Table'!$B$2:$C$9,2,0)</f>
        <v>2</v>
      </c>
      <c r="AS217" s="127">
        <f>VLOOKUP(T217,'Lookup Table'!$B$2:$C$9,2,0)</f>
        <v>2</v>
      </c>
      <c r="AT217" s="136">
        <f t="shared" si="73"/>
        <v>3083089.5</v>
      </c>
      <c r="AU217" s="128">
        <f t="shared" si="74"/>
        <v>0.04</v>
      </c>
      <c r="AV217" s="136">
        <f t="shared" si="75"/>
        <v>86962.83</v>
      </c>
      <c r="AW217" s="37" t="str">
        <f t="shared" si="76"/>
        <v>B2</v>
      </c>
      <c r="AX217" s="128">
        <f>VLOOKUP(E217,'Lookup Table'!$B$12:$C$82,2,0)</f>
        <v>3.6249999999999998E-2</v>
      </c>
      <c r="AY217" s="128">
        <f>'Lookup Table'!$E$3</f>
        <v>0.45</v>
      </c>
      <c r="AZ217" s="129" t="str">
        <f t="shared" si="77"/>
        <v>Maldives</v>
      </c>
      <c r="BA217" s="37">
        <f>VLOOKUP(AA217,'Lookup Table'!$J$3:$K$27,2,0)</f>
        <v>1</v>
      </c>
      <c r="BB217" s="37">
        <f t="shared" si="78"/>
        <v>1</v>
      </c>
      <c r="BC217" s="37">
        <f t="shared" si="79"/>
        <v>1</v>
      </c>
      <c r="BD217" s="37">
        <f>IF(AND(K217&lt;'ECL Calculation'!$B$1,'Input Sheet'!W217="No"),3,IF(X217="Yes",2,1))</f>
        <v>1</v>
      </c>
      <c r="BE217" s="37">
        <f t="shared" si="80"/>
        <v>1</v>
      </c>
      <c r="BF217" s="37" t="str">
        <f t="shared" si="81"/>
        <v>Stage 1</v>
      </c>
      <c r="BG217" s="37" t="str">
        <f t="shared" si="82"/>
        <v>Yes</v>
      </c>
    </row>
    <row r="218" spans="1:59" x14ac:dyDescent="0.2">
      <c r="A218" s="35">
        <f t="shared" si="83"/>
        <v>216</v>
      </c>
      <c r="B218" s="33">
        <v>1226</v>
      </c>
      <c r="C218" s="33" t="s">
        <v>460</v>
      </c>
      <c r="D218" s="33" t="s">
        <v>806</v>
      </c>
      <c r="E218" s="33" t="s">
        <v>529</v>
      </c>
      <c r="F218" s="33" t="s">
        <v>542</v>
      </c>
      <c r="G218" s="117">
        <v>3</v>
      </c>
      <c r="H218" s="34">
        <v>43048</v>
      </c>
      <c r="I218" s="34">
        <v>43250</v>
      </c>
      <c r="J218" s="34">
        <v>43250</v>
      </c>
      <c r="K218" s="34">
        <v>47618</v>
      </c>
      <c r="L218" s="34">
        <v>44150</v>
      </c>
      <c r="M218" s="34">
        <v>43235</v>
      </c>
      <c r="N218" s="113">
        <v>10</v>
      </c>
      <c r="O218" s="200">
        <v>404030000</v>
      </c>
      <c r="P218" s="200">
        <v>145204411.5</v>
      </c>
      <c r="Q218" s="200">
        <v>145204411.5</v>
      </c>
      <c r="R218" s="201">
        <v>1504465.41</v>
      </c>
      <c r="S218" s="33" t="s">
        <v>22</v>
      </c>
      <c r="T218" s="33" t="s">
        <v>22</v>
      </c>
      <c r="U218" s="33" t="s">
        <v>203</v>
      </c>
      <c r="V218" s="33"/>
      <c r="W218" s="33" t="s">
        <v>210</v>
      </c>
      <c r="X218" s="33" t="s">
        <v>210</v>
      </c>
      <c r="Y218" s="33"/>
      <c r="Z218" s="33" t="s">
        <v>209</v>
      </c>
      <c r="AA218" s="35" t="str">
        <f>_xlfn.IFNA(VLOOKUP(E218,'Lookup Table'!$J$33:$K$176,2,0),"B3")</f>
        <v>Aa2</v>
      </c>
      <c r="AB218" s="35">
        <f>_xlfn.IFNA(VLOOKUP($AA218,'Rating Lookup'!$B$2:$I$27,8,0),15)</f>
        <v>3</v>
      </c>
      <c r="AC218" s="35" t="str">
        <f>_xlfn.IFNA(VLOOKUP(E218,'Lookup Table'!$M$33:$N$173,2,0),"B3")</f>
        <v>Aaa</v>
      </c>
      <c r="AD218" s="35">
        <f>_xlfn.IFNA(VLOOKUP($AC218,'Rating Lookup'!$B$2:$I$27,8,0),15)</f>
        <v>1</v>
      </c>
      <c r="AE218" s="35">
        <f t="shared" si="64"/>
        <v>2</v>
      </c>
      <c r="AG218" s="35" t="str">
        <f t="shared" si="65"/>
        <v>PERMANENT MISSION BUILDING OF THE UAE , IN NEW YORK .</v>
      </c>
      <c r="AH218" s="35" t="str">
        <f t="shared" si="66"/>
        <v>Government Loan</v>
      </c>
      <c r="AI218" s="202">
        <f>'ECL Calculation'!$B$1</f>
        <v>43465</v>
      </c>
      <c r="AJ218" s="202">
        <f t="shared" si="67"/>
        <v>44150</v>
      </c>
      <c r="AK218" s="202">
        <f t="shared" si="68"/>
        <v>43235</v>
      </c>
      <c r="AL218" s="127">
        <f t="shared" si="69"/>
        <v>10</v>
      </c>
      <c r="AM218" s="192">
        <f>IF(AND(IF(ISBLANK(K218),EOMONTH(AJ218,AL218*12),K218)&lt;'ECL Calculation'!$B$1,SUM('Input Sheet'!Q218,'Input Sheet'!R218)&gt;0),EOMONTH('ECL Calculation'!$B$1,12*5),IF(ISBLANK(K218),EOMONTH(AJ218,AL218*12),K218))</f>
        <v>47618</v>
      </c>
      <c r="AN218" s="203">
        <f t="shared" si="70"/>
        <v>404030000</v>
      </c>
      <c r="AO218" s="203">
        <f t="shared" si="71"/>
        <v>145204411.5</v>
      </c>
      <c r="AP218" s="203">
        <f t="shared" si="72"/>
        <v>258825588.5</v>
      </c>
      <c r="AQ218" s="126">
        <f>VLOOKUP(U218,'Lookup Table'!$B$2:$C$10,2,0)</f>
        <v>1</v>
      </c>
      <c r="AR218" s="127">
        <f>VLOOKUP(S218,'Lookup Table'!$B$2:$C$9,2,0)</f>
        <v>2</v>
      </c>
      <c r="AS218" s="127">
        <f>VLOOKUP(T218,'Lookup Table'!$B$2:$C$9,2,0)</f>
        <v>2</v>
      </c>
      <c r="AT218" s="136">
        <f t="shared" si="73"/>
        <v>145204411.5</v>
      </c>
      <c r="AU218" s="128">
        <f t="shared" si="74"/>
        <v>0.03</v>
      </c>
      <c r="AV218" s="136">
        <f t="shared" si="75"/>
        <v>1504465.41</v>
      </c>
      <c r="AW218" s="37" t="str">
        <f t="shared" si="76"/>
        <v>Aa2</v>
      </c>
      <c r="AX218" s="128">
        <f>VLOOKUP(E218,'Lookup Table'!$B$12:$C$82,2,0)</f>
        <v>2.4375000000000001E-2</v>
      </c>
      <c r="AY218" s="128">
        <f>'Lookup Table'!$E$3</f>
        <v>0.45</v>
      </c>
      <c r="AZ218" s="129" t="str">
        <f t="shared" si="77"/>
        <v>United Arab Emirates</v>
      </c>
      <c r="BA218" s="37">
        <f>VLOOKUP(AA218,'Lookup Table'!$J$3:$K$27,2,0)</f>
        <v>1</v>
      </c>
      <c r="BB218" s="37">
        <f t="shared" si="78"/>
        <v>1</v>
      </c>
      <c r="BC218" s="37">
        <f t="shared" si="79"/>
        <v>1</v>
      </c>
      <c r="BD218" s="37">
        <f>IF(AND(K218&lt;'ECL Calculation'!$B$1,'Input Sheet'!W218="No"),3,IF(X218="Yes",2,1))</f>
        <v>1</v>
      </c>
      <c r="BE218" s="37">
        <f t="shared" si="80"/>
        <v>1</v>
      </c>
      <c r="BF218" s="37" t="str">
        <f t="shared" si="81"/>
        <v>Stage 1</v>
      </c>
      <c r="BG218" s="37" t="str">
        <f t="shared" si="82"/>
        <v>Yes</v>
      </c>
    </row>
    <row r="219" spans="1:59" x14ac:dyDescent="0.2">
      <c r="A219" s="35">
        <f t="shared" si="83"/>
        <v>217</v>
      </c>
      <c r="B219" s="33">
        <v>1228</v>
      </c>
      <c r="C219" s="33" t="s">
        <v>461</v>
      </c>
      <c r="D219" s="33" t="s">
        <v>806</v>
      </c>
      <c r="E219" s="33" t="s">
        <v>502</v>
      </c>
      <c r="F219" s="33" t="s">
        <v>542</v>
      </c>
      <c r="G219" s="117">
        <v>2</v>
      </c>
      <c r="H219" s="34">
        <v>43171</v>
      </c>
      <c r="I219" s="34">
        <v>43415</v>
      </c>
      <c r="J219" s="34">
        <v>43415</v>
      </c>
      <c r="K219" s="34">
        <v>50298</v>
      </c>
      <c r="L219" s="34">
        <v>45000</v>
      </c>
      <c r="M219" s="34">
        <v>43358</v>
      </c>
      <c r="N219" s="113">
        <v>15</v>
      </c>
      <c r="O219" s="200">
        <v>31220500</v>
      </c>
      <c r="P219" s="200">
        <v>0</v>
      </c>
      <c r="Q219" s="200">
        <v>0</v>
      </c>
      <c r="R219" s="201">
        <v>0</v>
      </c>
      <c r="S219" s="33" t="s">
        <v>22</v>
      </c>
      <c r="T219" s="33" t="s">
        <v>22</v>
      </c>
      <c r="U219" s="33" t="s">
        <v>203</v>
      </c>
      <c r="V219" s="33"/>
      <c r="W219" s="33" t="s">
        <v>210</v>
      </c>
      <c r="X219" s="33" t="s">
        <v>210</v>
      </c>
      <c r="Y219" s="33" t="s">
        <v>209</v>
      </c>
      <c r="Z219" s="33" t="s">
        <v>209</v>
      </c>
      <c r="AA219" s="35" t="str">
        <f>_xlfn.IFNA(VLOOKUP(E219,'Lookup Table'!$J$33:$K$176,2,0),"B3")</f>
        <v>B3</v>
      </c>
      <c r="AB219" s="35">
        <f>_xlfn.IFNA(VLOOKUP($AA219,'Rating Lookup'!$B$2:$I$27,8,0),15)</f>
        <v>16</v>
      </c>
      <c r="AC219" s="35">
        <f>_xlfn.IFNA(VLOOKUP(E219,'Lookup Table'!$M$33:$N$173,2,0),"B3")</f>
        <v>0</v>
      </c>
      <c r="AD219" s="35">
        <f>_xlfn.IFNA(VLOOKUP($AC219,'Rating Lookup'!$B$2:$I$27,8,0),15)</f>
        <v>15</v>
      </c>
      <c r="AE219" s="35">
        <f t="shared" si="64"/>
        <v>1</v>
      </c>
      <c r="AG219" s="35" t="str">
        <f t="shared" si="65"/>
        <v>THE LLE DE ROMAINVILLE SOLAR POWER FIELD PROJECT</v>
      </c>
      <c r="AH219" s="35" t="str">
        <f t="shared" si="66"/>
        <v>Government Loan</v>
      </c>
      <c r="AI219" s="202">
        <f>'ECL Calculation'!$B$1</f>
        <v>43465</v>
      </c>
      <c r="AJ219" s="202">
        <f t="shared" si="67"/>
        <v>45000</v>
      </c>
      <c r="AK219" s="202">
        <f t="shared" si="68"/>
        <v>43358</v>
      </c>
      <c r="AL219" s="127">
        <f t="shared" si="69"/>
        <v>15</v>
      </c>
      <c r="AM219" s="192">
        <f>IF(AND(IF(ISBLANK(K219),EOMONTH(AJ219,AL219*12),K219)&lt;'ECL Calculation'!$B$1,SUM('Input Sheet'!Q219,'Input Sheet'!R219)&gt;0),EOMONTH('ECL Calculation'!$B$1,12*5),IF(ISBLANK(K219),EOMONTH(AJ219,AL219*12),K219))</f>
        <v>50298</v>
      </c>
      <c r="AN219" s="203">
        <f t="shared" si="70"/>
        <v>31220500</v>
      </c>
      <c r="AO219" s="203">
        <f t="shared" si="71"/>
        <v>0</v>
      </c>
      <c r="AP219" s="203">
        <f t="shared" si="72"/>
        <v>31220500</v>
      </c>
      <c r="AQ219" s="126">
        <f>VLOOKUP(U219,'Lookup Table'!$B$2:$C$10,2,0)</f>
        <v>1</v>
      </c>
      <c r="AR219" s="127">
        <f>VLOOKUP(S219,'Lookup Table'!$B$2:$C$9,2,0)</f>
        <v>2</v>
      </c>
      <c r="AS219" s="127">
        <f>VLOOKUP(T219,'Lookup Table'!$B$2:$C$9,2,0)</f>
        <v>2</v>
      </c>
      <c r="AT219" s="136">
        <f t="shared" si="73"/>
        <v>0</v>
      </c>
      <c r="AU219" s="128">
        <f t="shared" si="74"/>
        <v>0.02</v>
      </c>
      <c r="AV219" s="136">
        <f t="shared" si="75"/>
        <v>0</v>
      </c>
      <c r="AW219" s="37" t="str">
        <f t="shared" si="76"/>
        <v>B3</v>
      </c>
      <c r="AX219" s="128">
        <f>VLOOKUP(E219,'Lookup Table'!$B$12:$C$82,2,0)</f>
        <v>3.7499999999999999E-2</v>
      </c>
      <c r="AY219" s="128">
        <f>'Lookup Table'!$E$3</f>
        <v>0.45</v>
      </c>
      <c r="AZ219" s="129" t="str">
        <f t="shared" si="77"/>
        <v>Seychelles</v>
      </c>
      <c r="BA219" s="37">
        <f>VLOOKUP(AA219,'Lookup Table'!$J$3:$K$27,2,0)</f>
        <v>1</v>
      </c>
      <c r="BB219" s="37">
        <f t="shared" si="78"/>
        <v>2</v>
      </c>
      <c r="BC219" s="37">
        <f t="shared" si="79"/>
        <v>1</v>
      </c>
      <c r="BD219" s="37">
        <f>IF(AND(K219&lt;'ECL Calculation'!$B$1,'Input Sheet'!W219="No"),3,IF(X219="Yes",2,1))</f>
        <v>1</v>
      </c>
      <c r="BE219" s="37">
        <f t="shared" si="80"/>
        <v>3</v>
      </c>
      <c r="BF219" s="37" t="str">
        <f t="shared" si="81"/>
        <v>Stage 3</v>
      </c>
      <c r="BG219" s="37" t="str">
        <f t="shared" si="82"/>
        <v>No</v>
      </c>
    </row>
    <row r="220" spans="1:59" x14ac:dyDescent="0.2">
      <c r="A220" s="35">
        <f t="shared" si="83"/>
        <v>218</v>
      </c>
      <c r="B220" s="33">
        <v>1229</v>
      </c>
      <c r="C220" s="33" t="s">
        <v>462</v>
      </c>
      <c r="D220" s="33" t="s">
        <v>806</v>
      </c>
      <c r="E220" s="33" t="s">
        <v>529</v>
      </c>
      <c r="F220" s="33" t="s">
        <v>542</v>
      </c>
      <c r="G220" s="117">
        <v>0</v>
      </c>
      <c r="H220" s="34">
        <v>43167</v>
      </c>
      <c r="I220" s="34">
        <v>43167</v>
      </c>
      <c r="J220" s="34">
        <v>43167</v>
      </c>
      <c r="K220" s="34">
        <v>50293</v>
      </c>
      <c r="L220" s="34">
        <v>44995</v>
      </c>
      <c r="M220" s="34">
        <v>43169</v>
      </c>
      <c r="N220" s="113">
        <v>15</v>
      </c>
      <c r="O220" s="200">
        <v>1000000</v>
      </c>
      <c r="P220" s="200">
        <v>848629.94</v>
      </c>
      <c r="Q220" s="200">
        <v>848629.94</v>
      </c>
      <c r="R220" s="201">
        <v>0</v>
      </c>
      <c r="S220" s="33" t="s">
        <v>22</v>
      </c>
      <c r="T220" s="33" t="s">
        <v>22</v>
      </c>
      <c r="U220" s="33" t="s">
        <v>203</v>
      </c>
      <c r="V220" s="33" t="s">
        <v>700</v>
      </c>
      <c r="W220" s="33" t="s">
        <v>210</v>
      </c>
      <c r="X220" s="33" t="s">
        <v>210</v>
      </c>
      <c r="Y220" s="33"/>
      <c r="Z220" s="33" t="s">
        <v>209</v>
      </c>
      <c r="AA220" s="35" t="str">
        <f>_xlfn.IFNA(VLOOKUP(E220,'Lookup Table'!$J$33:$K$176,2,0),"B3")</f>
        <v>Aa2</v>
      </c>
      <c r="AB220" s="35">
        <f>_xlfn.IFNA(VLOOKUP($AA220,'Rating Lookup'!$B$2:$I$27,8,0),15)</f>
        <v>3</v>
      </c>
      <c r="AC220" s="35" t="str">
        <f>_xlfn.IFNA(VLOOKUP(E220,'Lookup Table'!$M$33:$N$173,2,0),"B3")</f>
        <v>Aaa</v>
      </c>
      <c r="AD220" s="35">
        <f>_xlfn.IFNA(VLOOKUP($AC220,'Rating Lookup'!$B$2:$I$27,8,0),15)</f>
        <v>1</v>
      </c>
      <c r="AE220" s="35">
        <f t="shared" si="64"/>
        <v>2</v>
      </c>
      <c r="AG220" s="35" t="str">
        <f t="shared" si="65"/>
        <v>SUPPORT AND DEVELOPMENT OF FISHING EQUIPMENT PROJECT</v>
      </c>
      <c r="AH220" s="35" t="str">
        <f t="shared" si="66"/>
        <v>Government Loan</v>
      </c>
      <c r="AI220" s="202">
        <f>'ECL Calculation'!$B$1</f>
        <v>43465</v>
      </c>
      <c r="AJ220" s="202">
        <f t="shared" si="67"/>
        <v>44995</v>
      </c>
      <c r="AK220" s="202">
        <f t="shared" si="68"/>
        <v>43169</v>
      </c>
      <c r="AL220" s="127">
        <f t="shared" si="69"/>
        <v>15</v>
      </c>
      <c r="AM220" s="192">
        <f>IF(AND(IF(ISBLANK(K220),EOMONTH(AJ220,AL220*12),K220)&lt;'ECL Calculation'!$B$1,SUM('Input Sheet'!Q220,'Input Sheet'!R220)&gt;0),EOMONTH('ECL Calculation'!$B$1,12*5),IF(ISBLANK(K220),EOMONTH(AJ220,AL220*12),K220))</f>
        <v>50293</v>
      </c>
      <c r="AN220" s="203">
        <f t="shared" si="70"/>
        <v>1000000</v>
      </c>
      <c r="AO220" s="203">
        <f t="shared" si="71"/>
        <v>848629.94</v>
      </c>
      <c r="AP220" s="203">
        <f t="shared" si="72"/>
        <v>151370.06000000006</v>
      </c>
      <c r="AQ220" s="126">
        <f>VLOOKUP(U220,'Lookup Table'!$B$2:$C$10,2,0)</f>
        <v>1</v>
      </c>
      <c r="AR220" s="127">
        <f>VLOOKUP(S220,'Lookup Table'!$B$2:$C$9,2,0)</f>
        <v>2</v>
      </c>
      <c r="AS220" s="127">
        <f>VLOOKUP(T220,'Lookup Table'!$B$2:$C$9,2,0)</f>
        <v>2</v>
      </c>
      <c r="AT220" s="136">
        <f t="shared" si="73"/>
        <v>848629.94</v>
      </c>
      <c r="AU220" s="128">
        <f t="shared" si="74"/>
        <v>0</v>
      </c>
      <c r="AV220" s="136">
        <f t="shared" si="75"/>
        <v>0</v>
      </c>
      <c r="AW220" s="37" t="str">
        <f t="shared" si="76"/>
        <v>Aa2</v>
      </c>
      <c r="AX220" s="128">
        <f>VLOOKUP(E220,'Lookup Table'!$B$12:$C$82,2,0)</f>
        <v>2.4375000000000001E-2</v>
      </c>
      <c r="AY220" s="128">
        <f>'Lookup Table'!$E$3</f>
        <v>0.45</v>
      </c>
      <c r="AZ220" s="129" t="str">
        <f t="shared" si="77"/>
        <v>United Arab Emirates</v>
      </c>
      <c r="BA220" s="37">
        <f>VLOOKUP(AA220,'Lookup Table'!$J$3:$K$27,2,0)</f>
        <v>1</v>
      </c>
      <c r="BB220" s="37">
        <f t="shared" si="78"/>
        <v>1</v>
      </c>
      <c r="BC220" s="37">
        <f t="shared" si="79"/>
        <v>1</v>
      </c>
      <c r="BD220" s="37">
        <f>IF(AND(K220&lt;'ECL Calculation'!$B$1,'Input Sheet'!W220="No"),3,IF(X220="Yes",2,1))</f>
        <v>1</v>
      </c>
      <c r="BE220" s="37">
        <f t="shared" si="80"/>
        <v>1</v>
      </c>
      <c r="BF220" s="37" t="str">
        <f t="shared" si="81"/>
        <v>Stage 1</v>
      </c>
      <c r="BG220" s="37" t="str">
        <f t="shared" si="82"/>
        <v>Yes</v>
      </c>
    </row>
    <row r="221" spans="1:59" x14ac:dyDescent="0.2">
      <c r="A221" s="35">
        <f t="shared" si="83"/>
        <v>219</v>
      </c>
      <c r="B221" s="33">
        <v>1230</v>
      </c>
      <c r="C221" s="33" t="s">
        <v>463</v>
      </c>
      <c r="D221" s="33" t="s">
        <v>806</v>
      </c>
      <c r="E221" s="33" t="s">
        <v>495</v>
      </c>
      <c r="F221" s="33" t="s">
        <v>542</v>
      </c>
      <c r="G221" s="117">
        <v>1</v>
      </c>
      <c r="H221" s="34">
        <v>43164</v>
      </c>
      <c r="I221" s="34">
        <v>43424</v>
      </c>
      <c r="J221" s="34">
        <v>43424</v>
      </c>
      <c r="K221" s="34">
        <v>50288</v>
      </c>
      <c r="L221" s="34">
        <v>44990</v>
      </c>
      <c r="M221" s="34">
        <v>43348</v>
      </c>
      <c r="N221" s="113">
        <v>15</v>
      </c>
      <c r="O221" s="200">
        <v>47749000</v>
      </c>
      <c r="P221" s="200">
        <v>0</v>
      </c>
      <c r="Q221" s="200">
        <v>0</v>
      </c>
      <c r="R221" s="201">
        <v>0</v>
      </c>
      <c r="S221" s="33" t="s">
        <v>22</v>
      </c>
      <c r="T221" s="33" t="s">
        <v>22</v>
      </c>
      <c r="U221" s="33" t="s">
        <v>203</v>
      </c>
      <c r="V221" s="33"/>
      <c r="W221" s="33" t="s">
        <v>210</v>
      </c>
      <c r="X221" s="33" t="s">
        <v>210</v>
      </c>
      <c r="Y221" s="33"/>
      <c r="Z221" s="33" t="s">
        <v>209</v>
      </c>
      <c r="AA221" s="35" t="str">
        <f>_xlfn.IFNA(VLOOKUP(E221,'Lookup Table'!$J$33:$K$176,2,0),"B3")</f>
        <v>Ba3</v>
      </c>
      <c r="AB221" s="35">
        <f>_xlfn.IFNA(VLOOKUP($AA221,'Rating Lookup'!$B$2:$I$27,8,0),15)</f>
        <v>13</v>
      </c>
      <c r="AC221" s="35" t="str">
        <f>_xlfn.IFNA(VLOOKUP(E221,'Lookup Table'!$M$33:$N$173,2,0),"B3")</f>
        <v>B1</v>
      </c>
      <c r="AD221" s="35">
        <f>_xlfn.IFNA(VLOOKUP($AC221,'Rating Lookup'!$B$2:$I$27,8,0),15)</f>
        <v>14</v>
      </c>
      <c r="AE221" s="35">
        <f t="shared" si="64"/>
        <v>0</v>
      </c>
      <c r="AG221" s="35" t="str">
        <f t="shared" si="65"/>
        <v>SOLAR ENERGY PROJECT FOR RURAL ELECTRIFICATION</v>
      </c>
      <c r="AH221" s="35" t="str">
        <f t="shared" si="66"/>
        <v>Government Loan</v>
      </c>
      <c r="AI221" s="202">
        <f>'ECL Calculation'!$B$1</f>
        <v>43465</v>
      </c>
      <c r="AJ221" s="202">
        <f t="shared" si="67"/>
        <v>44990</v>
      </c>
      <c r="AK221" s="202">
        <f t="shared" si="68"/>
        <v>43348</v>
      </c>
      <c r="AL221" s="127">
        <f t="shared" si="69"/>
        <v>15</v>
      </c>
      <c r="AM221" s="192">
        <f>IF(AND(IF(ISBLANK(K221),EOMONTH(AJ221,AL221*12),K221)&lt;'ECL Calculation'!$B$1,SUM('Input Sheet'!Q221,'Input Sheet'!R221)&gt;0),EOMONTH('ECL Calculation'!$B$1,12*5),IF(ISBLANK(K221),EOMONTH(AJ221,AL221*12),K221))</f>
        <v>50288</v>
      </c>
      <c r="AN221" s="203">
        <f t="shared" si="70"/>
        <v>47749000</v>
      </c>
      <c r="AO221" s="203">
        <f t="shared" si="71"/>
        <v>0</v>
      </c>
      <c r="AP221" s="203">
        <f t="shared" si="72"/>
        <v>47749000</v>
      </c>
      <c r="AQ221" s="126">
        <f>VLOOKUP(U221,'Lookup Table'!$B$2:$C$10,2,0)</f>
        <v>1</v>
      </c>
      <c r="AR221" s="127">
        <f>VLOOKUP(S221,'Lookup Table'!$B$2:$C$9,2,0)</f>
        <v>2</v>
      </c>
      <c r="AS221" s="127">
        <f>VLOOKUP(T221,'Lookup Table'!$B$2:$C$9,2,0)</f>
        <v>2</v>
      </c>
      <c r="AT221" s="136">
        <f t="shared" si="73"/>
        <v>0</v>
      </c>
      <c r="AU221" s="128">
        <f t="shared" si="74"/>
        <v>0.01</v>
      </c>
      <c r="AV221" s="136">
        <f t="shared" si="75"/>
        <v>0</v>
      </c>
      <c r="AW221" s="37" t="str">
        <f t="shared" si="76"/>
        <v>Ba3</v>
      </c>
      <c r="AX221" s="128">
        <f>VLOOKUP(E221,'Lookup Table'!$B$12:$C$82,2,0)</f>
        <v>2.75E-2</v>
      </c>
      <c r="AY221" s="128">
        <f>'Lookup Table'!$E$3</f>
        <v>0.45</v>
      </c>
      <c r="AZ221" s="129" t="str">
        <f t="shared" si="77"/>
        <v>Senegal</v>
      </c>
      <c r="BA221" s="37">
        <f>VLOOKUP(AA221,'Lookup Table'!$J$3:$K$27,2,0)</f>
        <v>1</v>
      </c>
      <c r="BB221" s="37">
        <f t="shared" si="78"/>
        <v>1</v>
      </c>
      <c r="BC221" s="37">
        <f t="shared" si="79"/>
        <v>1</v>
      </c>
      <c r="BD221" s="37">
        <f>IF(AND(K221&lt;'ECL Calculation'!$B$1,'Input Sheet'!W221="No"),3,IF(X221="Yes",2,1))</f>
        <v>1</v>
      </c>
      <c r="BE221" s="37">
        <f t="shared" si="80"/>
        <v>1</v>
      </c>
      <c r="BF221" s="37" t="str">
        <f t="shared" si="81"/>
        <v>Stage 1</v>
      </c>
      <c r="BG221" s="37" t="str">
        <f t="shared" si="82"/>
        <v>No</v>
      </c>
    </row>
    <row r="222" spans="1:59" x14ac:dyDescent="0.2">
      <c r="A222" s="35">
        <f t="shared" si="83"/>
        <v>220</v>
      </c>
      <c r="B222" s="33">
        <v>1232</v>
      </c>
      <c r="C222" s="33" t="s">
        <v>464</v>
      </c>
      <c r="D222" s="33" t="s">
        <v>806</v>
      </c>
      <c r="E222" s="33" t="s">
        <v>485</v>
      </c>
      <c r="F222" s="33" t="s">
        <v>542</v>
      </c>
      <c r="G222" s="117">
        <v>2</v>
      </c>
      <c r="H222" s="34">
        <v>43193</v>
      </c>
      <c r="I222" s="34">
        <v>43433</v>
      </c>
      <c r="J222" s="34">
        <v>43433</v>
      </c>
      <c r="K222" s="34">
        <v>50318</v>
      </c>
      <c r="L222" s="34">
        <v>45021</v>
      </c>
      <c r="M222" s="34">
        <v>43378</v>
      </c>
      <c r="N222" s="113">
        <v>15</v>
      </c>
      <c r="O222" s="200">
        <v>110190000</v>
      </c>
      <c r="P222" s="200">
        <v>110190000</v>
      </c>
      <c r="Q222" s="200">
        <v>110190000</v>
      </c>
      <c r="R222" s="201">
        <v>118760.33</v>
      </c>
      <c r="S222" s="33" t="s">
        <v>22</v>
      </c>
      <c r="T222" s="33" t="s">
        <v>22</v>
      </c>
      <c r="U222" s="33" t="s">
        <v>203</v>
      </c>
      <c r="V222" s="33"/>
      <c r="W222" s="33" t="s">
        <v>210</v>
      </c>
      <c r="X222" s="33" t="s">
        <v>210</v>
      </c>
      <c r="Y222" s="33"/>
      <c r="Z222" s="33" t="s">
        <v>209</v>
      </c>
      <c r="AA222" s="35" t="str">
        <f>_xlfn.IFNA(VLOOKUP(E222,'Lookup Table'!$J$33:$K$176,2,0),"B3")</f>
        <v>B3</v>
      </c>
      <c r="AB222" s="35">
        <f>_xlfn.IFNA(VLOOKUP($AA222,'Rating Lookup'!$B$2:$I$27,8,0),15)</f>
        <v>16</v>
      </c>
      <c r="AC222" s="35">
        <f>_xlfn.IFNA(VLOOKUP(E222,'Lookup Table'!$M$33:$N$173,2,0),"B3")</f>
        <v>0</v>
      </c>
      <c r="AD222" s="35">
        <f>_xlfn.IFNA(VLOOKUP($AC222,'Rating Lookup'!$B$2:$I$27,8,0),15)</f>
        <v>15</v>
      </c>
      <c r="AE222" s="35">
        <f t="shared" si="64"/>
        <v>1</v>
      </c>
      <c r="AG222" s="35" t="str">
        <f t="shared" si="65"/>
        <v>SUPPORT THE NATIONAL SOCIAL HOUSING STRATEGY PROJECT</v>
      </c>
      <c r="AH222" s="35" t="str">
        <f t="shared" si="66"/>
        <v>Government Loan</v>
      </c>
      <c r="AI222" s="202">
        <f>'ECL Calculation'!$B$1</f>
        <v>43465</v>
      </c>
      <c r="AJ222" s="202">
        <f t="shared" si="67"/>
        <v>45021</v>
      </c>
      <c r="AK222" s="202">
        <f t="shared" si="68"/>
        <v>43378</v>
      </c>
      <c r="AL222" s="127">
        <f t="shared" si="69"/>
        <v>15</v>
      </c>
      <c r="AM222" s="192">
        <f>IF(AND(IF(ISBLANK(K222),EOMONTH(AJ222,AL222*12),K222)&lt;'ECL Calculation'!$B$1,SUM('Input Sheet'!Q222,'Input Sheet'!R222)&gt;0),EOMONTH('ECL Calculation'!$B$1,12*5),IF(ISBLANK(K222),EOMONTH(AJ222,AL222*12),K222))</f>
        <v>50318</v>
      </c>
      <c r="AN222" s="203">
        <f t="shared" si="70"/>
        <v>110190000</v>
      </c>
      <c r="AO222" s="203">
        <f t="shared" si="71"/>
        <v>110190000</v>
      </c>
      <c r="AP222" s="203">
        <f t="shared" si="72"/>
        <v>0</v>
      </c>
      <c r="AQ222" s="126">
        <f>VLOOKUP(U222,'Lookup Table'!$B$2:$C$10,2,0)</f>
        <v>1</v>
      </c>
      <c r="AR222" s="127">
        <f>VLOOKUP(S222,'Lookup Table'!$B$2:$C$9,2,0)</f>
        <v>2</v>
      </c>
      <c r="AS222" s="127">
        <f>VLOOKUP(T222,'Lookup Table'!$B$2:$C$9,2,0)</f>
        <v>2</v>
      </c>
      <c r="AT222" s="136">
        <f t="shared" si="73"/>
        <v>110190000</v>
      </c>
      <c r="AU222" s="128">
        <f t="shared" si="74"/>
        <v>0.02</v>
      </c>
      <c r="AV222" s="136">
        <f t="shared" si="75"/>
        <v>118760.33</v>
      </c>
      <c r="AW222" s="37" t="str">
        <f t="shared" si="76"/>
        <v>B3</v>
      </c>
      <c r="AX222" s="128">
        <f>VLOOKUP(E222,'Lookup Table'!$B$12:$C$82,2,0)</f>
        <v>2.2000000000000002E-2</v>
      </c>
      <c r="AY222" s="128">
        <f>'Lookup Table'!$E$3</f>
        <v>0.45</v>
      </c>
      <c r="AZ222" s="129" t="str">
        <f t="shared" si="77"/>
        <v>Mali</v>
      </c>
      <c r="BA222" s="37">
        <f>VLOOKUP(AA222,'Lookup Table'!$J$3:$K$27,2,0)</f>
        <v>1</v>
      </c>
      <c r="BB222" s="37">
        <f t="shared" si="78"/>
        <v>2</v>
      </c>
      <c r="BC222" s="37">
        <f t="shared" si="79"/>
        <v>1</v>
      </c>
      <c r="BD222" s="37">
        <f>IF(AND(K222&lt;'ECL Calculation'!$B$1,'Input Sheet'!W222="No"),3,IF(X222="Yes",2,1))</f>
        <v>1</v>
      </c>
      <c r="BE222" s="37">
        <f t="shared" si="80"/>
        <v>1</v>
      </c>
      <c r="BF222" s="37" t="str">
        <f t="shared" si="81"/>
        <v>Stage 2</v>
      </c>
      <c r="BG222" s="37" t="str">
        <f t="shared" si="82"/>
        <v>Yes</v>
      </c>
    </row>
    <row r="223" spans="1:59" x14ac:dyDescent="0.2">
      <c r="A223" s="35">
        <f t="shared" si="83"/>
        <v>221</v>
      </c>
      <c r="B223" s="33">
        <v>1233</v>
      </c>
      <c r="C223" s="33" t="s">
        <v>465</v>
      </c>
      <c r="D223" s="33" t="s">
        <v>806</v>
      </c>
      <c r="E223" s="33" t="s">
        <v>498</v>
      </c>
      <c r="F223" s="33" t="s">
        <v>542</v>
      </c>
      <c r="G223" s="117">
        <v>2</v>
      </c>
      <c r="H223" s="34">
        <v>43262</v>
      </c>
      <c r="I223" s="34">
        <v>43401</v>
      </c>
      <c r="J223" s="34">
        <v>43401</v>
      </c>
      <c r="K223" s="34">
        <v>50389</v>
      </c>
      <c r="L223" s="34">
        <v>45092</v>
      </c>
      <c r="M223" s="34">
        <v>43449</v>
      </c>
      <c r="N223" s="113">
        <v>15</v>
      </c>
      <c r="O223" s="200">
        <v>40403000</v>
      </c>
      <c r="P223" s="200">
        <v>0</v>
      </c>
      <c r="Q223" s="200">
        <v>0</v>
      </c>
      <c r="R223" s="201">
        <v>0</v>
      </c>
      <c r="S223" s="33" t="s">
        <v>22</v>
      </c>
      <c r="T223" s="33" t="s">
        <v>22</v>
      </c>
      <c r="U223" s="33" t="s">
        <v>203</v>
      </c>
      <c r="V223" s="33"/>
      <c r="W223" s="33" t="s">
        <v>210</v>
      </c>
      <c r="X223" s="33" t="s">
        <v>210</v>
      </c>
      <c r="Y223" s="33"/>
      <c r="Z223" s="33" t="s">
        <v>209</v>
      </c>
      <c r="AA223" s="35" t="str">
        <f>_xlfn.IFNA(VLOOKUP(E223,'Lookup Table'!$J$33:$K$176,2,0),"B3")</f>
        <v>B2</v>
      </c>
      <c r="AB223" s="35">
        <f>_xlfn.IFNA(VLOOKUP($AA223,'Rating Lookup'!$B$2:$I$27,8,0),15)</f>
        <v>15</v>
      </c>
      <c r="AC223" s="35">
        <f>_xlfn.IFNA(VLOOKUP(E223,'Lookup Table'!$M$33:$N$173,2,0),"B3")</f>
        <v>0</v>
      </c>
      <c r="AD223" s="35">
        <f>_xlfn.IFNA(VLOOKUP($AC223,'Rating Lookup'!$B$2:$I$27,8,0),15)</f>
        <v>15</v>
      </c>
      <c r="AE223" s="35">
        <f t="shared" si="64"/>
        <v>0</v>
      </c>
      <c r="AG223" s="35" t="str">
        <f t="shared" si="65"/>
        <v>THE RURAL ELECTRIFICATION PROJECT ( KALUNGU COMPONENT)</v>
      </c>
      <c r="AH223" s="35" t="str">
        <f t="shared" si="66"/>
        <v>Government Loan</v>
      </c>
      <c r="AI223" s="202">
        <f>'ECL Calculation'!$B$1</f>
        <v>43465</v>
      </c>
      <c r="AJ223" s="202">
        <f t="shared" si="67"/>
        <v>45092</v>
      </c>
      <c r="AK223" s="202">
        <f t="shared" si="68"/>
        <v>43449</v>
      </c>
      <c r="AL223" s="127">
        <f t="shared" si="69"/>
        <v>15</v>
      </c>
      <c r="AM223" s="192">
        <f>IF(AND(IF(ISBLANK(K223),EOMONTH(AJ223,AL223*12),K223)&lt;'ECL Calculation'!$B$1,SUM('Input Sheet'!Q223,'Input Sheet'!R223)&gt;0),EOMONTH('ECL Calculation'!$B$1,12*5),IF(ISBLANK(K223),EOMONTH(AJ223,AL223*12),K223))</f>
        <v>50389</v>
      </c>
      <c r="AN223" s="203">
        <f t="shared" si="70"/>
        <v>40403000</v>
      </c>
      <c r="AO223" s="203">
        <f t="shared" si="71"/>
        <v>0</v>
      </c>
      <c r="AP223" s="203">
        <f t="shared" si="72"/>
        <v>40403000</v>
      </c>
      <c r="AQ223" s="126">
        <f>VLOOKUP(U223,'Lookup Table'!$B$2:$C$10,2,0)</f>
        <v>1</v>
      </c>
      <c r="AR223" s="127">
        <f>VLOOKUP(S223,'Lookup Table'!$B$2:$C$9,2,0)</f>
        <v>2</v>
      </c>
      <c r="AS223" s="127">
        <f>VLOOKUP(T223,'Lookup Table'!$B$2:$C$9,2,0)</f>
        <v>2</v>
      </c>
      <c r="AT223" s="136">
        <f t="shared" si="73"/>
        <v>0</v>
      </c>
      <c r="AU223" s="128">
        <f t="shared" si="74"/>
        <v>0.02</v>
      </c>
      <c r="AV223" s="136">
        <f t="shared" si="75"/>
        <v>0</v>
      </c>
      <c r="AW223" s="37" t="str">
        <f t="shared" si="76"/>
        <v>B2</v>
      </c>
      <c r="AX223" s="128">
        <f>VLOOKUP(E223,'Lookup Table'!$B$12:$C$82,2,0)</f>
        <v>3.5000000000000003E-2</v>
      </c>
      <c r="AY223" s="128">
        <f>'Lookup Table'!$E$3</f>
        <v>0.45</v>
      </c>
      <c r="AZ223" s="129" t="str">
        <f t="shared" si="77"/>
        <v>Uganda</v>
      </c>
      <c r="BA223" s="37">
        <f>VLOOKUP(AA223,'Lookup Table'!$J$3:$K$27,2,0)</f>
        <v>1</v>
      </c>
      <c r="BB223" s="37">
        <f t="shared" si="78"/>
        <v>1</v>
      </c>
      <c r="BC223" s="37">
        <f t="shared" si="79"/>
        <v>1</v>
      </c>
      <c r="BD223" s="37">
        <f>IF(AND(K223&lt;'ECL Calculation'!$B$1,'Input Sheet'!W223="No"),3,IF(X223="Yes",2,1))</f>
        <v>1</v>
      </c>
      <c r="BE223" s="37">
        <f t="shared" si="80"/>
        <v>1</v>
      </c>
      <c r="BF223" s="37" t="str">
        <f t="shared" si="81"/>
        <v>Stage 1</v>
      </c>
      <c r="BG223" s="37" t="str">
        <f t="shared" si="82"/>
        <v>No</v>
      </c>
    </row>
    <row r="224" spans="1:59" x14ac:dyDescent="0.2">
      <c r="A224" s="35">
        <f t="shared" si="83"/>
        <v>222</v>
      </c>
      <c r="B224" s="33">
        <v>1501</v>
      </c>
      <c r="C224" s="33" t="s">
        <v>466</v>
      </c>
      <c r="D224" s="33" t="s">
        <v>806</v>
      </c>
      <c r="E224" s="33" t="s">
        <v>529</v>
      </c>
      <c r="F224" s="33" t="s">
        <v>542</v>
      </c>
      <c r="G224" s="117">
        <v>3</v>
      </c>
      <c r="H224" s="34">
        <v>29587</v>
      </c>
      <c r="I224" s="34">
        <v>29587</v>
      </c>
      <c r="J224" s="34">
        <v>29587</v>
      </c>
      <c r="K224" s="34">
        <v>34335</v>
      </c>
      <c r="L224" s="34">
        <v>31048</v>
      </c>
      <c r="M224" s="34">
        <v>30682</v>
      </c>
      <c r="N224" s="113">
        <v>9</v>
      </c>
      <c r="O224" s="200">
        <v>15600000</v>
      </c>
      <c r="P224" s="200">
        <v>15600000</v>
      </c>
      <c r="Q224" s="200">
        <v>0</v>
      </c>
      <c r="R224" s="201">
        <v>0</v>
      </c>
      <c r="S224" s="33" t="s">
        <v>22</v>
      </c>
      <c r="T224" s="33" t="s">
        <v>22</v>
      </c>
      <c r="U224" s="33" t="s">
        <v>203</v>
      </c>
      <c r="V224" s="33"/>
      <c r="W224" s="33" t="s">
        <v>210</v>
      </c>
      <c r="X224" s="33" t="s">
        <v>210</v>
      </c>
      <c r="Y224" s="33"/>
      <c r="Z224" s="33" t="s">
        <v>209</v>
      </c>
      <c r="AA224" s="35" t="str">
        <f>_xlfn.IFNA(VLOOKUP(E224,'Lookup Table'!$J$33:$K$176,2,0),"B3")</f>
        <v>Aa2</v>
      </c>
      <c r="AB224" s="35">
        <f>_xlfn.IFNA(VLOOKUP($AA224,'Rating Lookup'!$B$2:$I$27,8,0),15)</f>
        <v>3</v>
      </c>
      <c r="AC224" s="35" t="str">
        <f>_xlfn.IFNA(VLOOKUP(E224,'Lookup Table'!$M$33:$N$173,2,0),"B3")</f>
        <v>Aaa</v>
      </c>
      <c r="AD224" s="35">
        <f>_xlfn.IFNA(VLOOKUP($AC224,'Rating Lookup'!$B$2:$I$27,8,0),15)</f>
        <v>1</v>
      </c>
      <c r="AE224" s="35">
        <f t="shared" si="64"/>
        <v>2</v>
      </c>
      <c r="AG224" s="35" t="str">
        <f t="shared" si="65"/>
        <v>AL-AIN DARIY FARM</v>
      </c>
      <c r="AH224" s="35" t="str">
        <f t="shared" si="66"/>
        <v>Government Loan</v>
      </c>
      <c r="AI224" s="202">
        <f>'ECL Calculation'!$B$1</f>
        <v>43465</v>
      </c>
      <c r="AJ224" s="202">
        <f t="shared" si="67"/>
        <v>31048</v>
      </c>
      <c r="AK224" s="202">
        <f t="shared" si="68"/>
        <v>30682</v>
      </c>
      <c r="AL224" s="127">
        <f t="shared" si="69"/>
        <v>9</v>
      </c>
      <c r="AM224" s="192">
        <f>IF(AND(IF(ISBLANK(K224),EOMONTH(AJ224,AL224*12),K224)&lt;'ECL Calculation'!$B$1,SUM('Input Sheet'!Q224,'Input Sheet'!R224)&gt;0),EOMONTH('ECL Calculation'!$B$1,12*5),IF(ISBLANK(K224),EOMONTH(AJ224,AL224*12),K224))</f>
        <v>34335</v>
      </c>
      <c r="AN224" s="203">
        <f t="shared" si="70"/>
        <v>15600000</v>
      </c>
      <c r="AO224" s="203">
        <f t="shared" si="71"/>
        <v>15600000</v>
      </c>
      <c r="AP224" s="203">
        <f t="shared" si="72"/>
        <v>0</v>
      </c>
      <c r="AQ224" s="126">
        <f>VLOOKUP(U224,'Lookup Table'!$B$2:$C$10,2,0)</f>
        <v>1</v>
      </c>
      <c r="AR224" s="127">
        <f>VLOOKUP(S224,'Lookup Table'!$B$2:$C$9,2,0)</f>
        <v>2</v>
      </c>
      <c r="AS224" s="127">
        <f>VLOOKUP(T224,'Lookup Table'!$B$2:$C$9,2,0)</f>
        <v>2</v>
      </c>
      <c r="AT224" s="136">
        <f t="shared" si="73"/>
        <v>0</v>
      </c>
      <c r="AU224" s="128">
        <f t="shared" si="74"/>
        <v>0.03</v>
      </c>
      <c r="AV224" s="136">
        <f t="shared" si="75"/>
        <v>0</v>
      </c>
      <c r="AW224" s="37" t="str">
        <f t="shared" si="76"/>
        <v>Aa2</v>
      </c>
      <c r="AX224" s="128">
        <f>VLOOKUP(E224,'Lookup Table'!$B$12:$C$82,2,0)</f>
        <v>2.4375000000000001E-2</v>
      </c>
      <c r="AY224" s="128">
        <f>'Lookup Table'!$E$3</f>
        <v>0.45</v>
      </c>
      <c r="AZ224" s="129" t="str">
        <f t="shared" si="77"/>
        <v>United Arab Emirates</v>
      </c>
      <c r="BA224" s="37">
        <f>VLOOKUP(AA224,'Lookup Table'!$J$3:$K$27,2,0)</f>
        <v>1</v>
      </c>
      <c r="BB224" s="37">
        <f t="shared" si="78"/>
        <v>1</v>
      </c>
      <c r="BC224" s="37">
        <f t="shared" si="79"/>
        <v>1</v>
      </c>
      <c r="BD224" s="37">
        <f>IF(AND(K224&lt;'ECL Calculation'!$B$1,'Input Sheet'!W224="No"),3,IF(X224="Yes",2,1))</f>
        <v>3</v>
      </c>
      <c r="BE224" s="37">
        <f t="shared" si="80"/>
        <v>1</v>
      </c>
      <c r="BF224" s="37" t="str">
        <f t="shared" si="81"/>
        <v>Stage 3</v>
      </c>
      <c r="BG224" s="37" t="str">
        <f t="shared" si="82"/>
        <v>No</v>
      </c>
    </row>
    <row r="225" spans="1:59" x14ac:dyDescent="0.2">
      <c r="A225" s="35">
        <f t="shared" si="83"/>
        <v>223</v>
      </c>
      <c r="B225" s="33">
        <v>1502</v>
      </c>
      <c r="C225" s="33" t="s">
        <v>467</v>
      </c>
      <c r="D225" s="33" t="s">
        <v>806</v>
      </c>
      <c r="E225" s="33" t="s">
        <v>529</v>
      </c>
      <c r="F225" s="33" t="s">
        <v>542</v>
      </c>
      <c r="G225" s="117">
        <v>2</v>
      </c>
      <c r="H225" s="34">
        <v>32223</v>
      </c>
      <c r="I225" s="34">
        <v>32223</v>
      </c>
      <c r="J225" s="34">
        <v>32223</v>
      </c>
      <c r="K225" s="34">
        <v>39385</v>
      </c>
      <c r="L225" s="34">
        <v>33724</v>
      </c>
      <c r="M225" s="34">
        <v>33724</v>
      </c>
      <c r="N225" s="113">
        <v>16</v>
      </c>
      <c r="O225" s="200">
        <v>30000000</v>
      </c>
      <c r="P225" s="200">
        <v>30000000</v>
      </c>
      <c r="Q225" s="200">
        <v>0</v>
      </c>
      <c r="R225" s="201">
        <v>0</v>
      </c>
      <c r="S225" s="33" t="s">
        <v>22</v>
      </c>
      <c r="T225" s="33" t="s">
        <v>22</v>
      </c>
      <c r="U225" s="33" t="s">
        <v>203</v>
      </c>
      <c r="V225" s="33"/>
      <c r="W225" s="33" t="s">
        <v>210</v>
      </c>
      <c r="X225" s="33" t="s">
        <v>210</v>
      </c>
      <c r="Y225" s="33"/>
      <c r="Z225" s="33" t="s">
        <v>209</v>
      </c>
      <c r="AA225" s="35" t="str">
        <f>_xlfn.IFNA(VLOOKUP(E225,'Lookup Table'!$J$33:$K$176,2,0),"B3")</f>
        <v>Aa2</v>
      </c>
      <c r="AB225" s="35">
        <f>_xlfn.IFNA(VLOOKUP($AA225,'Rating Lookup'!$B$2:$I$27,8,0),15)</f>
        <v>3</v>
      </c>
      <c r="AC225" s="35" t="str">
        <f>_xlfn.IFNA(VLOOKUP(E225,'Lookup Table'!$M$33:$N$173,2,0),"B3")</f>
        <v>Aaa</v>
      </c>
      <c r="AD225" s="35">
        <f>_xlfn.IFNA(VLOOKUP($AC225,'Rating Lookup'!$B$2:$I$27,8,0),15)</f>
        <v>1</v>
      </c>
      <c r="AE225" s="35">
        <f t="shared" si="64"/>
        <v>2</v>
      </c>
      <c r="AG225" s="35" t="str">
        <f t="shared" si="65"/>
        <v>AL JAZIRA HOTEL (1 )</v>
      </c>
      <c r="AH225" s="35" t="str">
        <f t="shared" si="66"/>
        <v>Government Loan</v>
      </c>
      <c r="AI225" s="202">
        <f>'ECL Calculation'!$B$1</f>
        <v>43465</v>
      </c>
      <c r="AJ225" s="202">
        <f t="shared" si="67"/>
        <v>33724</v>
      </c>
      <c r="AK225" s="202">
        <f t="shared" si="68"/>
        <v>33724</v>
      </c>
      <c r="AL225" s="127">
        <f t="shared" si="69"/>
        <v>16</v>
      </c>
      <c r="AM225" s="192">
        <f>IF(AND(IF(ISBLANK(K225),EOMONTH(AJ225,AL225*12),K225)&lt;'ECL Calculation'!$B$1,SUM('Input Sheet'!Q225,'Input Sheet'!R225)&gt;0),EOMONTH('ECL Calculation'!$B$1,12*5),IF(ISBLANK(K225),EOMONTH(AJ225,AL225*12),K225))</f>
        <v>39385</v>
      </c>
      <c r="AN225" s="203">
        <f t="shared" si="70"/>
        <v>30000000</v>
      </c>
      <c r="AO225" s="203">
        <f t="shared" si="71"/>
        <v>30000000</v>
      </c>
      <c r="AP225" s="203">
        <f t="shared" si="72"/>
        <v>0</v>
      </c>
      <c r="AQ225" s="126">
        <f>VLOOKUP(U225,'Lookup Table'!$B$2:$C$10,2,0)</f>
        <v>1</v>
      </c>
      <c r="AR225" s="127">
        <f>VLOOKUP(S225,'Lookup Table'!$B$2:$C$9,2,0)</f>
        <v>2</v>
      </c>
      <c r="AS225" s="127">
        <f>VLOOKUP(T225,'Lookup Table'!$B$2:$C$9,2,0)</f>
        <v>2</v>
      </c>
      <c r="AT225" s="136">
        <f t="shared" si="73"/>
        <v>0</v>
      </c>
      <c r="AU225" s="128">
        <f t="shared" si="74"/>
        <v>0.02</v>
      </c>
      <c r="AV225" s="136">
        <f t="shared" si="75"/>
        <v>0</v>
      </c>
      <c r="AW225" s="37" t="str">
        <f t="shared" si="76"/>
        <v>Aa2</v>
      </c>
      <c r="AX225" s="128">
        <f>VLOOKUP(E225,'Lookup Table'!$B$12:$C$82,2,0)</f>
        <v>2.4375000000000001E-2</v>
      </c>
      <c r="AY225" s="128">
        <f>'Lookup Table'!$E$3</f>
        <v>0.45</v>
      </c>
      <c r="AZ225" s="129" t="str">
        <f t="shared" si="77"/>
        <v>United Arab Emirates</v>
      </c>
      <c r="BA225" s="37">
        <f>VLOOKUP(AA225,'Lookup Table'!$J$3:$K$27,2,0)</f>
        <v>1</v>
      </c>
      <c r="BB225" s="37">
        <f t="shared" si="78"/>
        <v>1</v>
      </c>
      <c r="BC225" s="37">
        <f t="shared" si="79"/>
        <v>1</v>
      </c>
      <c r="BD225" s="37">
        <f>IF(AND(K225&lt;'ECL Calculation'!$B$1,'Input Sheet'!W225="No"),3,IF(X225="Yes",2,1))</f>
        <v>3</v>
      </c>
      <c r="BE225" s="37">
        <f t="shared" si="80"/>
        <v>1</v>
      </c>
      <c r="BF225" s="37" t="str">
        <f t="shared" si="81"/>
        <v>Stage 3</v>
      </c>
      <c r="BG225" s="37" t="str">
        <f t="shared" si="82"/>
        <v>No</v>
      </c>
    </row>
    <row r="226" spans="1:59" x14ac:dyDescent="0.2">
      <c r="A226" s="35">
        <f t="shared" si="83"/>
        <v>224</v>
      </c>
      <c r="B226" s="33">
        <v>1503</v>
      </c>
      <c r="C226" s="33" t="s">
        <v>468</v>
      </c>
      <c r="D226" s="33" t="s">
        <v>806</v>
      </c>
      <c r="E226" s="33" t="s">
        <v>529</v>
      </c>
      <c r="F226" s="33" t="s">
        <v>542</v>
      </c>
      <c r="G226" s="117">
        <v>3.5</v>
      </c>
      <c r="H226" s="34">
        <v>32275</v>
      </c>
      <c r="I226" s="34">
        <v>32275</v>
      </c>
      <c r="J226" s="34">
        <v>32275</v>
      </c>
      <c r="K226" s="34">
        <v>35002</v>
      </c>
      <c r="L226" s="34">
        <v>34089</v>
      </c>
      <c r="M226" s="34">
        <v>32446</v>
      </c>
      <c r="N226" s="113">
        <v>3</v>
      </c>
      <c r="O226" s="200">
        <v>60000000</v>
      </c>
      <c r="P226" s="200">
        <v>60000000</v>
      </c>
      <c r="Q226" s="200">
        <v>0</v>
      </c>
      <c r="R226" s="201">
        <v>0</v>
      </c>
      <c r="S226" s="33" t="s">
        <v>22</v>
      </c>
      <c r="T226" s="33" t="s">
        <v>22</v>
      </c>
      <c r="U226" s="33" t="s">
        <v>203</v>
      </c>
      <c r="V226" s="33"/>
      <c r="W226" s="33" t="s">
        <v>210</v>
      </c>
      <c r="X226" s="33" t="s">
        <v>210</v>
      </c>
      <c r="Y226" s="33"/>
      <c r="Z226" s="33" t="s">
        <v>209</v>
      </c>
      <c r="AA226" s="35" t="str">
        <f>_xlfn.IFNA(VLOOKUP(E226,'Lookup Table'!$J$33:$K$176,2,0),"B3")</f>
        <v>Aa2</v>
      </c>
      <c r="AB226" s="35">
        <f>_xlfn.IFNA(VLOOKUP($AA226,'Rating Lookup'!$B$2:$I$27,8,0),15)</f>
        <v>3</v>
      </c>
      <c r="AC226" s="35" t="str">
        <f>_xlfn.IFNA(VLOOKUP(E226,'Lookup Table'!$M$33:$N$173,2,0),"B3")</f>
        <v>Aaa</v>
      </c>
      <c r="AD226" s="35">
        <f>_xlfn.IFNA(VLOOKUP($AC226,'Rating Lookup'!$B$2:$I$27,8,0),15)</f>
        <v>1</v>
      </c>
      <c r="AE226" s="35">
        <f t="shared" si="64"/>
        <v>2</v>
      </c>
      <c r="AG226" s="35" t="str">
        <f t="shared" si="65"/>
        <v>OPERATING THE EXE. PLAN</v>
      </c>
      <c r="AH226" s="35" t="str">
        <f t="shared" si="66"/>
        <v>Government Loan</v>
      </c>
      <c r="AI226" s="202">
        <f>'ECL Calculation'!$B$1</f>
        <v>43465</v>
      </c>
      <c r="AJ226" s="202">
        <f t="shared" si="67"/>
        <v>34089</v>
      </c>
      <c r="AK226" s="202">
        <f t="shared" si="68"/>
        <v>32446</v>
      </c>
      <c r="AL226" s="127">
        <f t="shared" si="69"/>
        <v>3</v>
      </c>
      <c r="AM226" s="192">
        <f>IF(AND(IF(ISBLANK(K226),EOMONTH(AJ226,AL226*12),K226)&lt;'ECL Calculation'!$B$1,SUM('Input Sheet'!Q226,'Input Sheet'!R226)&gt;0),EOMONTH('ECL Calculation'!$B$1,12*5),IF(ISBLANK(K226),EOMONTH(AJ226,AL226*12),K226))</f>
        <v>35002</v>
      </c>
      <c r="AN226" s="203">
        <f t="shared" si="70"/>
        <v>60000000</v>
      </c>
      <c r="AO226" s="203">
        <f t="shared" si="71"/>
        <v>60000000</v>
      </c>
      <c r="AP226" s="203">
        <f t="shared" si="72"/>
        <v>0</v>
      </c>
      <c r="AQ226" s="126">
        <f>VLOOKUP(U226,'Lookup Table'!$B$2:$C$10,2,0)</f>
        <v>1</v>
      </c>
      <c r="AR226" s="127">
        <f>VLOOKUP(S226,'Lookup Table'!$B$2:$C$9,2,0)</f>
        <v>2</v>
      </c>
      <c r="AS226" s="127">
        <f>VLOOKUP(T226,'Lookup Table'!$B$2:$C$9,2,0)</f>
        <v>2</v>
      </c>
      <c r="AT226" s="136">
        <f t="shared" si="73"/>
        <v>0</v>
      </c>
      <c r="AU226" s="128">
        <f t="shared" si="74"/>
        <v>3.5000000000000003E-2</v>
      </c>
      <c r="AV226" s="136">
        <f t="shared" si="75"/>
        <v>0</v>
      </c>
      <c r="AW226" s="37" t="str">
        <f t="shared" si="76"/>
        <v>Aa2</v>
      </c>
      <c r="AX226" s="128">
        <f>VLOOKUP(E226,'Lookup Table'!$B$12:$C$82,2,0)</f>
        <v>2.4375000000000001E-2</v>
      </c>
      <c r="AY226" s="128">
        <f>'Lookup Table'!$E$3</f>
        <v>0.45</v>
      </c>
      <c r="AZ226" s="129" t="str">
        <f t="shared" si="77"/>
        <v>United Arab Emirates</v>
      </c>
      <c r="BA226" s="37">
        <f>VLOOKUP(AA226,'Lookup Table'!$J$3:$K$27,2,0)</f>
        <v>1</v>
      </c>
      <c r="BB226" s="37">
        <f t="shared" si="78"/>
        <v>1</v>
      </c>
      <c r="BC226" s="37">
        <f t="shared" si="79"/>
        <v>1</v>
      </c>
      <c r="BD226" s="37">
        <f>IF(AND(K226&lt;'ECL Calculation'!$B$1,'Input Sheet'!W226="No"),3,IF(X226="Yes",2,1))</f>
        <v>3</v>
      </c>
      <c r="BE226" s="37">
        <f t="shared" si="80"/>
        <v>1</v>
      </c>
      <c r="BF226" s="37" t="str">
        <f t="shared" si="81"/>
        <v>Stage 3</v>
      </c>
      <c r="BG226" s="37" t="str">
        <f t="shared" si="82"/>
        <v>No</v>
      </c>
    </row>
    <row r="227" spans="1:59" x14ac:dyDescent="0.2">
      <c r="A227" s="35">
        <f t="shared" si="83"/>
        <v>225</v>
      </c>
      <c r="B227" s="33">
        <v>1504</v>
      </c>
      <c r="C227" s="33" t="s">
        <v>469</v>
      </c>
      <c r="D227" s="33" t="s">
        <v>806</v>
      </c>
      <c r="E227" s="33" t="s">
        <v>529</v>
      </c>
      <c r="F227" s="33" t="s">
        <v>542</v>
      </c>
      <c r="G227" s="117">
        <v>3</v>
      </c>
      <c r="H227" s="34">
        <v>32443</v>
      </c>
      <c r="I227" s="34">
        <v>32443</v>
      </c>
      <c r="J227" s="34">
        <v>32443</v>
      </c>
      <c r="K227" s="34">
        <v>35430</v>
      </c>
      <c r="L227" s="34">
        <v>33239</v>
      </c>
      <c r="M227" s="34">
        <v>33604</v>
      </c>
      <c r="N227" s="113">
        <v>6</v>
      </c>
      <c r="O227" s="200">
        <v>9400000</v>
      </c>
      <c r="P227" s="200">
        <v>9400000</v>
      </c>
      <c r="Q227" s="200">
        <v>0</v>
      </c>
      <c r="R227" s="201">
        <v>0</v>
      </c>
      <c r="S227" s="33" t="s">
        <v>22</v>
      </c>
      <c r="T227" s="33" t="s">
        <v>22</v>
      </c>
      <c r="U227" s="33" t="s">
        <v>203</v>
      </c>
      <c r="V227" s="33"/>
      <c r="W227" s="33" t="s">
        <v>210</v>
      </c>
      <c r="X227" s="33" t="s">
        <v>210</v>
      </c>
      <c r="Y227" s="33"/>
      <c r="Z227" s="33" t="s">
        <v>209</v>
      </c>
      <c r="AA227" s="35" t="str">
        <f>_xlfn.IFNA(VLOOKUP(E227,'Lookup Table'!$J$33:$K$176,2,0),"B3")</f>
        <v>Aa2</v>
      </c>
      <c r="AB227" s="35">
        <f>_xlfn.IFNA(VLOOKUP($AA227,'Rating Lookup'!$B$2:$I$27,8,0),15)</f>
        <v>3</v>
      </c>
      <c r="AC227" s="35" t="str">
        <f>_xlfn.IFNA(VLOOKUP(E227,'Lookup Table'!$M$33:$N$173,2,0),"B3")</f>
        <v>Aaa</v>
      </c>
      <c r="AD227" s="35">
        <f>_xlfn.IFNA(VLOOKUP($AC227,'Rating Lookup'!$B$2:$I$27,8,0),15)</f>
        <v>1</v>
      </c>
      <c r="AE227" s="35">
        <f t="shared" si="64"/>
        <v>2</v>
      </c>
      <c r="AG227" s="35" t="str">
        <f t="shared" si="65"/>
        <v>DAIRY FACTORY &amp; FARM</v>
      </c>
      <c r="AH227" s="35" t="str">
        <f t="shared" si="66"/>
        <v>Government Loan</v>
      </c>
      <c r="AI227" s="202">
        <f>'ECL Calculation'!$B$1</f>
        <v>43465</v>
      </c>
      <c r="AJ227" s="202">
        <f t="shared" si="67"/>
        <v>33239</v>
      </c>
      <c r="AK227" s="202">
        <f t="shared" si="68"/>
        <v>33604</v>
      </c>
      <c r="AL227" s="127">
        <f t="shared" si="69"/>
        <v>6</v>
      </c>
      <c r="AM227" s="192">
        <f>IF(AND(IF(ISBLANK(K227),EOMONTH(AJ227,AL227*12),K227)&lt;'ECL Calculation'!$B$1,SUM('Input Sheet'!Q227,'Input Sheet'!R227)&gt;0),EOMONTH('ECL Calculation'!$B$1,12*5),IF(ISBLANK(K227),EOMONTH(AJ227,AL227*12),K227))</f>
        <v>35430</v>
      </c>
      <c r="AN227" s="203">
        <f t="shared" si="70"/>
        <v>9400000</v>
      </c>
      <c r="AO227" s="203">
        <f t="shared" si="71"/>
        <v>9400000</v>
      </c>
      <c r="AP227" s="203">
        <f t="shared" si="72"/>
        <v>0</v>
      </c>
      <c r="AQ227" s="126">
        <f>VLOOKUP(U227,'Lookup Table'!$B$2:$C$10,2,0)</f>
        <v>1</v>
      </c>
      <c r="AR227" s="127">
        <f>VLOOKUP(S227,'Lookup Table'!$B$2:$C$9,2,0)</f>
        <v>2</v>
      </c>
      <c r="AS227" s="127">
        <f>VLOOKUP(T227,'Lookup Table'!$B$2:$C$9,2,0)</f>
        <v>2</v>
      </c>
      <c r="AT227" s="136">
        <f t="shared" si="73"/>
        <v>0</v>
      </c>
      <c r="AU227" s="128">
        <f t="shared" si="74"/>
        <v>0.03</v>
      </c>
      <c r="AV227" s="136">
        <f t="shared" si="75"/>
        <v>0</v>
      </c>
      <c r="AW227" s="37" t="str">
        <f t="shared" si="76"/>
        <v>Aa2</v>
      </c>
      <c r="AX227" s="128">
        <f>VLOOKUP(E227,'Lookup Table'!$B$12:$C$82,2,0)</f>
        <v>2.4375000000000001E-2</v>
      </c>
      <c r="AY227" s="128">
        <f>'Lookup Table'!$E$3</f>
        <v>0.45</v>
      </c>
      <c r="AZ227" s="129" t="str">
        <f t="shared" si="77"/>
        <v>United Arab Emirates</v>
      </c>
      <c r="BA227" s="37">
        <f>VLOOKUP(AA227,'Lookup Table'!$J$3:$K$27,2,0)</f>
        <v>1</v>
      </c>
      <c r="BB227" s="37">
        <f t="shared" si="78"/>
        <v>1</v>
      </c>
      <c r="BC227" s="37">
        <f t="shared" si="79"/>
        <v>1</v>
      </c>
      <c r="BD227" s="37">
        <f>IF(AND(K227&lt;'ECL Calculation'!$B$1,'Input Sheet'!W227="No"),3,IF(X227="Yes",2,1))</f>
        <v>3</v>
      </c>
      <c r="BE227" s="37">
        <f t="shared" si="80"/>
        <v>1</v>
      </c>
      <c r="BF227" s="37" t="str">
        <f t="shared" si="81"/>
        <v>Stage 3</v>
      </c>
      <c r="BG227" s="37" t="str">
        <f t="shared" si="82"/>
        <v>No</v>
      </c>
    </row>
    <row r="228" spans="1:59" x14ac:dyDescent="0.2">
      <c r="A228" s="35">
        <f t="shared" si="83"/>
        <v>226</v>
      </c>
      <c r="B228" s="33">
        <v>1505</v>
      </c>
      <c r="C228" s="33" t="s">
        <v>470</v>
      </c>
      <c r="D228" s="33" t="s">
        <v>806</v>
      </c>
      <c r="E228" s="33" t="s">
        <v>529</v>
      </c>
      <c r="F228" s="33" t="s">
        <v>542</v>
      </c>
      <c r="G228" s="117">
        <v>3.5</v>
      </c>
      <c r="H228" s="34">
        <v>32223</v>
      </c>
      <c r="I228" s="34">
        <v>32223</v>
      </c>
      <c r="J228" s="34">
        <v>32223</v>
      </c>
      <c r="K228" s="34">
        <v>36098</v>
      </c>
      <c r="L228" s="34">
        <v>33724</v>
      </c>
      <c r="M228" s="34">
        <v>33724</v>
      </c>
      <c r="N228" s="113">
        <v>7</v>
      </c>
      <c r="O228" s="200">
        <v>15000000</v>
      </c>
      <c r="P228" s="200">
        <v>15000000</v>
      </c>
      <c r="Q228" s="200">
        <v>0</v>
      </c>
      <c r="R228" s="201">
        <v>0</v>
      </c>
      <c r="S228" s="33" t="s">
        <v>22</v>
      </c>
      <c r="T228" s="33" t="s">
        <v>22</v>
      </c>
      <c r="U228" s="33" t="s">
        <v>203</v>
      </c>
      <c r="V228" s="33"/>
      <c r="W228" s="33" t="s">
        <v>210</v>
      </c>
      <c r="X228" s="33" t="s">
        <v>210</v>
      </c>
      <c r="Y228" s="33"/>
      <c r="Z228" s="33" t="s">
        <v>209</v>
      </c>
      <c r="AA228" s="35" t="str">
        <f>_xlfn.IFNA(VLOOKUP(E228,'Lookup Table'!$J$33:$K$176,2,0),"B3")</f>
        <v>Aa2</v>
      </c>
      <c r="AB228" s="35">
        <f>_xlfn.IFNA(VLOOKUP($AA228,'Rating Lookup'!$B$2:$I$27,8,0),15)</f>
        <v>3</v>
      </c>
      <c r="AC228" s="35" t="str">
        <f>_xlfn.IFNA(VLOOKUP(E228,'Lookup Table'!$M$33:$N$173,2,0),"B3")</f>
        <v>Aaa</v>
      </c>
      <c r="AD228" s="35">
        <f>_xlfn.IFNA(VLOOKUP($AC228,'Rating Lookup'!$B$2:$I$27,8,0),15)</f>
        <v>1</v>
      </c>
      <c r="AE228" s="35">
        <f t="shared" si="64"/>
        <v>2</v>
      </c>
      <c r="AG228" s="35" t="str">
        <f t="shared" si="65"/>
        <v>COCA COLA FACTORY</v>
      </c>
      <c r="AH228" s="35" t="str">
        <f t="shared" si="66"/>
        <v>Government Loan</v>
      </c>
      <c r="AI228" s="202">
        <f>'ECL Calculation'!$B$1</f>
        <v>43465</v>
      </c>
      <c r="AJ228" s="202">
        <f t="shared" si="67"/>
        <v>33724</v>
      </c>
      <c r="AK228" s="202">
        <f t="shared" si="68"/>
        <v>33724</v>
      </c>
      <c r="AL228" s="127">
        <f t="shared" si="69"/>
        <v>7</v>
      </c>
      <c r="AM228" s="192">
        <f>IF(AND(IF(ISBLANK(K228),EOMONTH(AJ228,AL228*12),K228)&lt;'ECL Calculation'!$B$1,SUM('Input Sheet'!Q228,'Input Sheet'!R228)&gt;0),EOMONTH('ECL Calculation'!$B$1,12*5),IF(ISBLANK(K228),EOMONTH(AJ228,AL228*12),K228))</f>
        <v>36098</v>
      </c>
      <c r="AN228" s="203">
        <f t="shared" si="70"/>
        <v>15000000</v>
      </c>
      <c r="AO228" s="203">
        <f t="shared" si="71"/>
        <v>15000000</v>
      </c>
      <c r="AP228" s="203">
        <f t="shared" si="72"/>
        <v>0</v>
      </c>
      <c r="AQ228" s="126">
        <f>VLOOKUP(U228,'Lookup Table'!$B$2:$C$10,2,0)</f>
        <v>1</v>
      </c>
      <c r="AR228" s="127">
        <f>VLOOKUP(S228,'Lookup Table'!$B$2:$C$9,2,0)</f>
        <v>2</v>
      </c>
      <c r="AS228" s="127">
        <f>VLOOKUP(T228,'Lookup Table'!$B$2:$C$9,2,0)</f>
        <v>2</v>
      </c>
      <c r="AT228" s="136">
        <f t="shared" si="73"/>
        <v>0</v>
      </c>
      <c r="AU228" s="128">
        <f t="shared" si="74"/>
        <v>3.5000000000000003E-2</v>
      </c>
      <c r="AV228" s="136">
        <f t="shared" si="75"/>
        <v>0</v>
      </c>
      <c r="AW228" s="37" t="str">
        <f t="shared" si="76"/>
        <v>Aa2</v>
      </c>
      <c r="AX228" s="128">
        <f>VLOOKUP(E228,'Lookup Table'!$B$12:$C$82,2,0)</f>
        <v>2.4375000000000001E-2</v>
      </c>
      <c r="AY228" s="128">
        <f>'Lookup Table'!$E$3</f>
        <v>0.45</v>
      </c>
      <c r="AZ228" s="129" t="str">
        <f t="shared" si="77"/>
        <v>United Arab Emirates</v>
      </c>
      <c r="BA228" s="37">
        <f>VLOOKUP(AA228,'Lookup Table'!$J$3:$K$27,2,0)</f>
        <v>1</v>
      </c>
      <c r="BB228" s="37">
        <f t="shared" si="78"/>
        <v>1</v>
      </c>
      <c r="BC228" s="37">
        <f t="shared" si="79"/>
        <v>1</v>
      </c>
      <c r="BD228" s="37">
        <f>IF(AND(K228&lt;'ECL Calculation'!$B$1,'Input Sheet'!W228="No"),3,IF(X228="Yes",2,1))</f>
        <v>3</v>
      </c>
      <c r="BE228" s="37">
        <f t="shared" si="80"/>
        <v>1</v>
      </c>
      <c r="BF228" s="37" t="str">
        <f t="shared" si="81"/>
        <v>Stage 3</v>
      </c>
      <c r="BG228" s="37" t="str">
        <f t="shared" si="82"/>
        <v>No</v>
      </c>
    </row>
    <row r="229" spans="1:59" x14ac:dyDescent="0.2">
      <c r="A229" s="35">
        <f t="shared" si="83"/>
        <v>227</v>
      </c>
      <c r="B229" s="33">
        <v>1506</v>
      </c>
      <c r="C229" s="33" t="s">
        <v>471</v>
      </c>
      <c r="D229" s="33" t="s">
        <v>806</v>
      </c>
      <c r="E229" s="33" t="s">
        <v>529</v>
      </c>
      <c r="F229" s="33" t="s">
        <v>542</v>
      </c>
      <c r="G229" s="117">
        <v>2</v>
      </c>
      <c r="H229" s="34">
        <v>33572</v>
      </c>
      <c r="I229" s="34">
        <v>33572</v>
      </c>
      <c r="J229" s="34">
        <v>33572</v>
      </c>
      <c r="K229" s="34">
        <v>40846</v>
      </c>
      <c r="L229" s="34">
        <v>35185</v>
      </c>
      <c r="M229" s="34">
        <v>35185</v>
      </c>
      <c r="N229" s="113">
        <v>16</v>
      </c>
      <c r="O229" s="200">
        <v>10000000</v>
      </c>
      <c r="P229" s="200">
        <v>10000000</v>
      </c>
      <c r="Q229" s="200">
        <v>0</v>
      </c>
      <c r="R229" s="201">
        <v>0</v>
      </c>
      <c r="S229" s="33" t="s">
        <v>22</v>
      </c>
      <c r="T229" s="33" t="s">
        <v>22</v>
      </c>
      <c r="U229" s="33" t="s">
        <v>203</v>
      </c>
      <c r="V229" s="33"/>
      <c r="W229" s="33" t="s">
        <v>210</v>
      </c>
      <c r="X229" s="33" t="s">
        <v>210</v>
      </c>
      <c r="Y229" s="33"/>
      <c r="Z229" s="33" t="s">
        <v>209</v>
      </c>
      <c r="AA229" s="35" t="str">
        <f>_xlfn.IFNA(VLOOKUP(E229,'Lookup Table'!$J$33:$K$176,2,0),"B3")</f>
        <v>Aa2</v>
      </c>
      <c r="AB229" s="35">
        <f>_xlfn.IFNA(VLOOKUP($AA229,'Rating Lookup'!$B$2:$I$27,8,0),15)</f>
        <v>3</v>
      </c>
      <c r="AC229" s="35" t="str">
        <f>_xlfn.IFNA(VLOOKUP(E229,'Lookup Table'!$M$33:$N$173,2,0),"B3")</f>
        <v>Aaa</v>
      </c>
      <c r="AD229" s="35">
        <f>_xlfn.IFNA(VLOOKUP($AC229,'Rating Lookup'!$B$2:$I$27,8,0),15)</f>
        <v>1</v>
      </c>
      <c r="AE229" s="35">
        <f t="shared" si="64"/>
        <v>2</v>
      </c>
      <c r="AG229" s="35" t="str">
        <f t="shared" si="65"/>
        <v>AL JAZIRA HOTEL(2)</v>
      </c>
      <c r="AH229" s="35" t="str">
        <f t="shared" si="66"/>
        <v>Government Loan</v>
      </c>
      <c r="AI229" s="202">
        <f>'ECL Calculation'!$B$1</f>
        <v>43465</v>
      </c>
      <c r="AJ229" s="202">
        <f t="shared" si="67"/>
        <v>35185</v>
      </c>
      <c r="AK229" s="202">
        <f t="shared" si="68"/>
        <v>35185</v>
      </c>
      <c r="AL229" s="127">
        <f t="shared" si="69"/>
        <v>16</v>
      </c>
      <c r="AM229" s="192">
        <f>IF(AND(IF(ISBLANK(K229),EOMONTH(AJ229,AL229*12),K229)&lt;'ECL Calculation'!$B$1,SUM('Input Sheet'!Q229,'Input Sheet'!R229)&gt;0),EOMONTH('ECL Calculation'!$B$1,12*5),IF(ISBLANK(K229),EOMONTH(AJ229,AL229*12),K229))</f>
        <v>40846</v>
      </c>
      <c r="AN229" s="203">
        <f t="shared" si="70"/>
        <v>10000000</v>
      </c>
      <c r="AO229" s="203">
        <f t="shared" si="71"/>
        <v>10000000</v>
      </c>
      <c r="AP229" s="203">
        <f t="shared" si="72"/>
        <v>0</v>
      </c>
      <c r="AQ229" s="126">
        <f>VLOOKUP(U229,'Lookup Table'!$B$2:$C$10,2,0)</f>
        <v>1</v>
      </c>
      <c r="AR229" s="127">
        <f>VLOOKUP(S229,'Lookup Table'!$B$2:$C$9,2,0)</f>
        <v>2</v>
      </c>
      <c r="AS229" s="127">
        <f>VLOOKUP(T229,'Lookup Table'!$B$2:$C$9,2,0)</f>
        <v>2</v>
      </c>
      <c r="AT229" s="136">
        <f t="shared" si="73"/>
        <v>0</v>
      </c>
      <c r="AU229" s="128">
        <f t="shared" si="74"/>
        <v>0.02</v>
      </c>
      <c r="AV229" s="136">
        <f t="shared" si="75"/>
        <v>0</v>
      </c>
      <c r="AW229" s="37" t="str">
        <f t="shared" si="76"/>
        <v>Aa2</v>
      </c>
      <c r="AX229" s="128">
        <f>VLOOKUP(E229,'Lookup Table'!$B$12:$C$82,2,0)</f>
        <v>2.4375000000000001E-2</v>
      </c>
      <c r="AY229" s="128">
        <f>'Lookup Table'!$E$3</f>
        <v>0.45</v>
      </c>
      <c r="AZ229" s="129" t="str">
        <f t="shared" si="77"/>
        <v>United Arab Emirates</v>
      </c>
      <c r="BA229" s="37">
        <f>VLOOKUP(AA229,'Lookup Table'!$J$3:$K$27,2,0)</f>
        <v>1</v>
      </c>
      <c r="BB229" s="37">
        <f t="shared" si="78"/>
        <v>1</v>
      </c>
      <c r="BC229" s="37">
        <f t="shared" si="79"/>
        <v>1</v>
      </c>
      <c r="BD229" s="37">
        <f>IF(AND(K229&lt;'ECL Calculation'!$B$1,'Input Sheet'!W229="No"),3,IF(X229="Yes",2,1))</f>
        <v>3</v>
      </c>
      <c r="BE229" s="37">
        <f t="shared" si="80"/>
        <v>1</v>
      </c>
      <c r="BF229" s="37" t="str">
        <f t="shared" si="81"/>
        <v>Stage 3</v>
      </c>
      <c r="BG229" s="37" t="str">
        <f t="shared" si="82"/>
        <v>No</v>
      </c>
    </row>
    <row r="230" spans="1:59" x14ac:dyDescent="0.2">
      <c r="A230" s="35">
        <f t="shared" si="83"/>
        <v>228</v>
      </c>
      <c r="B230" s="33">
        <v>1507</v>
      </c>
      <c r="C230" s="33" t="s">
        <v>472</v>
      </c>
      <c r="D230" s="33" t="s">
        <v>806</v>
      </c>
      <c r="E230" s="33" t="s">
        <v>529</v>
      </c>
      <c r="F230" s="33" t="s">
        <v>542</v>
      </c>
      <c r="G230" s="117">
        <v>2</v>
      </c>
      <c r="H230" s="34">
        <v>34055</v>
      </c>
      <c r="I230" s="34">
        <v>34055</v>
      </c>
      <c r="J230" s="34">
        <v>34055</v>
      </c>
      <c r="K230" s="34">
        <v>41212</v>
      </c>
      <c r="L230" s="34">
        <v>35550</v>
      </c>
      <c r="M230" s="34">
        <v>35550</v>
      </c>
      <c r="N230" s="113">
        <v>16</v>
      </c>
      <c r="O230" s="200">
        <v>10000000</v>
      </c>
      <c r="P230" s="200">
        <v>10000000</v>
      </c>
      <c r="Q230" s="200">
        <v>0</v>
      </c>
      <c r="R230" s="201">
        <v>0</v>
      </c>
      <c r="S230" s="33" t="s">
        <v>22</v>
      </c>
      <c r="T230" s="33" t="s">
        <v>22</v>
      </c>
      <c r="U230" s="33" t="s">
        <v>203</v>
      </c>
      <c r="V230" s="33"/>
      <c r="W230" s="33" t="s">
        <v>210</v>
      </c>
      <c r="X230" s="33" t="s">
        <v>210</v>
      </c>
      <c r="Y230" s="33"/>
      <c r="Z230" s="33" t="s">
        <v>209</v>
      </c>
      <c r="AA230" s="35" t="str">
        <f>_xlfn.IFNA(VLOOKUP(E230,'Lookup Table'!$J$33:$K$176,2,0),"B3")</f>
        <v>Aa2</v>
      </c>
      <c r="AB230" s="35">
        <f>_xlfn.IFNA(VLOOKUP($AA230,'Rating Lookup'!$B$2:$I$27,8,0),15)</f>
        <v>3</v>
      </c>
      <c r="AC230" s="35" t="str">
        <f>_xlfn.IFNA(VLOOKUP(E230,'Lookup Table'!$M$33:$N$173,2,0),"B3")</f>
        <v>Aaa</v>
      </c>
      <c r="AD230" s="35">
        <f>_xlfn.IFNA(VLOOKUP($AC230,'Rating Lookup'!$B$2:$I$27,8,0),15)</f>
        <v>1</v>
      </c>
      <c r="AE230" s="35">
        <f t="shared" si="64"/>
        <v>2</v>
      </c>
      <c r="AG230" s="35" t="str">
        <f t="shared" si="65"/>
        <v>AL JAZIRA HOTEL(3)</v>
      </c>
      <c r="AH230" s="35" t="str">
        <f t="shared" si="66"/>
        <v>Government Loan</v>
      </c>
      <c r="AI230" s="202">
        <f>'ECL Calculation'!$B$1</f>
        <v>43465</v>
      </c>
      <c r="AJ230" s="202">
        <f t="shared" si="67"/>
        <v>35550</v>
      </c>
      <c r="AK230" s="202">
        <f t="shared" si="68"/>
        <v>35550</v>
      </c>
      <c r="AL230" s="127">
        <f t="shared" si="69"/>
        <v>16</v>
      </c>
      <c r="AM230" s="192">
        <f>IF(AND(IF(ISBLANK(K230),EOMONTH(AJ230,AL230*12),K230)&lt;'ECL Calculation'!$B$1,SUM('Input Sheet'!Q230,'Input Sheet'!R230)&gt;0),EOMONTH('ECL Calculation'!$B$1,12*5),IF(ISBLANK(K230),EOMONTH(AJ230,AL230*12),K230))</f>
        <v>41212</v>
      </c>
      <c r="AN230" s="203">
        <f t="shared" si="70"/>
        <v>10000000</v>
      </c>
      <c r="AO230" s="203">
        <f t="shared" si="71"/>
        <v>10000000</v>
      </c>
      <c r="AP230" s="203">
        <f t="shared" si="72"/>
        <v>0</v>
      </c>
      <c r="AQ230" s="126">
        <f>VLOOKUP(U230,'Lookup Table'!$B$2:$C$10,2,0)</f>
        <v>1</v>
      </c>
      <c r="AR230" s="127">
        <f>VLOOKUP(S230,'Lookup Table'!$B$2:$C$9,2,0)</f>
        <v>2</v>
      </c>
      <c r="AS230" s="127">
        <f>VLOOKUP(T230,'Lookup Table'!$B$2:$C$9,2,0)</f>
        <v>2</v>
      </c>
      <c r="AT230" s="136">
        <f t="shared" si="73"/>
        <v>0</v>
      </c>
      <c r="AU230" s="128">
        <f t="shared" si="74"/>
        <v>0.02</v>
      </c>
      <c r="AV230" s="136">
        <f t="shared" si="75"/>
        <v>0</v>
      </c>
      <c r="AW230" s="37" t="str">
        <f t="shared" si="76"/>
        <v>Aa2</v>
      </c>
      <c r="AX230" s="128">
        <f>VLOOKUP(E230,'Lookup Table'!$B$12:$C$82,2,0)</f>
        <v>2.4375000000000001E-2</v>
      </c>
      <c r="AY230" s="128">
        <f>'Lookup Table'!$E$3</f>
        <v>0.45</v>
      </c>
      <c r="AZ230" s="129" t="str">
        <f t="shared" si="77"/>
        <v>United Arab Emirates</v>
      </c>
      <c r="BA230" s="37">
        <f>VLOOKUP(AA230,'Lookup Table'!$J$3:$K$27,2,0)</f>
        <v>1</v>
      </c>
      <c r="BB230" s="37">
        <f t="shared" si="78"/>
        <v>1</v>
      </c>
      <c r="BC230" s="37">
        <f t="shared" si="79"/>
        <v>1</v>
      </c>
      <c r="BD230" s="37">
        <f>IF(AND(K230&lt;'ECL Calculation'!$B$1,'Input Sheet'!W230="No"),3,IF(X230="Yes",2,1))</f>
        <v>3</v>
      </c>
      <c r="BE230" s="37">
        <f t="shared" si="80"/>
        <v>1</v>
      </c>
      <c r="BF230" s="37" t="str">
        <f t="shared" si="81"/>
        <v>Stage 3</v>
      </c>
      <c r="BG230" s="37" t="str">
        <f t="shared" si="82"/>
        <v>No</v>
      </c>
    </row>
    <row r="231" spans="1:59" x14ac:dyDescent="0.2">
      <c r="A231" s="35">
        <f t="shared" si="83"/>
        <v>229</v>
      </c>
      <c r="B231" s="33">
        <v>1508</v>
      </c>
      <c r="C231" s="33" t="s">
        <v>473</v>
      </c>
      <c r="D231" s="33" t="s">
        <v>806</v>
      </c>
      <c r="E231" s="33" t="s">
        <v>480</v>
      </c>
      <c r="F231" s="33" t="s">
        <v>229</v>
      </c>
      <c r="G231" s="117">
        <v>4</v>
      </c>
      <c r="H231" s="34">
        <v>34170</v>
      </c>
      <c r="I231" s="34">
        <v>34176</v>
      </c>
      <c r="J231" s="34">
        <v>34176</v>
      </c>
      <c r="K231" s="34">
        <v>37924</v>
      </c>
      <c r="L231" s="34">
        <v>35550</v>
      </c>
      <c r="M231" s="34">
        <v>34454</v>
      </c>
      <c r="N231" s="113">
        <v>7</v>
      </c>
      <c r="O231" s="200">
        <v>51422000</v>
      </c>
      <c r="P231" s="200">
        <v>51422000</v>
      </c>
      <c r="Q231" s="200">
        <v>0</v>
      </c>
      <c r="R231" s="201">
        <v>0</v>
      </c>
      <c r="S231" s="33" t="s">
        <v>22</v>
      </c>
      <c r="T231" s="33" t="s">
        <v>22</v>
      </c>
      <c r="U231" s="33" t="s">
        <v>203</v>
      </c>
      <c r="V231" s="33"/>
      <c r="W231" s="33" t="s">
        <v>210</v>
      </c>
      <c r="X231" s="33" t="s">
        <v>210</v>
      </c>
      <c r="Y231" s="33"/>
      <c r="Z231" s="33" t="s">
        <v>209</v>
      </c>
      <c r="AA231" s="35" t="str">
        <f>_xlfn.IFNA(VLOOKUP(E231,'Lookup Table'!$J$33:$K$176,2,0),"B3")</f>
        <v>Ba1</v>
      </c>
      <c r="AB231" s="35">
        <f>_xlfn.IFNA(VLOOKUP($AA231,'Rating Lookup'!$B$2:$I$27,8,0),15)</f>
        <v>11</v>
      </c>
      <c r="AC231" s="35" t="str">
        <f>_xlfn.IFNA(VLOOKUP(E231,'Lookup Table'!$M$33:$N$173,2,0),"B3")</f>
        <v>Ba1</v>
      </c>
      <c r="AD231" s="35">
        <f>_xlfn.IFNA(VLOOKUP($AC231,'Rating Lookup'!$B$2:$I$27,8,0),15)</f>
        <v>11</v>
      </c>
      <c r="AE231" s="35">
        <f t="shared" si="64"/>
        <v>0</v>
      </c>
      <c r="AG231" s="35" t="str">
        <f t="shared" si="65"/>
        <v>DALMA COMPANY FOR INVESTMENT</v>
      </c>
      <c r="AH231" s="35" t="str">
        <f t="shared" si="66"/>
        <v>Government Loan</v>
      </c>
      <c r="AI231" s="202">
        <f>'ECL Calculation'!$B$1</f>
        <v>43465</v>
      </c>
      <c r="AJ231" s="202">
        <f t="shared" si="67"/>
        <v>35550</v>
      </c>
      <c r="AK231" s="202">
        <f t="shared" si="68"/>
        <v>34454</v>
      </c>
      <c r="AL231" s="127">
        <f t="shared" si="69"/>
        <v>7</v>
      </c>
      <c r="AM231" s="192">
        <f>IF(AND(IF(ISBLANK(K231),EOMONTH(AJ231,AL231*12),K231)&lt;'ECL Calculation'!$B$1,SUM('Input Sheet'!Q231,'Input Sheet'!R231)&gt;0),EOMONTH('ECL Calculation'!$B$1,12*5),IF(ISBLANK(K231),EOMONTH(AJ231,AL231*12),K231))</f>
        <v>37924</v>
      </c>
      <c r="AN231" s="203">
        <f t="shared" si="70"/>
        <v>51422000</v>
      </c>
      <c r="AO231" s="203">
        <f t="shared" si="71"/>
        <v>51422000</v>
      </c>
      <c r="AP231" s="203">
        <f t="shared" si="72"/>
        <v>0</v>
      </c>
      <c r="AQ231" s="126">
        <f>VLOOKUP(U231,'Lookup Table'!$B$2:$C$10,2,0)</f>
        <v>1</v>
      </c>
      <c r="AR231" s="127">
        <f>VLOOKUP(S231,'Lookup Table'!$B$2:$C$9,2,0)</f>
        <v>2</v>
      </c>
      <c r="AS231" s="127">
        <f>VLOOKUP(T231,'Lookup Table'!$B$2:$C$9,2,0)</f>
        <v>2</v>
      </c>
      <c r="AT231" s="136">
        <f t="shared" si="73"/>
        <v>0</v>
      </c>
      <c r="AU231" s="128">
        <f t="shared" si="74"/>
        <v>0.04</v>
      </c>
      <c r="AV231" s="136">
        <f t="shared" si="75"/>
        <v>0</v>
      </c>
      <c r="AW231" s="37" t="str">
        <f t="shared" si="76"/>
        <v>Ba1</v>
      </c>
      <c r="AX231" s="128">
        <f>VLOOKUP(E231,'Lookup Table'!$B$12:$C$82,2,0)</f>
        <v>3.1662499999999996E-2</v>
      </c>
      <c r="AY231" s="128">
        <f>'Lookup Table'!$E$3</f>
        <v>0.45</v>
      </c>
      <c r="AZ231" s="129" t="str">
        <f t="shared" si="77"/>
        <v>Morocco</v>
      </c>
      <c r="BA231" s="37">
        <f>VLOOKUP(AA231,'Lookup Table'!$J$3:$K$27,2,0)</f>
        <v>1</v>
      </c>
      <c r="BB231" s="37">
        <f t="shared" si="78"/>
        <v>1</v>
      </c>
      <c r="BC231" s="37">
        <f t="shared" si="79"/>
        <v>1</v>
      </c>
      <c r="BD231" s="37">
        <f>IF(AND(K231&lt;'ECL Calculation'!$B$1,'Input Sheet'!W231="No"),3,IF(X231="Yes",2,1))</f>
        <v>3</v>
      </c>
      <c r="BE231" s="37">
        <f t="shared" si="80"/>
        <v>1</v>
      </c>
      <c r="BF231" s="37" t="str">
        <f t="shared" si="81"/>
        <v>Stage 3</v>
      </c>
      <c r="BG231" s="37" t="str">
        <f t="shared" si="82"/>
        <v>No</v>
      </c>
    </row>
    <row r="232" spans="1:59" x14ac:dyDescent="0.2">
      <c r="A232" s="35">
        <f t="shared" si="83"/>
        <v>230</v>
      </c>
      <c r="B232" s="33">
        <v>1509</v>
      </c>
      <c r="C232" s="33" t="s">
        <v>474</v>
      </c>
      <c r="D232" s="33" t="s">
        <v>806</v>
      </c>
      <c r="E232" s="33" t="s">
        <v>529</v>
      </c>
      <c r="F232" s="33" t="s">
        <v>542</v>
      </c>
      <c r="G232" s="117">
        <v>3.5</v>
      </c>
      <c r="H232" s="34">
        <v>35631</v>
      </c>
      <c r="I232" s="34">
        <v>35631</v>
      </c>
      <c r="J232" s="34">
        <v>35631</v>
      </c>
      <c r="K232" s="34">
        <v>39020</v>
      </c>
      <c r="L232" s="34">
        <v>36829</v>
      </c>
      <c r="M232" s="34">
        <v>35733</v>
      </c>
      <c r="N232" s="113">
        <v>6</v>
      </c>
      <c r="O232" s="200">
        <v>5000000</v>
      </c>
      <c r="P232" s="200">
        <v>5000000</v>
      </c>
      <c r="Q232" s="200">
        <v>4500000</v>
      </c>
      <c r="R232" s="201">
        <v>3290077.33</v>
      </c>
      <c r="S232" s="33" t="s">
        <v>203</v>
      </c>
      <c r="T232" s="33" t="s">
        <v>22</v>
      </c>
      <c r="U232" s="33" t="s">
        <v>203</v>
      </c>
      <c r="V232" s="33"/>
      <c r="W232" s="33" t="s">
        <v>209</v>
      </c>
      <c r="X232" s="33" t="s">
        <v>210</v>
      </c>
      <c r="Y232" s="239" t="s">
        <v>209</v>
      </c>
      <c r="Z232" s="33" t="s">
        <v>209</v>
      </c>
      <c r="AA232" s="35" t="str">
        <f>_xlfn.IFNA(VLOOKUP(E232,'Lookup Table'!$J$33:$K$176,2,0),"B3")</f>
        <v>Aa2</v>
      </c>
      <c r="AB232" s="35">
        <f>_xlfn.IFNA(VLOOKUP($AA232,'Rating Lookup'!$B$2:$I$27,8,0),15)</f>
        <v>3</v>
      </c>
      <c r="AC232" s="35" t="str">
        <f>_xlfn.IFNA(VLOOKUP(E232,'Lookup Table'!$M$33:$N$173,2,0),"B3")</f>
        <v>Aaa</v>
      </c>
      <c r="AD232" s="35">
        <f>_xlfn.IFNA(VLOOKUP($AC232,'Rating Lookup'!$B$2:$I$27,8,0),15)</f>
        <v>1</v>
      </c>
      <c r="AE232" s="35">
        <f t="shared" si="64"/>
        <v>2</v>
      </c>
      <c r="AG232" s="35" t="str">
        <f t="shared" si="65"/>
        <v>EMIRATES &amp;MOROCOO CO.</v>
      </c>
      <c r="AH232" s="35" t="str">
        <f t="shared" si="66"/>
        <v>Government Loan</v>
      </c>
      <c r="AI232" s="202">
        <f>'ECL Calculation'!$B$1</f>
        <v>43465</v>
      </c>
      <c r="AJ232" s="202">
        <f t="shared" si="67"/>
        <v>36829</v>
      </c>
      <c r="AK232" s="202">
        <f t="shared" si="68"/>
        <v>35733</v>
      </c>
      <c r="AL232" s="127">
        <f t="shared" si="69"/>
        <v>6</v>
      </c>
      <c r="AM232" s="192">
        <f>IF(AND(IF(ISBLANK(K232),EOMONTH(AJ232,AL232*12),K232)&lt;'ECL Calculation'!$B$1,SUM('Input Sheet'!Q232,'Input Sheet'!R232)&gt;0),EOMONTH('ECL Calculation'!$B$1,12*5),IF(ISBLANK(K232),EOMONTH(AJ232,AL232*12),K232))</f>
        <v>45291</v>
      </c>
      <c r="AN232" s="203">
        <f t="shared" si="70"/>
        <v>5000000</v>
      </c>
      <c r="AO232" s="203">
        <f t="shared" si="71"/>
        <v>5000000</v>
      </c>
      <c r="AP232" s="203">
        <f t="shared" si="72"/>
        <v>0</v>
      </c>
      <c r="AQ232" s="126">
        <f>VLOOKUP(U232,'Lookup Table'!$B$2:$C$10,2,0)</f>
        <v>1</v>
      </c>
      <c r="AR232" s="127">
        <f>VLOOKUP(S232,'Lookup Table'!$B$2:$C$9,2,0)</f>
        <v>1</v>
      </c>
      <c r="AS232" s="127">
        <f>VLOOKUP(T232,'Lookup Table'!$B$2:$C$9,2,0)</f>
        <v>2</v>
      </c>
      <c r="AT232" s="136">
        <f t="shared" si="73"/>
        <v>4500000</v>
      </c>
      <c r="AU232" s="128">
        <f t="shared" si="74"/>
        <v>3.5000000000000003E-2</v>
      </c>
      <c r="AV232" s="136">
        <f t="shared" si="75"/>
        <v>3290077.33</v>
      </c>
      <c r="AW232" s="37" t="str">
        <f t="shared" si="76"/>
        <v>Aa2</v>
      </c>
      <c r="AX232" s="128">
        <f>VLOOKUP(E232,'Lookup Table'!$B$12:$C$82,2,0)</f>
        <v>2.4375000000000001E-2</v>
      </c>
      <c r="AY232" s="128">
        <f>'Lookup Table'!$E$3</f>
        <v>0.45</v>
      </c>
      <c r="AZ232" s="129" t="str">
        <f t="shared" si="77"/>
        <v>United Arab Emirates</v>
      </c>
      <c r="BA232" s="37">
        <f>VLOOKUP(AA232,'Lookup Table'!$J$3:$K$27,2,0)</f>
        <v>1</v>
      </c>
      <c r="BB232" s="37">
        <f t="shared" si="78"/>
        <v>1</v>
      </c>
      <c r="BC232" s="37">
        <f t="shared" si="79"/>
        <v>2</v>
      </c>
      <c r="BD232" s="37">
        <f>IF(AND(K232&lt;'ECL Calculation'!$B$1,'Input Sheet'!W232="No"),3,IF(X232="Yes",2,1))</f>
        <v>1</v>
      </c>
      <c r="BE232" s="37">
        <f t="shared" si="80"/>
        <v>3</v>
      </c>
      <c r="BF232" s="37" t="str">
        <f t="shared" si="81"/>
        <v>Stage 3</v>
      </c>
      <c r="BG232" s="37" t="str">
        <f t="shared" si="82"/>
        <v>Yes</v>
      </c>
    </row>
  </sheetData>
  <autoFilter ref="A2:AE232" xr:uid="{00000000-0001-0000-0400-000000000000}"/>
  <mergeCells count="1">
    <mergeCell ref="AG1:BG1"/>
  </mergeCells>
  <conditionalFormatting sqref="B1:B1048576">
    <cfRule type="duplicateValues" dxfId="0" priority="1"/>
  </conditionalFormatting>
  <dataValidations count="2">
    <dataValidation allowBlank="1" showInputMessage="1" showErrorMessage="1" errorTitle="Inappropriate Rating" sqref="AA3:AA287 AC3:AC287" xr:uid="{00000000-0002-0000-0400-000000000000}"/>
    <dataValidation type="list" allowBlank="1" showInputMessage="1" showErrorMessage="1" sqref="W3:Z1000" xr:uid="{00000000-0002-0000-0400-000001000000}">
      <formula1>"Yes,No"</formula1>
    </dataValidation>
  </dataValidations>
  <pageMargins left="0.7" right="0.7" top="0.75" bottom="0.75" header="0.3" footer="0.3"/>
  <pageSetup paperSize="9" orientation="portrait" r:id="rId1"/>
  <ignoredErrors>
    <ignoredError sqref="AI3" formula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Inappropriate Rating" xr:uid="{00000000-0002-0000-0400-000002000000}">
          <x14:formula1>
            <xm:f>'Rating Lookup'!$B$4:$B$27</xm:f>
          </x14:formula1>
          <xm:sqref>AA288:AA1048576</xm:sqref>
        </x14:dataValidation>
        <x14:dataValidation type="list" allowBlank="1" showInputMessage="1" showErrorMessage="1" xr:uid="{00000000-0002-0000-0400-000003000000}">
          <x14:formula1>
            <xm:f>'Lookup Table'!$B$3:$B$9</xm:f>
          </x14:formula1>
          <xm:sqref>S3:T1000</xm:sqref>
        </x14:dataValidation>
        <x14:dataValidation type="list" allowBlank="1" showInputMessage="1" showErrorMessage="1" xr:uid="{00000000-0002-0000-0400-000004000000}">
          <x14:formula1>
            <xm:f>'Lookup Table'!$E$13:$E$15</xm:f>
          </x14:formula1>
          <xm:sqref>V3:V1000</xm:sqref>
        </x14:dataValidation>
        <x14:dataValidation type="list" allowBlank="1" showInputMessage="1" showErrorMessage="1" xr:uid="{00000000-0002-0000-0400-000005000000}">
          <x14:formula1>
            <xm:f>'Lookup Table'!$B$3:$B$10</xm:f>
          </x14:formula1>
          <xm:sqref>U3:U1000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2:I29"/>
  <sheetViews>
    <sheetView showFormulas="1" showGridLines="0" zoomScale="67" zoomScaleNormal="90" workbookViewId="0">
      <selection activeCell="I27" sqref="I27"/>
    </sheetView>
  </sheetViews>
  <sheetFormatPr defaultRowHeight="14.25" x14ac:dyDescent="0.2"/>
  <cols>
    <col min="1" max="1" width="5.125" bestFit="1" customWidth="1"/>
    <col min="2" max="2" width="10.625" bestFit="1" customWidth="1"/>
    <col min="3" max="3" width="9.5" bestFit="1" customWidth="1"/>
    <col min="4" max="4" width="10.625" bestFit="1" customWidth="1"/>
    <col min="5" max="5" width="9.5" bestFit="1" customWidth="1"/>
    <col min="6" max="6" width="10.625" bestFit="1" customWidth="1"/>
    <col min="7" max="7" width="9.5" bestFit="1" customWidth="1"/>
    <col min="8" max="8" width="16" bestFit="1" customWidth="1"/>
    <col min="9" max="9" width="5.25" bestFit="1" customWidth="1"/>
    <col min="10" max="10" width="8.75"/>
  </cols>
  <sheetData>
    <row r="2" spans="1:9" x14ac:dyDescent="0.2">
      <c r="A2" s="282" t="s">
        <v>85</v>
      </c>
      <c r="B2" s="27" t="s">
        <v>81</v>
      </c>
      <c r="C2" s="27" t="s">
        <v>81</v>
      </c>
      <c r="D2" s="27" t="s">
        <v>250</v>
      </c>
      <c r="E2" s="27" t="s">
        <v>29</v>
      </c>
      <c r="F2" s="27" t="s">
        <v>82</v>
      </c>
      <c r="G2" s="27" t="s">
        <v>82</v>
      </c>
      <c r="H2" s="27"/>
      <c r="I2" s="282" t="s">
        <v>80</v>
      </c>
    </row>
    <row r="3" spans="1:9" ht="24" x14ac:dyDescent="0.2">
      <c r="A3" s="282"/>
      <c r="B3" s="28" t="s">
        <v>31</v>
      </c>
      <c r="C3" s="28" t="s">
        <v>32</v>
      </c>
      <c r="D3" s="28" t="s">
        <v>31</v>
      </c>
      <c r="E3" s="28" t="s">
        <v>32</v>
      </c>
      <c r="F3" s="28" t="s">
        <v>31</v>
      </c>
      <c r="G3" s="28" t="s">
        <v>32</v>
      </c>
      <c r="H3" s="27"/>
      <c r="I3" s="282"/>
    </row>
    <row r="4" spans="1:9" x14ac:dyDescent="0.2">
      <c r="A4" s="26">
        <v>1</v>
      </c>
      <c r="B4" s="26" t="s">
        <v>33</v>
      </c>
      <c r="C4" s="281" t="s">
        <v>34</v>
      </c>
      <c r="D4" s="26" t="s">
        <v>35</v>
      </c>
      <c r="E4" s="281" t="s">
        <v>36</v>
      </c>
      <c r="F4" s="26" t="s">
        <v>35</v>
      </c>
      <c r="G4" s="281" t="s">
        <v>37</v>
      </c>
      <c r="H4" s="29" t="s">
        <v>38</v>
      </c>
      <c r="I4" s="26">
        <v>1</v>
      </c>
    </row>
    <row r="5" spans="1:9" x14ac:dyDescent="0.2">
      <c r="A5" s="26">
        <v>2</v>
      </c>
      <c r="B5" s="26" t="s">
        <v>39</v>
      </c>
      <c r="C5" s="281"/>
      <c r="D5" s="26" t="s">
        <v>40</v>
      </c>
      <c r="E5" s="281"/>
      <c r="F5" s="26" t="s">
        <v>40</v>
      </c>
      <c r="G5" s="281"/>
      <c r="H5" s="281" t="s">
        <v>41</v>
      </c>
      <c r="I5" s="26">
        <v>2</v>
      </c>
    </row>
    <row r="6" spans="1:9" x14ac:dyDescent="0.2">
      <c r="A6" s="26">
        <v>3</v>
      </c>
      <c r="B6" s="26" t="s">
        <v>42</v>
      </c>
      <c r="C6" s="281"/>
      <c r="D6" s="26" t="s">
        <v>28</v>
      </c>
      <c r="E6" s="281"/>
      <c r="F6" s="26" t="s">
        <v>28</v>
      </c>
      <c r="G6" s="281"/>
      <c r="H6" s="281"/>
      <c r="I6" s="26">
        <v>3</v>
      </c>
    </row>
    <row r="7" spans="1:9" x14ac:dyDescent="0.2">
      <c r="A7" s="26">
        <v>4</v>
      </c>
      <c r="B7" s="26" t="s">
        <v>11</v>
      </c>
      <c r="C7" s="281"/>
      <c r="D7" s="26" t="s">
        <v>244</v>
      </c>
      <c r="E7" s="281"/>
      <c r="F7" s="26" t="s">
        <v>244</v>
      </c>
      <c r="G7" s="281"/>
      <c r="H7" s="281"/>
      <c r="I7" s="26">
        <v>4</v>
      </c>
    </row>
    <row r="8" spans="1:9" x14ac:dyDescent="0.2">
      <c r="A8" s="26">
        <v>5</v>
      </c>
      <c r="B8" s="26" t="s">
        <v>8</v>
      </c>
      <c r="C8" s="281"/>
      <c r="D8" s="26" t="s">
        <v>3</v>
      </c>
      <c r="E8" s="281" t="s">
        <v>43</v>
      </c>
      <c r="F8" s="26" t="s">
        <v>3</v>
      </c>
      <c r="G8" s="281" t="s">
        <v>44</v>
      </c>
      <c r="H8" s="281" t="s">
        <v>45</v>
      </c>
      <c r="I8" s="26">
        <v>5</v>
      </c>
    </row>
    <row r="9" spans="1:9" x14ac:dyDescent="0.2">
      <c r="A9" s="26">
        <v>6</v>
      </c>
      <c r="B9" s="26" t="s">
        <v>9</v>
      </c>
      <c r="C9" s="281"/>
      <c r="D9" s="26" t="s">
        <v>26</v>
      </c>
      <c r="E9" s="281"/>
      <c r="F9" s="26" t="s">
        <v>26</v>
      </c>
      <c r="G9" s="281"/>
      <c r="H9" s="281"/>
      <c r="I9" s="26">
        <v>6</v>
      </c>
    </row>
    <row r="10" spans="1:9" x14ac:dyDescent="0.2">
      <c r="A10" s="26">
        <v>7</v>
      </c>
      <c r="B10" s="26" t="s">
        <v>46</v>
      </c>
      <c r="C10" s="281" t="s">
        <v>47</v>
      </c>
      <c r="D10" s="26" t="s">
        <v>245</v>
      </c>
      <c r="E10" s="281" t="s">
        <v>48</v>
      </c>
      <c r="F10" s="26" t="s">
        <v>245</v>
      </c>
      <c r="G10" s="281" t="s">
        <v>49</v>
      </c>
      <c r="H10" s="281"/>
      <c r="I10" s="26">
        <v>7</v>
      </c>
    </row>
    <row r="11" spans="1:9" x14ac:dyDescent="0.2">
      <c r="A11" s="26">
        <v>8</v>
      </c>
      <c r="B11" s="26" t="s">
        <v>6</v>
      </c>
      <c r="C11" s="281"/>
      <c r="D11" s="26" t="s">
        <v>2</v>
      </c>
      <c r="E11" s="281"/>
      <c r="F11" s="26" t="s">
        <v>2</v>
      </c>
      <c r="G11" s="281"/>
      <c r="H11" s="281" t="s">
        <v>50</v>
      </c>
      <c r="I11" s="26">
        <v>8</v>
      </c>
    </row>
    <row r="12" spans="1:9" x14ac:dyDescent="0.2">
      <c r="A12" s="26">
        <v>9</v>
      </c>
      <c r="B12" s="26" t="s">
        <v>5</v>
      </c>
      <c r="C12" s="281" t="s">
        <v>51</v>
      </c>
      <c r="D12" s="26" t="s">
        <v>13</v>
      </c>
      <c r="E12" s="281"/>
      <c r="F12" s="26" t="s">
        <v>13</v>
      </c>
      <c r="G12" s="281" t="s">
        <v>52</v>
      </c>
      <c r="H12" s="281"/>
      <c r="I12" s="26">
        <v>9</v>
      </c>
    </row>
    <row r="13" spans="1:9" x14ac:dyDescent="0.2">
      <c r="A13" s="26">
        <v>10</v>
      </c>
      <c r="B13" s="26" t="s">
        <v>7</v>
      </c>
      <c r="C13" s="281"/>
      <c r="D13" s="26" t="s">
        <v>246</v>
      </c>
      <c r="E13" s="29" t="s">
        <v>53</v>
      </c>
      <c r="F13" s="26" t="s">
        <v>246</v>
      </c>
      <c r="G13" s="281"/>
      <c r="H13" s="281"/>
      <c r="I13" s="26">
        <v>10</v>
      </c>
    </row>
    <row r="14" spans="1:9" ht="24" x14ac:dyDescent="0.2">
      <c r="A14" s="26">
        <v>11</v>
      </c>
      <c r="B14" s="26" t="s">
        <v>54</v>
      </c>
      <c r="C14" s="281" t="s">
        <v>55</v>
      </c>
      <c r="D14" s="26" t="s">
        <v>4</v>
      </c>
      <c r="E14" s="281" t="s">
        <v>27</v>
      </c>
      <c r="F14" s="26" t="s">
        <v>4</v>
      </c>
      <c r="G14" s="281" t="s">
        <v>27</v>
      </c>
      <c r="H14" s="29" t="s">
        <v>56</v>
      </c>
      <c r="I14" s="26">
        <v>11</v>
      </c>
    </row>
    <row r="15" spans="1:9" x14ac:dyDescent="0.2">
      <c r="A15" s="26">
        <v>12</v>
      </c>
      <c r="B15" s="26" t="s">
        <v>58</v>
      </c>
      <c r="C15" s="281"/>
      <c r="D15" s="26" t="s">
        <v>59</v>
      </c>
      <c r="E15" s="281"/>
      <c r="F15" s="26" t="s">
        <v>59</v>
      </c>
      <c r="G15" s="281"/>
      <c r="H15" s="29" t="s">
        <v>57</v>
      </c>
      <c r="I15" s="26">
        <v>12</v>
      </c>
    </row>
    <row r="16" spans="1:9" x14ac:dyDescent="0.2">
      <c r="A16" s="26">
        <v>13</v>
      </c>
      <c r="B16" s="26" t="s">
        <v>60</v>
      </c>
      <c r="C16" s="281"/>
      <c r="D16" s="26" t="s">
        <v>247</v>
      </c>
      <c r="E16" s="281"/>
      <c r="F16" s="26" t="s">
        <v>247</v>
      </c>
      <c r="G16" s="281"/>
      <c r="H16" s="29"/>
      <c r="I16" s="26">
        <v>13</v>
      </c>
    </row>
    <row r="17" spans="1:9" x14ac:dyDescent="0.2">
      <c r="A17" s="26">
        <v>14</v>
      </c>
      <c r="B17" s="26" t="s">
        <v>10</v>
      </c>
      <c r="C17" s="281"/>
      <c r="D17" s="26" t="s">
        <v>30</v>
      </c>
      <c r="E17" s="281"/>
      <c r="F17" s="26" t="s">
        <v>30</v>
      </c>
      <c r="G17" s="281"/>
      <c r="H17" s="281" t="s">
        <v>61</v>
      </c>
      <c r="I17" s="26">
        <v>14</v>
      </c>
    </row>
    <row r="18" spans="1:9" x14ac:dyDescent="0.2">
      <c r="A18" s="26">
        <v>15</v>
      </c>
      <c r="B18" s="26" t="s">
        <v>12</v>
      </c>
      <c r="C18" s="281"/>
      <c r="D18" s="26" t="s">
        <v>27</v>
      </c>
      <c r="E18" s="281"/>
      <c r="F18" s="26" t="s">
        <v>27</v>
      </c>
      <c r="G18" s="281"/>
      <c r="H18" s="281"/>
      <c r="I18" s="26">
        <v>15</v>
      </c>
    </row>
    <row r="19" spans="1:9" x14ac:dyDescent="0.2">
      <c r="A19" s="26">
        <v>16</v>
      </c>
      <c r="B19" s="26" t="s">
        <v>62</v>
      </c>
      <c r="C19" s="281"/>
      <c r="D19" s="26" t="s">
        <v>248</v>
      </c>
      <c r="E19" s="281"/>
      <c r="F19" s="26" t="s">
        <v>248</v>
      </c>
      <c r="G19" s="281"/>
      <c r="H19" s="281"/>
      <c r="I19" s="26">
        <v>16</v>
      </c>
    </row>
    <row r="20" spans="1:9" x14ac:dyDescent="0.2">
      <c r="A20" s="26">
        <v>17</v>
      </c>
      <c r="B20" s="26" t="s">
        <v>63</v>
      </c>
      <c r="C20" s="281"/>
      <c r="D20" s="26" t="s">
        <v>64</v>
      </c>
      <c r="E20" s="281" t="s">
        <v>65</v>
      </c>
      <c r="F20" s="26" t="s">
        <v>64</v>
      </c>
      <c r="G20" s="281" t="s">
        <v>65</v>
      </c>
      <c r="H20" s="281" t="s">
        <v>66</v>
      </c>
      <c r="I20" s="26">
        <v>17</v>
      </c>
    </row>
    <row r="21" spans="1:9" x14ac:dyDescent="0.2">
      <c r="A21" s="26">
        <v>18</v>
      </c>
      <c r="B21" s="26" t="s">
        <v>67</v>
      </c>
      <c r="C21" s="281"/>
      <c r="D21" s="26" t="s">
        <v>68</v>
      </c>
      <c r="E21" s="281"/>
      <c r="F21" s="26" t="s">
        <v>68</v>
      </c>
      <c r="G21" s="281"/>
      <c r="H21" s="281"/>
      <c r="I21" s="26">
        <v>18</v>
      </c>
    </row>
    <row r="22" spans="1:9" x14ac:dyDescent="0.2">
      <c r="A22" s="26">
        <v>19</v>
      </c>
      <c r="B22" s="26" t="s">
        <v>69</v>
      </c>
      <c r="C22" s="281"/>
      <c r="D22" s="26" t="s">
        <v>249</v>
      </c>
      <c r="E22" s="281"/>
      <c r="F22" s="26" t="s">
        <v>249</v>
      </c>
      <c r="G22" s="281"/>
      <c r="H22" s="281"/>
      <c r="I22" s="26">
        <v>19</v>
      </c>
    </row>
    <row r="23" spans="1:9" ht="24" x14ac:dyDescent="0.2">
      <c r="A23" s="26">
        <v>20</v>
      </c>
      <c r="B23" s="26" t="s">
        <v>70</v>
      </c>
      <c r="C23" s="281"/>
      <c r="D23" s="26" t="s">
        <v>71</v>
      </c>
      <c r="E23" s="281"/>
      <c r="F23" s="26" t="s">
        <v>71</v>
      </c>
      <c r="G23" s="281"/>
      <c r="H23" s="29" t="s">
        <v>72</v>
      </c>
      <c r="I23" s="26">
        <v>20</v>
      </c>
    </row>
    <row r="24" spans="1:9" x14ac:dyDescent="0.2">
      <c r="A24" s="26">
        <v>21</v>
      </c>
      <c r="B24" s="26" t="s">
        <v>65</v>
      </c>
      <c r="C24" s="281"/>
      <c r="D24" s="26" t="s">
        <v>65</v>
      </c>
      <c r="E24" s="281"/>
      <c r="F24" s="26" t="s">
        <v>65</v>
      </c>
      <c r="G24" s="281"/>
      <c r="H24" s="29" t="s">
        <v>73</v>
      </c>
      <c r="I24" s="26">
        <v>21</v>
      </c>
    </row>
    <row r="25" spans="1:9" x14ac:dyDescent="0.2">
      <c r="A25" s="26">
        <v>22</v>
      </c>
      <c r="B25" s="26" t="s">
        <v>0</v>
      </c>
      <c r="C25" s="281"/>
      <c r="D25" s="26" t="s">
        <v>74</v>
      </c>
      <c r="E25" s="281" t="s">
        <v>75</v>
      </c>
      <c r="F25" s="26" t="s">
        <v>76</v>
      </c>
      <c r="G25" s="281" t="s">
        <v>75</v>
      </c>
      <c r="H25" s="281" t="s">
        <v>77</v>
      </c>
      <c r="I25" s="26">
        <v>22</v>
      </c>
    </row>
    <row r="26" spans="1:9" x14ac:dyDescent="0.2">
      <c r="A26" s="26">
        <v>23</v>
      </c>
      <c r="B26" s="26" t="s">
        <v>1</v>
      </c>
      <c r="C26" s="281"/>
      <c r="D26" s="26" t="s">
        <v>78</v>
      </c>
      <c r="E26" s="281"/>
      <c r="F26" s="26" t="s">
        <v>79</v>
      </c>
      <c r="G26" s="281"/>
      <c r="H26" s="281"/>
      <c r="I26" s="26">
        <v>23</v>
      </c>
    </row>
    <row r="27" spans="1:9" x14ac:dyDescent="0.2">
      <c r="A27" s="26">
        <v>24</v>
      </c>
      <c r="B27" s="26" t="s">
        <v>1</v>
      </c>
      <c r="C27" s="281"/>
      <c r="D27" s="26" t="s">
        <v>75</v>
      </c>
      <c r="E27" s="281"/>
      <c r="F27" s="26" t="s">
        <v>75</v>
      </c>
      <c r="G27" s="281"/>
      <c r="H27" s="281"/>
      <c r="I27" s="26">
        <v>24</v>
      </c>
    </row>
    <row r="28" spans="1:9" x14ac:dyDescent="0.2">
      <c r="A28" s="26">
        <v>25</v>
      </c>
      <c r="B28" s="25"/>
      <c r="C28" s="25"/>
      <c r="D28" s="26" t="s">
        <v>0</v>
      </c>
      <c r="E28" s="25"/>
      <c r="F28" s="26" t="s">
        <v>0</v>
      </c>
      <c r="G28" s="25"/>
      <c r="H28" s="25"/>
      <c r="I28" s="26">
        <v>25</v>
      </c>
    </row>
    <row r="29" spans="1:9" x14ac:dyDescent="0.2">
      <c r="A29" s="26">
        <v>26</v>
      </c>
      <c r="B29" s="25"/>
      <c r="C29" s="25"/>
      <c r="D29" s="26" t="s">
        <v>1</v>
      </c>
      <c r="E29" s="25"/>
      <c r="F29" s="26" t="s">
        <v>1</v>
      </c>
      <c r="G29" s="25"/>
      <c r="H29" s="25"/>
      <c r="I29" s="26">
        <v>26</v>
      </c>
    </row>
  </sheetData>
  <mergeCells count="25">
    <mergeCell ref="A2:A3"/>
    <mergeCell ref="I2:I3"/>
    <mergeCell ref="H11:H13"/>
    <mergeCell ref="C12:C13"/>
    <mergeCell ref="G12:G13"/>
    <mergeCell ref="C4:C9"/>
    <mergeCell ref="H5:H7"/>
    <mergeCell ref="E8:E9"/>
    <mergeCell ref="G8:G9"/>
    <mergeCell ref="H8:H10"/>
    <mergeCell ref="C10:C11"/>
    <mergeCell ref="E10:E12"/>
    <mergeCell ref="G10:G11"/>
    <mergeCell ref="E4:E7"/>
    <mergeCell ref="G4:G7"/>
    <mergeCell ref="C14:C27"/>
    <mergeCell ref="E14:E19"/>
    <mergeCell ref="G14:G19"/>
    <mergeCell ref="H17:H19"/>
    <mergeCell ref="E20:E24"/>
    <mergeCell ref="G20:G24"/>
    <mergeCell ref="H20:H22"/>
    <mergeCell ref="E25:E27"/>
    <mergeCell ref="G25:G27"/>
    <mergeCell ref="H25:H2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B2:I14"/>
  <sheetViews>
    <sheetView workbookViewId="0">
      <selection activeCell="D2" sqref="D2"/>
    </sheetView>
  </sheetViews>
  <sheetFormatPr defaultRowHeight="14.25" x14ac:dyDescent="0.2"/>
  <cols>
    <col min="2" max="2" width="19" customWidth="1"/>
    <col min="3" max="3" width="16.125" customWidth="1"/>
    <col min="4" max="4" width="11.5" customWidth="1"/>
  </cols>
  <sheetData>
    <row r="2" spans="2:9" ht="28.5" x14ac:dyDescent="0.2">
      <c r="B2" s="8" t="s">
        <v>14</v>
      </c>
      <c r="C2" s="8" t="s">
        <v>86</v>
      </c>
      <c r="D2" s="8" t="s">
        <v>87</v>
      </c>
      <c r="G2" s="4" t="s">
        <v>83</v>
      </c>
      <c r="H2" s="4" t="s">
        <v>84</v>
      </c>
      <c r="I2" t="s">
        <v>120</v>
      </c>
    </row>
    <row r="3" spans="2:9" x14ac:dyDescent="0.2">
      <c r="B3" s="4" t="s">
        <v>19</v>
      </c>
      <c r="C3" s="5">
        <f>SUMIFS('Input Sheet'!$P$2:$P$40,'Input Sheet'!$K$2:$K$40,'Country''s MEV'!B3)</f>
        <v>0</v>
      </c>
      <c r="D3" s="6" t="e">
        <f>C3/$C$11</f>
        <v>#DIV/0!</v>
      </c>
      <c r="G3" s="4" t="s">
        <v>81</v>
      </c>
      <c r="H3" s="4" t="s">
        <v>11</v>
      </c>
      <c r="I3" s="1" t="e">
        <f>COUNTIFS('Input Sheet'!#REF!,'Country''s MEV'!H3)</f>
        <v>#REF!</v>
      </c>
    </row>
    <row r="4" spans="2:9" x14ac:dyDescent="0.2">
      <c r="B4" s="4" t="s">
        <v>17</v>
      </c>
      <c r="C4" s="5">
        <f>SUMIFS('Input Sheet'!$P$2:$P$40,'Input Sheet'!$K$2:$K$40,'Country''s MEV'!B4)</f>
        <v>0</v>
      </c>
      <c r="D4" s="6" t="e">
        <f t="shared" ref="D4:D10" si="0">C4/$C$11</f>
        <v>#DIV/0!</v>
      </c>
      <c r="G4" s="4" t="s">
        <v>81</v>
      </c>
      <c r="H4" s="4" t="s">
        <v>8</v>
      </c>
      <c r="I4" s="1" t="e">
        <f>COUNTIFS('Input Sheet'!#REF!,'Country''s MEV'!H4)</f>
        <v>#REF!</v>
      </c>
    </row>
    <row r="5" spans="2:9" x14ac:dyDescent="0.2">
      <c r="B5" s="4" t="s">
        <v>21</v>
      </c>
      <c r="C5" s="5">
        <f>SUMIFS('Input Sheet'!$P$2:$P$40,'Input Sheet'!$K$2:$K$40,'Country''s MEV'!B5)</f>
        <v>0</v>
      </c>
      <c r="D5" s="6" t="e">
        <f t="shared" si="0"/>
        <v>#DIV/0!</v>
      </c>
      <c r="G5" s="4" t="s">
        <v>81</v>
      </c>
      <c r="H5" s="4" t="s">
        <v>9</v>
      </c>
      <c r="I5" s="1" t="e">
        <f>COUNTIFS('Input Sheet'!#REF!,'Country''s MEV'!H5)</f>
        <v>#REF!</v>
      </c>
    </row>
    <row r="6" spans="2:9" x14ac:dyDescent="0.2">
      <c r="B6" s="4" t="s">
        <v>15</v>
      </c>
      <c r="C6" s="5">
        <f>SUMIFS('Input Sheet'!$P$2:$P$40,'Input Sheet'!$K$2:$K$40,'Country''s MEV'!B6)</f>
        <v>0</v>
      </c>
      <c r="D6" s="6" t="e">
        <f t="shared" si="0"/>
        <v>#DIV/0!</v>
      </c>
      <c r="G6" s="4" t="s">
        <v>81</v>
      </c>
      <c r="H6" s="4" t="s">
        <v>46</v>
      </c>
      <c r="I6" s="1" t="e">
        <f>COUNTIFS('Input Sheet'!#REF!,'Country''s MEV'!H6)</f>
        <v>#REF!</v>
      </c>
    </row>
    <row r="7" spans="2:9" x14ac:dyDescent="0.2">
      <c r="B7" s="4" t="s">
        <v>24</v>
      </c>
      <c r="C7" s="5">
        <f>SUMIFS('Input Sheet'!$P$2:$P$40,'Input Sheet'!$K$2:$K$40,'Country''s MEV'!B7)</f>
        <v>0</v>
      </c>
      <c r="D7" s="6" t="e">
        <f t="shared" si="0"/>
        <v>#DIV/0!</v>
      </c>
      <c r="G7" s="4" t="s">
        <v>81</v>
      </c>
      <c r="H7" s="4" t="s">
        <v>6</v>
      </c>
      <c r="I7" s="1" t="e">
        <f>COUNTIFS('Input Sheet'!#REF!,'Country''s MEV'!H7)</f>
        <v>#REF!</v>
      </c>
    </row>
    <row r="8" spans="2:9" x14ac:dyDescent="0.2">
      <c r="B8" s="4" t="s">
        <v>23</v>
      </c>
      <c r="C8" s="5">
        <f>SUMIFS('Input Sheet'!$P$2:$P$40,'Input Sheet'!$K$2:$K$40,'Country''s MEV'!B8)</f>
        <v>0</v>
      </c>
      <c r="D8" s="6" t="e">
        <f t="shared" si="0"/>
        <v>#DIV/0!</v>
      </c>
      <c r="G8" s="4" t="s">
        <v>81</v>
      </c>
      <c r="H8" s="4" t="s">
        <v>5</v>
      </c>
      <c r="I8" s="1" t="e">
        <f>COUNTIFS('Input Sheet'!#REF!,'Country''s MEV'!H8)</f>
        <v>#REF!</v>
      </c>
    </row>
    <row r="9" spans="2:9" x14ac:dyDescent="0.2">
      <c r="B9" s="4" t="s">
        <v>16</v>
      </c>
      <c r="C9" s="5">
        <f>SUMIFS('Input Sheet'!$P$2:$P$40,'Input Sheet'!$K$2:$K$40,'Country''s MEV'!B9)</f>
        <v>0</v>
      </c>
      <c r="D9" s="6" t="e">
        <f t="shared" si="0"/>
        <v>#DIV/0!</v>
      </c>
      <c r="G9" s="4" t="s">
        <v>81</v>
      </c>
      <c r="H9" s="4" t="s">
        <v>7</v>
      </c>
      <c r="I9" s="1" t="e">
        <f>COUNTIFS('Input Sheet'!#REF!,'Country''s MEV'!H9)</f>
        <v>#REF!</v>
      </c>
    </row>
    <row r="10" spans="2:9" x14ac:dyDescent="0.2">
      <c r="B10" s="4" t="s">
        <v>20</v>
      </c>
      <c r="C10" s="5">
        <f>SUMIFS('Input Sheet'!$P$2:$P$40,'Input Sheet'!$K$2:$K$40,'Country''s MEV'!B10)</f>
        <v>0</v>
      </c>
      <c r="D10" s="6" t="e">
        <f t="shared" si="0"/>
        <v>#DIV/0!</v>
      </c>
      <c r="G10" s="4" t="s">
        <v>81</v>
      </c>
      <c r="H10" s="4" t="s">
        <v>54</v>
      </c>
      <c r="I10" s="1" t="e">
        <f>COUNTIFS('Input Sheet'!#REF!,'Country''s MEV'!H10)</f>
        <v>#REF!</v>
      </c>
    </row>
    <row r="11" spans="2:9" x14ac:dyDescent="0.2">
      <c r="B11" s="4" t="s">
        <v>88</v>
      </c>
      <c r="C11" s="7">
        <f>SUM(C3:C10)</f>
        <v>0</v>
      </c>
      <c r="G11" s="4" t="s">
        <v>81</v>
      </c>
      <c r="H11" s="4" t="s">
        <v>10</v>
      </c>
      <c r="I11" s="1" t="e">
        <f>COUNTIFS('Input Sheet'!#REF!,'Country''s MEV'!H11)</f>
        <v>#REF!</v>
      </c>
    </row>
    <row r="12" spans="2:9" x14ac:dyDescent="0.2">
      <c r="G12" s="4" t="s">
        <v>81</v>
      </c>
      <c r="H12" s="4" t="s">
        <v>62</v>
      </c>
      <c r="I12" s="1" t="e">
        <f>COUNTIFS('Input Sheet'!#REF!,'Country''s MEV'!H12)</f>
        <v>#REF!</v>
      </c>
    </row>
    <row r="13" spans="2:9" x14ac:dyDescent="0.2">
      <c r="G13" s="4" t="s">
        <v>81</v>
      </c>
      <c r="H13" s="4" t="s">
        <v>1</v>
      </c>
      <c r="I13" s="1" t="e">
        <f>COUNTIFS('Input Sheet'!#REF!,'Country''s MEV'!H13)</f>
        <v>#REF!</v>
      </c>
    </row>
    <row r="14" spans="2:9" x14ac:dyDescent="0.2">
      <c r="G14" s="4" t="s">
        <v>81</v>
      </c>
      <c r="H14" s="4" t="s">
        <v>0</v>
      </c>
      <c r="I14" s="1" t="e">
        <f>COUNTIFS('Input Sheet'!#REF!,'Country''s MEV'!H14)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Recon to ECL summary (restated)</vt:lpstr>
      <vt:lpstr>Assumptions</vt:lpstr>
      <vt:lpstr>Provision Summary</vt:lpstr>
      <vt:lpstr>Check sheet</vt:lpstr>
      <vt:lpstr>ECL Calculation</vt:lpstr>
      <vt:lpstr>Copy PiT PD Structure T2</vt:lpstr>
      <vt:lpstr>Input Sheet</vt:lpstr>
      <vt:lpstr>Rating Lookup</vt:lpstr>
      <vt:lpstr>Country's MEV</vt:lpstr>
      <vt:lpstr>Moody's Default Matrix</vt:lpstr>
      <vt:lpstr>Moody's Investment Default Rate</vt:lpstr>
      <vt:lpstr>Rating Lookup Copy</vt:lpstr>
      <vt:lpstr>Rating Matrix</vt:lpstr>
      <vt:lpstr>PiT PD Structure</vt:lpstr>
      <vt:lpstr>Lookup Table</vt:lpstr>
      <vt:lpstr>Gov. Net Revenue  MEV Modelling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Lovish Kalra</dc:creator>
  <cp:lastModifiedBy>Manas Roy</cp:lastModifiedBy>
  <dcterms:created xsi:type="dcterms:W3CDTF">2014-11-18T17:16:50Z</dcterms:created>
  <dcterms:modified xsi:type="dcterms:W3CDTF">2024-08-07T06:14:19Z</dcterms:modified>
</cp:coreProperties>
</file>