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r B\Pictures\3rd Semester\Decision Synthesis\"/>
    </mc:Choice>
  </mc:AlternateContent>
  <xr:revisionPtr revIDLastSave="0" documentId="13_ncr:1_{40559FED-D8EF-44EA-A3B6-97CE915B07ED}" xr6:coauthVersionLast="47" xr6:coauthVersionMax="47" xr10:uidLastSave="{00000000-0000-0000-0000-000000000000}"/>
  <bookViews>
    <workbookView xWindow="-110" yWindow="-110" windowWidth="19420" windowHeight="10300" tabRatio="587" xr2:uid="{B85F3E9F-63CA-4B2E-BC44-01E03880C526}"/>
  </bookViews>
  <sheets>
    <sheet name="Production" sheetId="2" r:id="rId1"/>
    <sheet name="Purchasing" sheetId="3" r:id="rId2"/>
    <sheet name="Sales" sheetId="4" r:id="rId3"/>
    <sheet name="ForeCast" sheetId="5" r:id="rId4"/>
  </sheets>
  <definedNames>
    <definedName name="solver_adj" localSheetId="0" hidden="1">Production!$G$10:$H$12</definedName>
    <definedName name="solver_cvg" localSheetId="0" hidden="1">0.0001</definedName>
    <definedName name="solver_drv" localSheetId="0" hidden="1">1</definedName>
    <definedName name="solver_eng" localSheetId="3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Production!$F$15</definedName>
    <definedName name="solver_lhs10" localSheetId="0" hidden="1">Production!$F$25</definedName>
    <definedName name="solver_lhs11" localSheetId="0" hidden="1">Production!$F$26</definedName>
    <definedName name="solver_lhs12" localSheetId="0" hidden="1">Production!$G$10</definedName>
    <definedName name="solver_lhs13" localSheetId="0" hidden="1">Production!$G$10:$H$12</definedName>
    <definedName name="solver_lhs14" localSheetId="0" hidden="1">Production!$G$11</definedName>
    <definedName name="solver_lhs15" localSheetId="0" hidden="1">Production!$G$12:$H$12</definedName>
    <definedName name="solver_lhs16" localSheetId="0" hidden="1">Production!$H$10</definedName>
    <definedName name="solver_lhs17" localSheetId="0" hidden="1">Production!$H$11</definedName>
    <definedName name="solver_lhs18" localSheetId="0" hidden="1">Production!$H$11</definedName>
    <definedName name="solver_lhs2" localSheetId="0" hidden="1">Production!$F$16</definedName>
    <definedName name="solver_lhs3" localSheetId="0" hidden="1">Production!$F$18</definedName>
    <definedName name="solver_lhs4" localSheetId="0" hidden="1">Production!$F$19</definedName>
    <definedName name="solver_lhs5" localSheetId="0" hidden="1">Production!$F$20</definedName>
    <definedName name="solver_lhs6" localSheetId="0" hidden="1">Production!$F$21</definedName>
    <definedName name="solver_lhs7" localSheetId="0" hidden="1">Production!$F$22</definedName>
    <definedName name="solver_lhs8" localSheetId="0" hidden="1">Production!$F$23</definedName>
    <definedName name="solver_lhs9" localSheetId="0" hidden="1">Production!$F$24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3" hidden="1">1</definedName>
    <definedName name="solver_neg" localSheetId="0" hidden="1">1</definedName>
    <definedName name="solver_nod" localSheetId="0" hidden="1">2147483647</definedName>
    <definedName name="solver_num" localSheetId="3" hidden="1">0</definedName>
    <definedName name="solver_num" localSheetId="0" hidden="1">17</definedName>
    <definedName name="solver_nwt" localSheetId="0" hidden="1">1</definedName>
    <definedName name="solver_opt" localSheetId="3" hidden="1">ForeCast!$B$3</definedName>
    <definedName name="solver_opt" localSheetId="0" hidden="1">Production!$C$34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1</definedName>
    <definedName name="solver_rel11" localSheetId="0" hidden="1">3</definedName>
    <definedName name="solver_rel12" localSheetId="0" hidden="1">4</definedName>
    <definedName name="solver_rel13" localSheetId="0" hidden="1">4</definedName>
    <definedName name="solver_rel14" localSheetId="0" hidden="1">4</definedName>
    <definedName name="solver_rel15" localSheetId="0" hidden="1">3</definedName>
    <definedName name="solver_rel16" localSheetId="0" hidden="1">4</definedName>
    <definedName name="solver_rel17" localSheetId="0" hidden="1">4</definedName>
    <definedName name="solver_rel18" localSheetId="0" hidden="1">4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Production!$H$15</definedName>
    <definedName name="solver_rhs10" localSheetId="0" hidden="1">Production!$H$25</definedName>
    <definedName name="solver_rhs11" localSheetId="0" hidden="1">Production!$H$26</definedName>
    <definedName name="solver_rhs12" localSheetId="0" hidden="1">"integer"</definedName>
    <definedName name="solver_rhs13" localSheetId="0" hidden="1">"integer"</definedName>
    <definedName name="solver_rhs14" localSheetId="0" hidden="1">"integer"</definedName>
    <definedName name="solver_rhs15" localSheetId="0" hidden="1">0</definedName>
    <definedName name="solver_rhs16" localSheetId="0" hidden="1">"integer"</definedName>
    <definedName name="solver_rhs17" localSheetId="0" hidden="1">"integer"</definedName>
    <definedName name="solver_rhs18" localSheetId="0" hidden="1">"integer"</definedName>
    <definedName name="solver_rhs2" localSheetId="0" hidden="1">Production!$H$17</definedName>
    <definedName name="solver_rhs3" localSheetId="0" hidden="1">Production!$H$18</definedName>
    <definedName name="solver_rhs4" localSheetId="0" hidden="1">Production!$H$19</definedName>
    <definedName name="solver_rhs5" localSheetId="0" hidden="1">Production!$H$20</definedName>
    <definedName name="solver_rhs6" localSheetId="0" hidden="1">Production!$H$21</definedName>
    <definedName name="solver_rhs7" localSheetId="0" hidden="1">Production!$H$22</definedName>
    <definedName name="solver_rhs8" localSheetId="0" hidden="1">Production!$H$23</definedName>
    <definedName name="solver_rhs9" localSheetId="0" hidden="1">Production!$H$24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3" hidden="1">1</definedName>
    <definedName name="solver_typ" localSheetId="0" hidden="1">1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D21" i="4"/>
  <c r="C21" i="4"/>
  <c r="E23" i="4"/>
  <c r="C24" i="4"/>
  <c r="K21" i="4"/>
  <c r="D16" i="4" s="1"/>
  <c r="J21" i="4"/>
  <c r="C16" i="4" s="1"/>
  <c r="E16" i="4" s="1"/>
  <c r="M21" i="4"/>
  <c r="D17" i="4" s="1"/>
  <c r="L21" i="4"/>
  <c r="C17" i="4" s="1"/>
  <c r="E17" i="4" s="1"/>
  <c r="G70" i="5"/>
  <c r="C71" i="5" s="1"/>
  <c r="G71" i="5"/>
  <c r="D71" i="5" s="1"/>
  <c r="D13" i="4"/>
  <c r="C13" i="4"/>
  <c r="D12" i="4"/>
  <c r="C12" i="4"/>
  <c r="D11" i="4"/>
  <c r="D23" i="4" s="1"/>
  <c r="C11" i="4"/>
  <c r="D10" i="4"/>
  <c r="D22" i="4" s="1"/>
  <c r="C10" i="4"/>
  <c r="C22" i="4" s="1"/>
  <c r="E22" i="4" s="1"/>
  <c r="C25" i="4" s="1"/>
  <c r="C20" i="5"/>
  <c r="D45" i="5"/>
  <c r="C45" i="5"/>
  <c r="G44" i="5"/>
  <c r="G43" i="5"/>
  <c r="G20" i="5"/>
  <c r="D20" i="5" s="1"/>
  <c r="G19" i="5"/>
  <c r="C23" i="4" l="1"/>
  <c r="K6" i="3" l="1"/>
  <c r="J6" i="3"/>
  <c r="C20" i="3" l="1"/>
  <c r="H16" i="3"/>
  <c r="I16" i="3" s="1"/>
  <c r="H15" i="3"/>
  <c r="I15" i="3" s="1"/>
  <c r="C11" i="3"/>
  <c r="I11" i="2"/>
  <c r="C22" i="3"/>
  <c r="C18" i="3"/>
  <c r="D13" i="3"/>
  <c r="C13" i="3"/>
  <c r="D12" i="3"/>
  <c r="D14" i="3" s="1"/>
  <c r="N29" i="3"/>
  <c r="M29" i="3"/>
  <c r="M28" i="3"/>
  <c r="L29" i="3"/>
  <c r="L28" i="3"/>
  <c r="N28" i="3" s="1"/>
  <c r="J29" i="3"/>
  <c r="J28" i="3"/>
  <c r="I29" i="3"/>
  <c r="K29" i="3" s="1"/>
  <c r="I28" i="3"/>
  <c r="K28" i="3" s="1"/>
  <c r="G28" i="3"/>
  <c r="G29" i="3"/>
  <c r="F29" i="3"/>
  <c r="H29" i="3" s="1"/>
  <c r="F28" i="3"/>
  <c r="H28" i="3" s="1"/>
  <c r="D29" i="3"/>
  <c r="D28" i="3"/>
  <c r="C29" i="3"/>
  <c r="E29" i="3" s="1"/>
  <c r="C28" i="3"/>
  <c r="C12" i="3" s="1"/>
  <c r="C14" i="3" s="1"/>
  <c r="D11" i="3"/>
  <c r="K5" i="3"/>
  <c r="J5" i="3"/>
  <c r="C21" i="3" l="1"/>
  <c r="C24" i="3" s="1"/>
  <c r="C19" i="3"/>
  <c r="E28" i="3"/>
  <c r="F17" i="2" l="1"/>
  <c r="C30" i="2"/>
  <c r="C32" i="2"/>
  <c r="F18" i="2"/>
  <c r="F16" i="2" l="1"/>
  <c r="C21" i="2" l="1"/>
  <c r="H26" i="2"/>
  <c r="H25" i="2"/>
  <c r="H24" i="2"/>
  <c r="H23" i="2"/>
  <c r="F26" i="2"/>
  <c r="F25" i="2"/>
  <c r="F24" i="2"/>
  <c r="F23" i="2"/>
  <c r="H21" i="2"/>
  <c r="H22" i="2" s="1"/>
  <c r="F15" i="2" l="1"/>
  <c r="C23" i="2" l="1"/>
  <c r="F20" i="2" s="1"/>
  <c r="C22" i="2"/>
  <c r="F22" i="2"/>
  <c r="C20" i="2"/>
  <c r="C31" i="2"/>
  <c r="D31" i="2" s="1"/>
  <c r="D20" i="2" l="1"/>
  <c r="F21" i="2"/>
  <c r="D22" i="2"/>
  <c r="F19" i="2"/>
  <c r="H16" i="2" l="1"/>
  <c r="XFD1048550" i="2" l="1" a="1"/>
  <c r="XFD1048550" i="2" s="1"/>
  <c r="XFD1048551" i="2" a="1"/>
  <c r="XFD1048551" i="2" s="1"/>
  <c r="XFD1048552" i="2" a="1"/>
  <c r="XFD1048552" i="2" s="1"/>
  <c r="XFD1048553" i="2" a="1"/>
  <c r="XFD1048553" i="2" s="1"/>
  <c r="XFD1048554" i="2" a="1"/>
  <c r="XFD1048554" i="2" s="1"/>
  <c r="XFD1048555" i="2" a="1"/>
  <c r="XFD1048555" i="2" s="1"/>
  <c r="XFD1048556" i="2" a="1"/>
  <c r="XFD1048556" i="2" s="1"/>
  <c r="XFD1048557" i="2" a="1"/>
  <c r="XFD1048557" i="2" s="1"/>
  <c r="XFD1048558" i="2" a="1"/>
  <c r="XFD1048558" i="2" s="1"/>
  <c r="XFD1048559" i="2" a="1"/>
  <c r="XFD1048559" i="2" s="1"/>
  <c r="XFD1048560" i="2" a="1"/>
  <c r="XFD1048560" i="2" s="1"/>
  <c r="XFD1048561" i="2" a="1"/>
  <c r="XFD1048561" i="2" s="1"/>
  <c r="XFD1048562" i="2" a="1"/>
  <c r="XFD1048562" i="2" s="1"/>
  <c r="XFD1048563" i="2" a="1"/>
  <c r="XFD1048563" i="2" s="1"/>
  <c r="XFD1048564" i="2" a="1"/>
  <c r="XFD1048564" i="2" s="1"/>
  <c r="XFD1048565" i="2" a="1"/>
  <c r="XFD1048565" i="2" s="1"/>
  <c r="XFD1048566" i="2" a="1"/>
  <c r="XFD1048566" i="2" s="1"/>
  <c r="XFD1048567" i="2" a="1"/>
  <c r="XFD1048567" i="2" s="1"/>
  <c r="XFD1048568" i="2" a="1"/>
  <c r="XFD1048568" i="2" s="1"/>
  <c r="XFD1048569" i="2" a="1"/>
  <c r="XFD1048569" i="2" s="1"/>
  <c r="XFD1048570" i="2" a="1"/>
  <c r="XFD1048570" i="2" s="1"/>
  <c r="XFD1048571" i="2" a="1"/>
  <c r="XFD1048571" i="2" s="1"/>
  <c r="XFD1048572" i="2" a="1"/>
  <c r="XFD1048572" i="2" s="1"/>
  <c r="XFD1048573" i="2" a="1"/>
  <c r="XFD1048573" i="2" s="1"/>
  <c r="XFD1048574" i="2" a="1"/>
  <c r="XFD1048574" i="2" s="1"/>
  <c r="XFD1048575" i="2" a="1"/>
  <c r="XFD1048575" i="2" s="1"/>
  <c r="C13" i="2"/>
  <c r="D21" i="2" s="1"/>
  <c r="C34" i="2" s="1"/>
  <c r="C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<sst xmlns="http://schemas.openxmlformats.org/spreadsheetml/2006/main" count="185" uniqueCount="106">
  <si>
    <t>Sales</t>
  </si>
  <si>
    <t>X</t>
  </si>
  <si>
    <t>Y</t>
  </si>
  <si>
    <t>Qarter</t>
  </si>
  <si>
    <t>Per Product</t>
  </si>
  <si>
    <t>Required raw mterial V</t>
  </si>
  <si>
    <t>Required raw mterial G</t>
  </si>
  <si>
    <t>Shipment Price</t>
  </si>
  <si>
    <t>purchase price at TOYS</t>
  </si>
  <si>
    <t>max subcontracting capacity</t>
  </si>
  <si>
    <t>with negotiation</t>
  </si>
  <si>
    <t>need machine capacity</t>
  </si>
  <si>
    <t>working hours requited</t>
  </si>
  <si>
    <t>without negotiation</t>
  </si>
  <si>
    <t>Quarter</t>
  </si>
  <si>
    <t>Initial Stock V</t>
  </si>
  <si>
    <t>Initial Stock G</t>
  </si>
  <si>
    <t>Rush Order Fixed Cost</t>
  </si>
  <si>
    <t>Beginning Workers</t>
  </si>
  <si>
    <t>New Worker Cost</t>
  </si>
  <si>
    <t>Working Hour Per Quarter</t>
  </si>
  <si>
    <t>Labor cost Per hour</t>
  </si>
  <si>
    <t>Production</t>
  </si>
  <si>
    <t xml:space="preserve">Daytime </t>
  </si>
  <si>
    <t>Overtime</t>
  </si>
  <si>
    <t>TOYS Ltd</t>
  </si>
  <si>
    <t>Overtime Labour Cost Per hour 50%</t>
  </si>
  <si>
    <t>Overbime 100% Bonus</t>
  </si>
  <si>
    <t>Demand Forescast</t>
  </si>
  <si>
    <t>Contrants:</t>
  </si>
  <si>
    <t>Total Machine</t>
  </si>
  <si>
    <t>=</t>
  </si>
  <si>
    <t>&lt;=</t>
  </si>
  <si>
    <t>Transfer Price of V</t>
  </si>
  <si>
    <t>Transfer Price of G</t>
  </si>
  <si>
    <t>Toy Purchased</t>
  </si>
  <si>
    <t>Income</t>
  </si>
  <si>
    <t>Foremen</t>
  </si>
  <si>
    <t>Porfit</t>
  </si>
  <si>
    <t>Daytime working Hours</t>
  </si>
  <si>
    <t>Overtime working hours</t>
  </si>
  <si>
    <t>needed units for V</t>
  </si>
  <si>
    <t>needed units for G</t>
  </si>
  <si>
    <t>Administration Cost</t>
  </si>
  <si>
    <t>Maximum Overtime</t>
  </si>
  <si>
    <t>Hiring Cost</t>
  </si>
  <si>
    <t>Production Capacity</t>
  </si>
  <si>
    <t>Overtime by 20% Quarter</t>
  </si>
  <si>
    <t>&gt;=</t>
  </si>
  <si>
    <t xml:space="preserve">Initial Stock </t>
  </si>
  <si>
    <t>V</t>
  </si>
  <si>
    <t>G</t>
  </si>
  <si>
    <t>Delivery Cost</t>
  </si>
  <si>
    <t>Order Cost</t>
  </si>
  <si>
    <t>Holding Cost</t>
  </si>
  <si>
    <t>Purchase Price</t>
  </si>
  <si>
    <t>Order Quantity</t>
  </si>
  <si>
    <t>Total Purchase Price</t>
  </si>
  <si>
    <t>Normal Order</t>
  </si>
  <si>
    <t>Rush Order</t>
  </si>
  <si>
    <t>Stock Holding Cost</t>
  </si>
  <si>
    <t>Safety Stock</t>
  </si>
  <si>
    <t>Total Cost</t>
  </si>
  <si>
    <t>Fixed Cost</t>
  </si>
  <si>
    <t>Total Ordering Cost</t>
  </si>
  <si>
    <t>Total Purchasing Cost</t>
  </si>
  <si>
    <t>Quantity</t>
  </si>
  <si>
    <t>Frequency</t>
  </si>
  <si>
    <t>EOQ</t>
  </si>
  <si>
    <t>Ordered Quantity</t>
  </si>
  <si>
    <t>Order Frequency = 1</t>
  </si>
  <si>
    <t>Order Frequency = 2</t>
  </si>
  <si>
    <t>Order Frequency = 3</t>
  </si>
  <si>
    <t>Order Frequency = 4</t>
  </si>
  <si>
    <r>
      <rPr>
        <sz val="11"/>
        <color theme="1"/>
        <rFont val="Times New Roman"/>
        <family val="1"/>
      </rPr>
      <t>C</t>
    </r>
    <r>
      <rPr>
        <sz val="8"/>
        <color theme="1"/>
        <rFont val="Times New Roman"/>
        <family val="1"/>
      </rPr>
      <t>holding</t>
    </r>
  </si>
  <si>
    <r>
      <rPr>
        <sz val="12"/>
        <color theme="1"/>
        <rFont val="Times New Roman"/>
        <family val="1"/>
      </rPr>
      <t>C</t>
    </r>
    <r>
      <rPr>
        <sz val="8"/>
        <color theme="1"/>
        <rFont val="Times New Roman"/>
        <family val="1"/>
      </rPr>
      <t>order</t>
    </r>
  </si>
  <si>
    <r>
      <t>C</t>
    </r>
    <r>
      <rPr>
        <sz val="8"/>
        <color theme="1"/>
        <rFont val="Times New Roman"/>
        <family val="1"/>
      </rPr>
      <t>total</t>
    </r>
  </si>
  <si>
    <t xml:space="preserve">Total Cost </t>
  </si>
  <si>
    <t>Raw Materials</t>
  </si>
  <si>
    <t>Total Cost of Selling</t>
  </si>
  <si>
    <t>Purchase Department</t>
  </si>
  <si>
    <t>Total Profit of the Purchase Department</t>
  </si>
  <si>
    <t>Period</t>
  </si>
  <si>
    <t>Price</t>
  </si>
  <si>
    <t>Publicity</t>
  </si>
  <si>
    <t>Research and development</t>
  </si>
  <si>
    <t>3000 </t>
  </si>
  <si>
    <t xml:space="preserve"> 3000 </t>
  </si>
  <si>
    <t xml:space="preserve"> 2771 </t>
  </si>
  <si>
    <t>Administrative Cost</t>
  </si>
  <si>
    <t>Product</t>
  </si>
  <si>
    <t xml:space="preserve">Marketing R&amp;D   </t>
  </si>
  <si>
    <t>Packaging and Shipment Cost</t>
  </si>
  <si>
    <t>Rolling Stock</t>
  </si>
  <si>
    <t xml:space="preserve">Salesmen Commision </t>
  </si>
  <si>
    <t>Qarter 17</t>
  </si>
  <si>
    <t>sales</t>
  </si>
  <si>
    <t>Budget</t>
  </si>
  <si>
    <t xml:space="preserve">Advertising </t>
  </si>
  <si>
    <t>SALES PRICE</t>
  </si>
  <si>
    <t>Cost of goods sold</t>
  </si>
  <si>
    <t>Variable Cost</t>
  </si>
  <si>
    <t>Desired Profit Margin</t>
  </si>
  <si>
    <t>Total Budget</t>
  </si>
  <si>
    <t xml:space="preserve">NAME </t>
  </si>
  <si>
    <t>Darwin and 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</si>
</sst>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€-1]"/>
  </numFmts>
  <fonts count="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Times New Roman"/>
      <family val="1"/>
    </font>
    <font>
      <i/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charset val="186"/>
      <scheme val="minor"/>
    </font>
    <font>
      <sz val="8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164" fontId="0" fillId="0" borderId="1" xfId="0" applyNumberFormat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6" borderId="1" xfId="0" applyFill="1" applyBorder="1"/>
    <xf numFmtId="164" fontId="3" fillId="0" borderId="1" xfId="0" applyNumberFormat="1" applyFont="1" applyBorder="1"/>
    <xf numFmtId="0" fontId="6" fillId="0" borderId="0" xfId="0" applyFont="1"/>
    <xf numFmtId="164" fontId="6" fillId="0" borderId="1" xfId="0" applyNumberFormat="1" applyFont="1" applyBorder="1"/>
    <xf numFmtId="0" fontId="6" fillId="0" borderId="1" xfId="0" applyFont="1" applyBorder="1"/>
    <xf numFmtId="2" fontId="6" fillId="0" borderId="1" xfId="0" applyNumberFormat="1" applyFont="1" applyBorder="1"/>
    <xf numFmtId="9" fontId="6" fillId="0" borderId="1" xfId="0" applyNumberFormat="1" applyFont="1" applyBorder="1"/>
    <xf numFmtId="0" fontId="0" fillId="8" borderId="1" xfId="0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5" xfId="0" applyBorder="1"/>
    <xf numFmtId="164" fontId="0" fillId="0" borderId="2" xfId="0" applyNumberFormat="1" applyBorder="1"/>
    <xf numFmtId="164" fontId="0" fillId="4" borderId="1" xfId="0" applyNumberFormat="1" applyFill="1" applyBorder="1"/>
    <xf numFmtId="0" fontId="0" fillId="9" borderId="1" xfId="0" applyFill="1" applyBorder="1"/>
    <xf numFmtId="164" fontId="0" fillId="9" borderId="1" xfId="0" applyNumberFormat="1" applyFill="1" applyBorder="1"/>
    <xf numFmtId="0" fontId="0" fillId="7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 applyAlignment="1">
      <alignment horizontal="left" vertical="center" wrapText="1"/>
    </xf>
    <xf numFmtId="0" fontId="1" fillId="0" borderId="0" xfId="1"/>
    <xf numFmtId="0" fontId="8" fillId="0" borderId="0" xfId="1" applyFont="1" applyAlignment="1">
      <alignment horizontal="centerContinuous"/>
    </xf>
    <xf numFmtId="0" fontId="8" fillId="0" borderId="0" xfId="1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0" borderId="1" xfId="1" applyBorder="1"/>
    <xf numFmtId="0" fontId="1" fillId="7" borderId="1" xfId="1" applyFill="1" applyBorder="1"/>
    <xf numFmtId="0" fontId="1" fillId="4" borderId="1" xfId="1" applyFill="1" applyBorder="1"/>
    <xf numFmtId="1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/>
    <xf numFmtId="0" fontId="0" fillId="7" borderId="6" xfId="0" applyFill="1" applyBorder="1"/>
    <xf numFmtId="0" fontId="0" fillId="12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0" fillId="4" borderId="1" xfId="0" applyNumberFormat="1" applyFill="1" applyBorder="1"/>
    <xf numFmtId="164" fontId="6" fillId="4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BB521EC-6586-4081-B014-F87132307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ForeCast!$C$3</c:f>
              <c:strCache>
                <c:ptCount val="1"/>
                <c:pt idx="0">
                  <c:v>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ForeCast!$B$4:$B$19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ForeCast!$C$4:$C$19</c:f>
              <c:numCache>
                <c:formatCode>General</c:formatCode>
                <c:ptCount val="16"/>
                <c:pt idx="0">
                  <c:v>163</c:v>
                </c:pt>
                <c:pt idx="1">
                  <c:v>164</c:v>
                </c:pt>
                <c:pt idx="2">
                  <c:v>164</c:v>
                </c:pt>
                <c:pt idx="3">
                  <c:v>165</c:v>
                </c:pt>
                <c:pt idx="4">
                  <c:v>166</c:v>
                </c:pt>
                <c:pt idx="5">
                  <c:v>167</c:v>
                </c:pt>
                <c:pt idx="6">
                  <c:v>167</c:v>
                </c:pt>
                <c:pt idx="7">
                  <c:v>167</c:v>
                </c:pt>
                <c:pt idx="8">
                  <c:v>167</c:v>
                </c:pt>
                <c:pt idx="9">
                  <c:v>175</c:v>
                </c:pt>
                <c:pt idx="10">
                  <c:v>175</c:v>
                </c:pt>
                <c:pt idx="11">
                  <c:v>175</c:v>
                </c:pt>
                <c:pt idx="12">
                  <c:v>175</c:v>
                </c:pt>
                <c:pt idx="13">
                  <c:v>184</c:v>
                </c:pt>
                <c:pt idx="14">
                  <c:v>184</c:v>
                </c:pt>
                <c:pt idx="15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8F-4812-A334-C63FBC7BC761}"/>
            </c:ext>
          </c:extLst>
        </c:ser>
        <c:ser>
          <c:idx val="1"/>
          <c:order val="1"/>
          <c:tx>
            <c:strRef>
              <c:f>ForeCast!$D$3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ForeCast!$B$4:$B$19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ForeCast!$D$4:$D$19</c:f>
              <c:numCache>
                <c:formatCode>General</c:formatCode>
                <c:ptCount val="16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215</c:v>
                </c:pt>
                <c:pt idx="6">
                  <c:v>215</c:v>
                </c:pt>
                <c:pt idx="7">
                  <c:v>215</c:v>
                </c:pt>
                <c:pt idx="8">
                  <c:v>215</c:v>
                </c:pt>
                <c:pt idx="9">
                  <c:v>225</c:v>
                </c:pt>
                <c:pt idx="10">
                  <c:v>225</c:v>
                </c:pt>
                <c:pt idx="11">
                  <c:v>225</c:v>
                </c:pt>
                <c:pt idx="12">
                  <c:v>225</c:v>
                </c:pt>
                <c:pt idx="13">
                  <c:v>225</c:v>
                </c:pt>
                <c:pt idx="14">
                  <c:v>225</c:v>
                </c:pt>
                <c:pt idx="15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8F-4812-A334-C63FBC7BC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215536"/>
        <c:axId val="80750688"/>
      </c:scatterChart>
      <c:valAx>
        <c:axId val="41521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0688"/>
        <c:crosses val="autoZero"/>
        <c:crossBetween val="midCat"/>
      </c:valAx>
      <c:valAx>
        <c:axId val="807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1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ForeCast!$C$28</c:f>
              <c:strCache>
                <c:ptCount val="1"/>
                <c:pt idx="0">
                  <c:v>X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ForeCast!$B$29:$B$44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ForeCast!$C$29:$C$44</c:f>
              <c:numCache>
                <c:formatCode>General</c:formatCode>
                <c:ptCount val="16"/>
                <c:pt idx="0">
                  <c:v>10660</c:v>
                </c:pt>
                <c:pt idx="1">
                  <c:v>11364</c:v>
                </c:pt>
                <c:pt idx="2">
                  <c:v>12114</c:v>
                </c:pt>
                <c:pt idx="3">
                  <c:v>12913</c:v>
                </c:pt>
                <c:pt idx="4">
                  <c:v>13500</c:v>
                </c:pt>
                <c:pt idx="5">
                  <c:v>14200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18000</c:v>
                </c:pt>
                <c:pt idx="10">
                  <c:v>18000</c:v>
                </c:pt>
                <c:pt idx="11">
                  <c:v>18000</c:v>
                </c:pt>
                <c:pt idx="12">
                  <c:v>18000</c:v>
                </c:pt>
                <c:pt idx="13">
                  <c:v>25000</c:v>
                </c:pt>
                <c:pt idx="14">
                  <c:v>25000</c:v>
                </c:pt>
                <c:pt idx="15">
                  <c:v>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27-49EE-A4A9-85EB73BE93E8}"/>
            </c:ext>
          </c:extLst>
        </c:ser>
        <c:ser>
          <c:idx val="1"/>
          <c:order val="1"/>
          <c:tx>
            <c:strRef>
              <c:f>ForeCast!$D$28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ForeCast!$B$29:$B$44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ForeCast!$D$29:$D$44</c:f>
              <c:numCache>
                <c:formatCode>General</c:formatCode>
                <c:ptCount val="16"/>
                <c:pt idx="0">
                  <c:v>17056</c:v>
                </c:pt>
                <c:pt idx="1">
                  <c:v>18182</c:v>
                </c:pt>
                <c:pt idx="2">
                  <c:v>19382</c:v>
                </c:pt>
                <c:pt idx="3">
                  <c:v>20661</c:v>
                </c:pt>
                <c:pt idx="4">
                  <c:v>22000</c:v>
                </c:pt>
                <c:pt idx="5">
                  <c:v>24000</c:v>
                </c:pt>
                <c:pt idx="6">
                  <c:v>26000</c:v>
                </c:pt>
                <c:pt idx="7">
                  <c:v>28000</c:v>
                </c:pt>
                <c:pt idx="8">
                  <c:v>33000</c:v>
                </c:pt>
                <c:pt idx="9">
                  <c:v>32000</c:v>
                </c:pt>
                <c:pt idx="10">
                  <c:v>32000</c:v>
                </c:pt>
                <c:pt idx="11">
                  <c:v>32000</c:v>
                </c:pt>
                <c:pt idx="12">
                  <c:v>32000</c:v>
                </c:pt>
                <c:pt idx="13">
                  <c:v>32000</c:v>
                </c:pt>
                <c:pt idx="14">
                  <c:v>32000</c:v>
                </c:pt>
                <c:pt idx="15">
                  <c:v>32000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27-49EE-A4A9-85EB73BE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678080"/>
        <c:axId val="417457408"/>
      </c:scatterChart>
      <c:valAx>
        <c:axId val="113067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57408"/>
        <c:crosses val="autoZero"/>
        <c:crossBetween val="midCat"/>
      </c:valAx>
      <c:valAx>
        <c:axId val="4174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7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ForeCast!$B$53:$B$54</c:f>
              <c:strCache>
                <c:ptCount val="2"/>
                <c:pt idx="0">
                  <c:v>Qarter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ForeCast!$B$55:$B$70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1-4FDE-8C4D-D961B80E5EE2}"/>
            </c:ext>
          </c:extLst>
        </c:ser>
        <c:ser>
          <c:idx val="1"/>
          <c:order val="1"/>
          <c:tx>
            <c:strRef>
              <c:f>ForeCast!$C$53:$C$54</c:f>
              <c:strCache>
                <c:ptCount val="2"/>
                <c:pt idx="0">
                  <c:v>Sales</c:v>
                </c:pt>
                <c:pt idx="1">
                  <c:v>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ForeCast!$C$55:$C$70</c:f>
              <c:numCache>
                <c:formatCode>General</c:formatCode>
                <c:ptCount val="16"/>
                <c:pt idx="0">
                  <c:v>1859</c:v>
                </c:pt>
                <c:pt idx="1">
                  <c:v>1903</c:v>
                </c:pt>
                <c:pt idx="2">
                  <c:v>2217</c:v>
                </c:pt>
                <c:pt idx="3">
                  <c:v>2420</c:v>
                </c:pt>
                <c:pt idx="4">
                  <c:v>2005</c:v>
                </c:pt>
                <c:pt idx="5">
                  <c:v>2053</c:v>
                </c:pt>
                <c:pt idx="6">
                  <c:v>2659</c:v>
                </c:pt>
                <c:pt idx="7">
                  <c:v>2676</c:v>
                </c:pt>
                <c:pt idx="8">
                  <c:v>2617</c:v>
                </c:pt>
                <c:pt idx="9">
                  <c:v>2174</c:v>
                </c:pt>
                <c:pt idx="10">
                  <c:v>2430</c:v>
                </c:pt>
                <c:pt idx="11">
                  <c:v>2739</c:v>
                </c:pt>
                <c:pt idx="12">
                  <c:v>2754</c:v>
                </c:pt>
                <c:pt idx="13">
                  <c:v>2364</c:v>
                </c:pt>
                <c:pt idx="14">
                  <c:v>2607</c:v>
                </c:pt>
                <c:pt idx="15">
                  <c:v>2771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51-4FDE-8C4D-D961B80E5EE2}"/>
            </c:ext>
          </c:extLst>
        </c:ser>
        <c:ser>
          <c:idx val="2"/>
          <c:order val="2"/>
          <c:tx>
            <c:strRef>
              <c:f>ForeCast!$D$53:$D$54</c:f>
              <c:strCache>
                <c:ptCount val="2"/>
                <c:pt idx="0">
                  <c:v>Sales</c:v>
                </c:pt>
                <c:pt idx="1">
                  <c:v>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ForeCast!$D$55:$D$70</c:f>
              <c:numCache>
                <c:formatCode>General</c:formatCode>
                <c:ptCount val="16"/>
                <c:pt idx="0">
                  <c:v>3949</c:v>
                </c:pt>
                <c:pt idx="1">
                  <c:v>3473</c:v>
                </c:pt>
                <c:pt idx="2">
                  <c:v>3938</c:v>
                </c:pt>
                <c:pt idx="3">
                  <c:v>4380</c:v>
                </c:pt>
                <c:pt idx="4">
                  <c:v>4182</c:v>
                </c:pt>
                <c:pt idx="5">
                  <c:v>3707</c:v>
                </c:pt>
                <c:pt idx="6">
                  <c:v>4245</c:v>
                </c:pt>
                <c:pt idx="7">
                  <c:v>4850</c:v>
                </c:pt>
                <c:pt idx="8">
                  <c:v>4528</c:v>
                </c:pt>
                <c:pt idx="9">
                  <c:v>3145</c:v>
                </c:pt>
                <c:pt idx="10">
                  <c:v>4102</c:v>
                </c:pt>
                <c:pt idx="11">
                  <c:v>4753</c:v>
                </c:pt>
                <c:pt idx="12">
                  <c:v>4440</c:v>
                </c:pt>
                <c:pt idx="13">
                  <c:v>3504</c:v>
                </c:pt>
                <c:pt idx="14">
                  <c:v>4557</c:v>
                </c:pt>
                <c:pt idx="15">
                  <c:v>4933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51-4FDE-8C4D-D961B80E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295152"/>
        <c:axId val="1428213967"/>
      </c:lineChart>
      <c:catAx>
        <c:axId val="1156295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13967"/>
        <c:crosses val="autoZero"/>
        <c:auto val="1"/>
        <c:lblAlgn val="ctr"/>
        <c:lblOffset val="100"/>
        <c:noMultiLvlLbl val="0"/>
      </c:catAx>
      <c:valAx>
        <c:axId val="14282139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2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9</xdr:col>
      <xdr:colOff>665079</xdr:colOff>
      <xdr:row>16</xdr:row>
      <xdr:rowOff>82327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A1C49A-5A68-4D98-BC3E-B0C093B6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132291</xdr:colOff>
      <xdr:row>26</xdr:row>
      <xdr:rowOff>9526</xdr:rowOff>
    </xdr:from>
    <xdr:to>
      <xdr:col>9</xdr:col>
      <xdr:colOff>809624</xdr:colOff>
      <xdr:row>41</xdr:row>
      <xdr:rowOff>53976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DFB7EE-D366-6186-4083-FF5AA9733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52</xdr:row>
      <xdr:rowOff>0</xdr:rowOff>
    </xdr:from>
    <xdr:to>
      <xdr:col>9</xdr:col>
      <xdr:colOff>670416</xdr:colOff>
      <xdr:row>67</xdr:row>
      <xdr:rowOff>13116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110140-08C4-4AA7-B3FB-8B72B7EB4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  <wetp:taskpane dockstate="right" visibility="0" width="525" row="8">
    <wetp:webextensionref xmlns:r="http://schemas.openxmlformats.org/officeDocument/2006/relationships" r:id="rId2"/>
  </wetp:taskpane>
  <wetp:taskpane dockstate="right" visibility="0" width="525" row="6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1AB18B02-7F36-4567-8AC2-20F4AEAD4FAF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tB7W35HqrXkHD9LHtUUgI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3613284-6100-467F-9C82-478507C7D938}">
  <we:reference id="wa104100404" version="3.0.0.1" store="en-US" storeType="OMEX"/>
  <we:alternateReferences>
    <we:reference id="wa104100404" version="3.0.0.1" store="wa104100404" storeType="OMEX"/>
  </we:alternateReferences>
  <we:properties>
    <we:property name="KQM+PiAkOgcXH1cRCF1CHAMOKCYj" value="&quot;SQ==&quot;"/>
    <we:property name="KQM+PiAkOgcXH1cRCF1CHAMOKDA0" value="&quot;TA==&quot;"/>
    <we:property name="KQM+PiAkOgcXH1cRCF1CHAMOKDcx" value="&quot;SA==&quot;"/>
    <we:property name="KQM+PiAkOgcXH1cRCF1CHAMOKDk/" value="&quot;SQ==&quot;"/>
    <we:property name="KQM+PiAkOgcXH1cRCF1CHAMOKSEm" value="&quot;SQ==&quot;"/>
    <we:property name="KQM+PiAkOgcXH1cRCF1CHAMOKSY9" value="&quot;SEFh&quot;"/>
    <we:property name="KQM+PiAkOgcXH1cRCF1CHAMOKTYr" value="&quot;SA==&quot;"/>
    <we:property name="KQM+PiAkOgcXH1cRCF1CHAMOKTok" value="&quot;SQ==&quot;"/>
    <we:property name="KQM+PiAkOgcXH1cRCF1CHAMOKici" value="&quot;SV9hamV3fl8=&quot;"/>
    <we:property name="KQM+PiAkOgcXH1cRCF1CHAMOLjor" value="&quot;SV9haw==&quot;"/>
    <we:property name="KQM+PiAkOgcXH1cRCF1CHAMOMyU0" value="&quot;SV9oYw==&quot;"/>
    <we:property name="KQM+PiAkOgcXH1cRCF1CHAMOMyUj" value="&quot;Sg==&quot;"/>
    <we:property name="KQM+PiAkOgcXH1cRCF1CHAMOMyUu" value="&quot;SA==&quot;"/>
    <we:property name="KQM+PiAkOgcXH1cRCF1CHAMONCE1" value="&quot;Sw==&quot;"/>
    <we:property name="KQM+PiAkOgcXH1cRCF1CHAMONDAg" value="&quot;SA==&quot;"/>
    <we:property name="KQM+PiAkOgcXH1cRCF1CHAMONiU3" value="&quot;SQ==&quot;"/>
    <we:property name="KQM+PiAkOgcXH1cRCF1CHAMONiUz" value="&quot;SQ==&quot;"/>
    <we:property name="KQM+PiAkOgcXH1cRCF1CHAMONyYr" value="&quot;SQ==&quot;"/>
    <we:property name="KQM+PiAkOgcXH1cRCF1CHAMONycz" value="&quot;SV9hbWA=&quot;"/>
    <we:property name="KQM+PiAkOgcXH1cRCF1CHAMONzAz" value="&quot;Sw==&quot;"/>
    <we:property name="KQM+PiAkOgcXH1cRCF1CHAMONzsu" value="&quot;SkE=&quot;"/>
    <we:property name="KQM+PiAkOgcXH1cRCF1CHAMOOSMg" value="&quot;SV9hamV2&quot;"/>
    <we:property name="KQM+PiAkOgcXH1cRCF1CHAMOOyc0" value="&quot;SA==&quot;"/>
    <we:property name="KQM+PiAkOgcXH1cRCF1CHAMOOzYk" value="&quot;SV9hamQ=&quot;"/>
    <we:property name="KQM+PiAkOgcXH1cRCF1CHAMOPDAm" value="&quot;SV9hamV3fl8=&quot;"/>
    <we:property name="KQM+PiAkOgcXH1cRCF1CHAMOPTQ3" value="&quot;SV9hamV3fl8=&quot;"/>
    <we:property name="KQM+PiAkOgcXH1cRCF1CHAMOPzsg" value="&quot;PiMW&quot;"/>
    <we:property name="KQM+PiAkOgcXH1ctBVs=" value="&quot;&quot;"/>
    <we:property name="KQM+PiAkOgcXH1cvBkl5EB8=" value="&quot;SA==&quot;"/>
    <we:property name="KQM+PiAkOk41GA5CVhB5GAkcMzs=" value="&quot;SA==&quot;"/>
    <we:property name="KQM+PiAkOk41GA5CVhB7Gxs=" value="&quot;XTV1a20=&quot;"/>
    <we:property name="KQM+PiAkOk41GA5CVhBHFh0nPycYIAsf" value="&quot;SA==&quot;"/>
    <we:property name="KQM+PiAkOk41GA5CVhBHFh0nPycYIBsV" value="&quot;Sw==&quot;"/>
    <we:property name="KQM+PiAkOk41GA5CVhBHFh0nPycYIgYLQA==" value="&quot;XTJ1a2R9ai1cQEM=&quot;"/>
    <we:property name="KQM+PiAkOk41GA5CVhBHFh0nPycYIgYLQw==" value="&quot;XTV1Y29jCEpB&quot;"/>
    <we:property name="KQM+PiAkOk41GA5CVhBHFh0nPycYKwAf" value="&quot;SQ==&quot;"/>
    <we:property name="KQM+PiAkOk41GA5CVhBHFh0nPycYPAYLQA==" value="&quot;XTN1a2R9aixcQEM=&quot;"/>
    <we:property name="KQM+PiAkOk41GA5CVhBHFh0nPycYPAYLQw==" value="&quot;SQ==&quot;"/>
    <we:property name="KQM+PiAkOk41GA5CVhBHFh0nPycYPAsUQA==" value="&quot;WU1seg==&quot;"/>
    <we:property name="KQM+PiAkOk41GA5CVhBHFh0nPycYPAsUQw==" value="&quot;WU9seg==&quot;"/>
    <we:property name="KQM+PiAkOk41GA5CVhBiGAM4OzcrKx0=" value="&quot;XTV1Y29jCEpB&quot;"/>
    <we:property name="KQM+PiAkOk41GA5DFF5YDxQjBSciIl8=" value="&quot;WU1seg==&quot;"/>
    <we:property name="KQM+PiAkOk41GA5DFF5YDxQjBSciIlw=" value="&quot;WU9seg==&quot;"/>
    <we:property name="KQM+PiAkOk41GA5DFF5YDxQjBScvPV8=" value="&quot;XTN1a2R9aixcQEM=&quot;"/>
    <we:property name="KQM+PiAkOk41GA5DFF5YDxQjBScvPVw=" value="&quot;SQ==&quot;"/>
    <we:property name="KQM+PiAkOk41GA5DFF5YDxQjBTApKQ==" value="&quot;SQ==&quot;"/>
    <we:property name="KQM+PiAkOk41GA5DFF5YDxQjBTkvPV8=" value="&quot;XTJ1a2R9ai1cQEM=&quot;"/>
    <we:property name="KQM+PiAkOk41GA5DFF5YDxQjBTkvPVw=" value="&quot;XTV1Y29jCEpB&quot;"/>
    <we:property name="KQM+PiAkOk41GA5DFF5YDxQjBTsiKQ==" value="&quot;SA==&quot;"/>
    <we:property name="KQM+PiAkOk41GA5DFF5YDxQjBTsyIw==" value="&quot;Sw==&quot;"/>
    <we:property name="KQM+PiAkOk41GA5DKFNe" value="&quot;XTV1a20=&quot;"/>
    <we:property name="KQM+PiAkOk41GA5DKlBMNBg/" value="&quot;SA==&quot;"/>
    <we:property name="KQM+PiAkOk41GA5DMVBGEBAzNjA0" value="&quot;XTV1Y29jCEpB&quot;"/>
    <we:property name="NhM7" value="&quot;&quot;"/>
    <we:property name="PTQcGxsDbig3IzMhJmJgWAI+NiMiPDEIAxM=" value="&quot;SV9hamV3fl8=&quot;"/>
    <we:property name="PTQcGxsDbig3IzMhJmJgWAI+NiMiPDEKAhI=" value="&quot;SQ==&quot;"/>
    <we:property name="PTQcGxsDbig3IzMhJmJgWAI+NiMiPDEKEwA=" value="&quot;SA==&quot;"/>
    <we:property name="PTQcGxsDbig3IzMhJmJgWAI+NiMiPDEKFAU=" value="&quot;TA==&quot;"/>
    <we:property name="PTQcGxsDbig3IzMhJmJgWAI+NiMiPDEKHQ4=" value="&quot;SQ==&quot;"/>
    <we:property name="PTQcGxsDbig3IzMhJmJgWAI+NiMiPDELAgw=" value="&quot;SEFh&quot;"/>
    <we:property name="PTQcGxsDbig3IzMhJmJgWAI+NiMiPDELBRc=" value="&quot;SQ==&quot;"/>
    <we:property name="PTQcGxsDbig3IzMhJmJgWAI+NiMiPDELEho=" value="&quot;SA==&quot;"/>
    <we:property name="PTQcGxsDbig3IzMhJmJgWAI+NiMiPDELHhU=" value="&quot;SQ==&quot;"/>
    <we:property name="PTQcGxsDbig3IzMhJmJgWAI+NiMiPDEMHho=" value="&quot;SV9haw==&quot;"/>
    <we:property name="PTQcGxsDbig3IzMhJmJgWAI+NiMiPDERAQU=" value="&quot;SV9oYw==&quot;"/>
    <we:property name="PTQcGxsDbig3IzMhJmJgWAI+NiMiPDERAR8=" value="&quot;SA==&quot;"/>
    <we:property name="PTQcGxsDbig3IzMhJmJgWAI+NiMiPDERARI=" value="&quot;Sg==&quot;"/>
    <we:property name="PTQcGxsDbig3IzMhJmJgWAI+NiMiPDEUAQI=" value="&quot;SQ==&quot;"/>
    <we:property name="PTQcGxsDbig3IzMhJmJgWAI+NiMiPDEUAQY=" value="&quot;SQ==&quot;"/>
    <we:property name="PTQcGxsDbig3IzMhJmJgWAI+NiMiPDEVAho=" value="&quot;SQ==&quot;"/>
    <we:property name="PTQcGxsDbig3IzMhJmJgWAI+NiMiPDEVAwI=" value="&quot;SV9hbWA=&quot;"/>
    <we:property name="PTQcGxsDbig3IzMhJmJgWAI+NiMiPDEVFAI=" value="&quot;Sw==&quot;"/>
    <we:property name="PTQcGxsDbig3IzMhJmJgWAI+NiMiPDEVHx8=" value="&quot;SkE=&quot;"/>
    <we:property name="PTQcGxsDbig3IzMhJmJgWAI+NiMiPDEWBQQ=" value="&quot;Sw==&quot;"/>
    <we:property name="PTQcGxsDbig3IzMhJmJgWAI+NiMiPDEWFBE=" value="&quot;SA==&quot;"/>
    <we:property name="PTQcGxsDbig3IzMhJmJgWAI+NiMiPDEZAwU=" value="&quot;SA==&quot;"/>
    <we:property name="PTQcGxsDbig3IzMhJmJgWAI+NiMiPDEZEhU=" value="&quot;SV9hamQ=&quot;"/>
    <we:property name="PTQcGxsDbig3IzMhJmJgWAI+NiMiPDEbBxE=" value="&quot;SV9hamV2&quot;"/>
    <we:property name="PTQcGxsDbig3IzMhJmJgWAI+NiMiPDEdHxE=" value="&quot;PiMW&quot;"/>
    <we:property name="PTQcGxsDbig3IzMhJmJgWAI+NiMiPDEeFBc=" value="&quot;SV9hamV3fl8=&quot;"/>
    <we:property name="PTQcGxsDbig3IzMhJmJgWAI+NiMiPDEfEAY=" value="&quot;SV9hamV3fl8=&quot;"/>
    <we:property name="PTQcGxsDbig3IzMhJmJgWD4zMA==" value="&quot;&quot;"/>
    <we:property name="PTQcGxsDbig3IzMhJmJgWDwwIhguIA==" value="&quot;SA==&quot;"/>
    <we:property name="UniqueID" value="&quot;2024071704655061440&quot;"/>
  </we:properties>
  <we:bindings>
    <we:binding id="Var0" type="matrix" appref="{FC9B4C49-1167-4D1E-8D37-239E00B447BA}"/>
    <we:binding id="refEdit" type="matrix" appref="{F96EFE9C-5DA4-4237-B60B-91242709B0A0}"/>
    <we:binding id="Worker" type="matrix" appref="{F7088017-1959-4DC6-AF88-737D04CFB1A2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ABB1D88-8ACE-4360-8FF1-860B3B05318D}">
  <we:reference id="wa200000018" version="23.3.0.0" store="en-US" storeType="OMEX"/>
  <we:alternateReferences>
    <we:reference id="wa200000018" version="23.3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06F3-7213-4A9F-BDEB-334E4A9925CA}">
  <dimension ref="A2:XFD1048575"/>
  <sheetViews>
    <sheetView tabSelected="1" zoomScale="46" zoomScaleNormal="46" workbookViewId="0">
      <selection activeCell="Q25" sqref="Q25"/>
    </sheetView>
  </sheetViews>
  <sheetFormatPr defaultRowHeight="14.5" x14ac:dyDescent="0.35"/>
  <cols>
    <col min="2" max="2" width="32.26953125" customWidth="1"/>
    <col min="3" max="3" width="16.08984375" customWidth="1"/>
    <col min="4" max="4" width="17.6328125" customWidth="1"/>
    <col min="5" max="5" width="12.08984375" customWidth="1"/>
    <col min="6" max="6" width="10.1796875" customWidth="1"/>
    <col min="7" max="7" width="8.7265625" customWidth="1"/>
    <col min="10" max="10" width="17.81640625" customWidth="1"/>
  </cols>
  <sheetData>
    <row r="2" spans="1:12" x14ac:dyDescent="0.35">
      <c r="A2" t="s">
        <v>104</v>
      </c>
      <c r="B2" t="s">
        <v>105</v>
      </c>
      <c r="F2" s="6"/>
      <c r="G2" s="6" t="s">
        <v>28</v>
      </c>
      <c r="H2" s="6"/>
    </row>
    <row r="3" spans="1:12" x14ac:dyDescent="0.35">
      <c r="F3" s="6" t="s">
        <v>14</v>
      </c>
      <c r="G3" s="6" t="s">
        <v>1</v>
      </c>
      <c r="H3" s="6" t="s">
        <v>2</v>
      </c>
    </row>
    <row r="4" spans="1:12" ht="15.5" x14ac:dyDescent="0.35">
      <c r="B4" s="8" t="s">
        <v>15</v>
      </c>
      <c r="C4" s="2">
        <v>22000</v>
      </c>
      <c r="F4" s="3">
        <v>17</v>
      </c>
      <c r="G4" s="3">
        <v>2833</v>
      </c>
      <c r="H4" s="3">
        <v>4504</v>
      </c>
    </row>
    <row r="5" spans="1:12" ht="15.5" x14ac:dyDescent="0.35">
      <c r="B5" s="8" t="s">
        <v>16</v>
      </c>
      <c r="C5" s="2">
        <v>21000</v>
      </c>
      <c r="F5" s="3">
        <v>18</v>
      </c>
      <c r="G5" s="3">
        <v>2803</v>
      </c>
      <c r="H5" s="3">
        <v>4556</v>
      </c>
    </row>
    <row r="6" spans="1:12" ht="15.5" x14ac:dyDescent="0.35">
      <c r="B6" s="8" t="s">
        <v>17</v>
      </c>
      <c r="C6" s="2">
        <v>40000</v>
      </c>
    </row>
    <row r="7" spans="1:12" ht="15.5" x14ac:dyDescent="0.35">
      <c r="B7" s="2"/>
      <c r="C7" s="3"/>
    </row>
    <row r="8" spans="1:12" ht="15.5" x14ac:dyDescent="0.35">
      <c r="B8" s="1" t="s">
        <v>18</v>
      </c>
      <c r="C8" s="2">
        <v>249</v>
      </c>
    </row>
    <row r="9" spans="1:12" ht="15.5" x14ac:dyDescent="0.35">
      <c r="B9" s="1" t="s">
        <v>19</v>
      </c>
      <c r="C9" s="2">
        <v>1100</v>
      </c>
      <c r="F9" s="18" t="s">
        <v>22</v>
      </c>
      <c r="G9" s="18" t="s">
        <v>1</v>
      </c>
      <c r="H9" s="18" t="s">
        <v>2</v>
      </c>
    </row>
    <row r="10" spans="1:12" ht="15.5" x14ac:dyDescent="0.35">
      <c r="B10" s="1" t="s">
        <v>20</v>
      </c>
      <c r="C10" s="2">
        <v>480</v>
      </c>
      <c r="F10" s="3" t="s">
        <v>23</v>
      </c>
      <c r="G10" s="3">
        <v>2792.8786537253004</v>
      </c>
      <c r="H10" s="3">
        <v>3118.080898900545</v>
      </c>
    </row>
    <row r="11" spans="1:12" ht="15.5" x14ac:dyDescent="0.35">
      <c r="B11" s="1" t="s">
        <v>47</v>
      </c>
      <c r="C11" s="2">
        <v>96</v>
      </c>
      <c r="F11" s="3" t="s">
        <v>24</v>
      </c>
      <c r="G11" s="3">
        <v>0</v>
      </c>
      <c r="H11" s="3">
        <v>158.08105732776508</v>
      </c>
      <c r="I11" s="11">
        <f>C8-H11</f>
        <v>90.91894267223492</v>
      </c>
    </row>
    <row r="12" spans="1:12" ht="15.5" x14ac:dyDescent="0.35">
      <c r="B12" s="1" t="s">
        <v>21</v>
      </c>
      <c r="C12" s="12">
        <v>2.4</v>
      </c>
      <c r="D12" s="13"/>
      <c r="F12" s="3" t="s">
        <v>25</v>
      </c>
      <c r="G12" s="3">
        <v>125</v>
      </c>
      <c r="H12" s="3">
        <v>800</v>
      </c>
    </row>
    <row r="13" spans="1:12" ht="15.5" x14ac:dyDescent="0.35">
      <c r="B13" s="1" t="s">
        <v>26</v>
      </c>
      <c r="C13" s="14">
        <f>C12+(C12*0.5)</f>
        <v>3.5999999999999996</v>
      </c>
      <c r="D13" s="13"/>
      <c r="J13" s="10" t="s">
        <v>4</v>
      </c>
      <c r="K13" s="10" t="s">
        <v>1</v>
      </c>
      <c r="L13" s="10" t="s">
        <v>2</v>
      </c>
    </row>
    <row r="14" spans="1:12" ht="15.5" x14ac:dyDescent="0.35">
      <c r="B14" s="1" t="s">
        <v>27</v>
      </c>
      <c r="C14" s="15">
        <f>C12*2</f>
        <v>4.8</v>
      </c>
      <c r="D14" s="13"/>
      <c r="F14" s="57" t="s">
        <v>29</v>
      </c>
      <c r="G14" s="58"/>
      <c r="H14" s="59"/>
      <c r="J14" s="8" t="s">
        <v>5</v>
      </c>
      <c r="K14" s="8">
        <v>2</v>
      </c>
      <c r="L14" s="8">
        <v>4</v>
      </c>
    </row>
    <row r="15" spans="1:12" ht="15.5" x14ac:dyDescent="0.35">
      <c r="B15" s="1" t="s">
        <v>30</v>
      </c>
      <c r="C15" s="15">
        <v>3</v>
      </c>
      <c r="D15" s="13"/>
      <c r="F15" s="5">
        <f>G10+H10</f>
        <v>5910.9595526258454</v>
      </c>
      <c r="G15" s="5" t="s">
        <v>31</v>
      </c>
      <c r="H15" s="5">
        <v>6000</v>
      </c>
      <c r="J15" s="8" t="s">
        <v>6</v>
      </c>
      <c r="K15" s="8">
        <v>4</v>
      </c>
      <c r="L15" s="8">
        <v>3</v>
      </c>
    </row>
    <row r="16" spans="1:12" ht="15.5" x14ac:dyDescent="0.35">
      <c r="B16" s="1" t="s">
        <v>46</v>
      </c>
      <c r="C16" s="15">
        <v>6000</v>
      </c>
      <c r="D16" s="13"/>
      <c r="F16" s="5">
        <f>H11</f>
        <v>158.08105732776508</v>
      </c>
      <c r="G16" s="5" t="s">
        <v>32</v>
      </c>
      <c r="H16" s="5">
        <f>6000*0.2</f>
        <v>1200</v>
      </c>
      <c r="J16" s="8" t="s">
        <v>7</v>
      </c>
      <c r="K16" s="8">
        <v>130</v>
      </c>
      <c r="L16" s="8">
        <v>190</v>
      </c>
    </row>
    <row r="17" spans="2:12" ht="15.5" x14ac:dyDescent="0.35">
      <c r="B17" s="1" t="s">
        <v>33</v>
      </c>
      <c r="C17" s="15">
        <v>24.66</v>
      </c>
      <c r="D17" s="13"/>
      <c r="F17" s="5">
        <f>G12</f>
        <v>125</v>
      </c>
      <c r="G17" s="5" t="s">
        <v>32</v>
      </c>
      <c r="H17" s="5">
        <v>400</v>
      </c>
      <c r="J17" s="8" t="s">
        <v>8</v>
      </c>
      <c r="K17" s="8">
        <v>138</v>
      </c>
      <c r="L17" s="8">
        <v>200</v>
      </c>
    </row>
    <row r="18" spans="2:12" ht="15.5" x14ac:dyDescent="0.35">
      <c r="B18" s="1" t="s">
        <v>34</v>
      </c>
      <c r="C18" s="15">
        <v>4.92</v>
      </c>
      <c r="D18" s="13"/>
      <c r="F18" s="5">
        <f>H12</f>
        <v>800</v>
      </c>
      <c r="G18" s="5" t="s">
        <v>32</v>
      </c>
      <c r="H18" s="5">
        <v>800</v>
      </c>
      <c r="J18" s="8" t="s">
        <v>9</v>
      </c>
      <c r="K18" s="8"/>
      <c r="L18" s="8"/>
    </row>
    <row r="19" spans="2:12" ht="15.5" x14ac:dyDescent="0.35">
      <c r="B19" s="2"/>
      <c r="C19" s="15"/>
      <c r="D19" s="13"/>
      <c r="F19" s="5">
        <f>C22</f>
        <v>18690.405132363841</v>
      </c>
      <c r="G19" s="5" t="s">
        <v>32</v>
      </c>
      <c r="H19" s="5">
        <v>22000</v>
      </c>
      <c r="J19" s="9" t="s">
        <v>13</v>
      </c>
      <c r="K19" s="8">
        <v>400</v>
      </c>
      <c r="L19" s="8">
        <v>800</v>
      </c>
    </row>
    <row r="20" spans="2:12" ht="15.5" x14ac:dyDescent="0.35">
      <c r="B20" s="10" t="s">
        <v>39</v>
      </c>
      <c r="C20" s="14">
        <f>(G10*16)+(H10*24)</f>
        <v>119520.00003321789</v>
      </c>
      <c r="D20" s="56">
        <f>C20*C12</f>
        <v>286848.0000797229</v>
      </c>
      <c r="F20" s="5">
        <f>C23</f>
        <v>21000.000483586133</v>
      </c>
      <c r="G20" s="5" t="s">
        <v>32</v>
      </c>
      <c r="H20" s="5">
        <v>21000</v>
      </c>
      <c r="J20" s="9" t="s">
        <v>10</v>
      </c>
      <c r="K20" s="8">
        <v>2500</v>
      </c>
      <c r="L20" s="8">
        <v>3000</v>
      </c>
    </row>
    <row r="21" spans="2:12" ht="16.5" customHeight="1" x14ac:dyDescent="0.35">
      <c r="B21" s="10" t="s">
        <v>40</v>
      </c>
      <c r="C21" s="14">
        <f>(G11*16)+(H11*24)</f>
        <v>3793.9453758663622</v>
      </c>
      <c r="D21" s="56">
        <f>C21*C13</f>
        <v>13658.203353118903</v>
      </c>
      <c r="F21" s="5">
        <f>C20</f>
        <v>119520.00003321789</v>
      </c>
      <c r="G21" s="5" t="s">
        <v>32</v>
      </c>
      <c r="H21" s="5">
        <f>249*480</f>
        <v>119520</v>
      </c>
      <c r="J21" s="8" t="s">
        <v>11</v>
      </c>
      <c r="K21" s="8">
        <v>1</v>
      </c>
      <c r="L21" s="8">
        <v>1</v>
      </c>
    </row>
    <row r="22" spans="2:12" ht="14.5" customHeight="1" x14ac:dyDescent="0.35">
      <c r="B22" s="10" t="s">
        <v>41</v>
      </c>
      <c r="C22" s="14">
        <f>(G10+G11)*2+(H10+H11)*4</f>
        <v>18690.405132363841</v>
      </c>
      <c r="D22" s="56">
        <f>(C22*C17)+(C23*C18)</f>
        <v>564225.39294333605</v>
      </c>
      <c r="F22" s="5">
        <f>C21/0.2</f>
        <v>18969.726879331811</v>
      </c>
      <c r="G22" s="5" t="s">
        <v>32</v>
      </c>
      <c r="H22" s="5">
        <f>H21*0.2</f>
        <v>23904</v>
      </c>
      <c r="J22" s="8" t="s">
        <v>12</v>
      </c>
      <c r="K22" s="8">
        <v>16</v>
      </c>
      <c r="L22" s="8">
        <v>24</v>
      </c>
    </row>
    <row r="23" spans="2:12" ht="15.5" x14ac:dyDescent="0.35">
      <c r="B23" s="10" t="s">
        <v>42</v>
      </c>
      <c r="C23" s="16">
        <f>(G10+G11)*4+(H10+H11)*3</f>
        <v>21000.000483586133</v>
      </c>
      <c r="D23" s="13"/>
      <c r="F23" s="5">
        <f>G4</f>
        <v>2833</v>
      </c>
      <c r="G23" s="5" t="s">
        <v>32</v>
      </c>
      <c r="H23" s="5">
        <f>G4+200</f>
        <v>3033</v>
      </c>
    </row>
    <row r="24" spans="2:12" ht="15.5" x14ac:dyDescent="0.35">
      <c r="B24" s="10" t="s">
        <v>43</v>
      </c>
      <c r="C24" s="15">
        <v>6500</v>
      </c>
      <c r="D24" s="13"/>
      <c r="F24" s="5">
        <f>G4</f>
        <v>2833</v>
      </c>
      <c r="G24" s="5" t="s">
        <v>48</v>
      </c>
      <c r="H24" s="5">
        <f>G4-200</f>
        <v>2633</v>
      </c>
    </row>
    <row r="25" spans="2:12" ht="15.5" x14ac:dyDescent="0.35">
      <c r="B25" s="10" t="s">
        <v>44</v>
      </c>
      <c r="C25" s="17">
        <v>0.2</v>
      </c>
      <c r="D25" s="13"/>
      <c r="F25" s="5">
        <f>H4</f>
        <v>4504</v>
      </c>
      <c r="G25" s="5" t="s">
        <v>32</v>
      </c>
      <c r="H25" s="5">
        <f>H4+200</f>
        <v>4704</v>
      </c>
    </row>
    <row r="26" spans="2:12" ht="15.5" x14ac:dyDescent="0.35">
      <c r="B26" s="10" t="s">
        <v>45</v>
      </c>
      <c r="C26" s="15">
        <v>1100</v>
      </c>
      <c r="D26" s="13"/>
      <c r="F26" s="5">
        <f>H4</f>
        <v>4504</v>
      </c>
      <c r="G26" s="5" t="s">
        <v>48</v>
      </c>
      <c r="H26" s="5">
        <f>H4-200</f>
        <v>4304</v>
      </c>
    </row>
    <row r="27" spans="2:12" x14ac:dyDescent="0.35">
      <c r="B27" s="3"/>
      <c r="C27" s="3"/>
    </row>
    <row r="28" spans="2:12" x14ac:dyDescent="0.35">
      <c r="B28" s="3"/>
      <c r="C28" s="3"/>
    </row>
    <row r="29" spans="2:12" x14ac:dyDescent="0.35">
      <c r="B29" s="3"/>
      <c r="C29" s="3"/>
    </row>
    <row r="30" spans="2:12" x14ac:dyDescent="0.35">
      <c r="B30" s="11" t="s">
        <v>35</v>
      </c>
      <c r="C30" s="11">
        <f>(138*G12)+(200*H12)</f>
        <v>177250</v>
      </c>
    </row>
    <row r="31" spans="2:12" x14ac:dyDescent="0.35">
      <c r="B31" s="11" t="s">
        <v>37</v>
      </c>
      <c r="C31" s="11">
        <f>C8/50</f>
        <v>4.9800000000000004</v>
      </c>
      <c r="D31" s="11">
        <f>C31*2500</f>
        <v>12450.000000000002</v>
      </c>
    </row>
    <row r="32" spans="2:12" x14ac:dyDescent="0.35">
      <c r="B32" s="11" t="s">
        <v>36</v>
      </c>
      <c r="C32" s="11">
        <f>(130*(G10+G11+G12))+(190*(H10+H11+H12))</f>
        <v>1153794.9966676678</v>
      </c>
    </row>
    <row r="34" spans="2:3" x14ac:dyDescent="0.35">
      <c r="B34" s="31" t="s">
        <v>38</v>
      </c>
      <c r="C34" s="55">
        <f>C32-(C30+D20+D21+D22+D31)</f>
        <v>99363.400291489903</v>
      </c>
    </row>
    <row r="1048550" spans="16384:16384" x14ac:dyDescent="0.35">
      <c r="XFD1048550" cm="1">
        <f t="array" ref="XFD1048550">solver_pre</f>
        <v>9.9999999999999995E-7</v>
      </c>
    </row>
    <row r="1048551" spans="16384:16384" x14ac:dyDescent="0.35">
      <c r="XFD1048551" cm="1">
        <f t="array" ref="XFD1048551">solver_scl</f>
        <v>1</v>
      </c>
    </row>
    <row r="1048552" spans="16384:16384" x14ac:dyDescent="0.35">
      <c r="XFD1048552" cm="1">
        <f t="array" ref="XFD1048552">solver_rlx</f>
        <v>2</v>
      </c>
    </row>
    <row r="1048553" spans="16384:16384" x14ac:dyDescent="0.35">
      <c r="XFD1048553" cm="1">
        <f t="array" ref="XFD1048553">solver_tol</f>
        <v>0.01</v>
      </c>
    </row>
    <row r="1048554" spans="16384:16384" x14ac:dyDescent="0.35">
      <c r="XFD1048554" cm="1">
        <f t="array" ref="XFD1048554">solver_cvg</f>
        <v>1E-4</v>
      </c>
    </row>
    <row r="1048555" spans="16384:16384" x14ac:dyDescent="0.35">
      <c r="XFD1048555" t="e" cm="1">
        <f t="array" ref="XFD1048555">AREAS(solver_adj1)</f>
        <v>#NAME?</v>
      </c>
    </row>
    <row r="1048556" spans="16384:16384" x14ac:dyDescent="0.35">
      <c r="XFD1048556" cm="1">
        <f t="array" ref="XFD1048556">solver_ssz</f>
        <v>100</v>
      </c>
    </row>
    <row r="1048557" spans="16384:16384" x14ac:dyDescent="0.35">
      <c r="XFD1048557" cm="1">
        <f t="array" ref="XFD1048557">solver_rsd</f>
        <v>0</v>
      </c>
    </row>
    <row r="1048558" spans="16384:16384" x14ac:dyDescent="0.35">
      <c r="XFD1048558" cm="1">
        <f t="array" ref="XFD1048558">solver_mrt</f>
        <v>7.4999999999999997E-2</v>
      </c>
    </row>
    <row r="1048559" spans="16384:16384" x14ac:dyDescent="0.35">
      <c r="XFD1048559" cm="1">
        <f t="array" ref="XFD1048559">solver_mni</f>
        <v>30</v>
      </c>
    </row>
    <row r="1048560" spans="16384:16384" x14ac:dyDescent="0.35">
      <c r="XFD1048560" cm="1">
        <f t="array" ref="XFD1048560">solver_rbv</f>
        <v>1</v>
      </c>
    </row>
    <row r="1048561" spans="16384:16384" x14ac:dyDescent="0.35">
      <c r="XFD1048561" cm="1">
        <f t="array" ref="XFD1048561">solver_neg</f>
        <v>1</v>
      </c>
    </row>
    <row r="1048562" spans="16384:16384" x14ac:dyDescent="0.35">
      <c r="XFD1048562" t="e" cm="1">
        <f t="array" ref="XFD1048562">solver_ntr</f>
        <v>#NAME?</v>
      </c>
    </row>
    <row r="1048563" spans="16384:16384" x14ac:dyDescent="0.35">
      <c r="XFD1048563" t="e" cm="1">
        <f t="array" ref="XFD1048563">solver_acc</f>
        <v>#NAME?</v>
      </c>
    </row>
    <row r="1048564" spans="16384:16384" x14ac:dyDescent="0.35">
      <c r="XFD1048564" t="e" cm="1">
        <f t="array" ref="XFD1048564">solver_res</f>
        <v>#NAME?</v>
      </c>
    </row>
    <row r="1048565" spans="16384:16384" x14ac:dyDescent="0.35">
      <c r="XFD1048565" t="e" cm="1">
        <f t="array" ref="XFD1048565">solver_ars</f>
        <v>#NAME?</v>
      </c>
    </row>
    <row r="1048566" spans="16384:16384" x14ac:dyDescent="0.35">
      <c r="XFD1048566" t="e" cm="1">
        <f t="array" ref="XFD1048566">solver_sta</f>
        <v>#NAME?</v>
      </c>
    </row>
    <row r="1048567" spans="16384:16384" x14ac:dyDescent="0.35">
      <c r="XFD1048567" t="e" cm="1">
        <f t="array" ref="XFD1048567">solver_met</f>
        <v>#NAME?</v>
      </c>
    </row>
    <row r="1048568" spans="16384:16384" x14ac:dyDescent="0.35">
      <c r="XFD1048568" t="e" cm="1">
        <f t="array" ref="XFD1048568">solver_soc</f>
        <v>#NAME?</v>
      </c>
    </row>
    <row r="1048569" spans="16384:16384" x14ac:dyDescent="0.35">
      <c r="XFD1048569" t="e" cm="1">
        <f t="array" ref="XFD1048569">solver_lpt</f>
        <v>#NAME?</v>
      </c>
    </row>
    <row r="1048570" spans="16384:16384" x14ac:dyDescent="0.35">
      <c r="XFD1048570" t="e" cm="1">
        <f t="array" ref="XFD1048570">solver_lpp</f>
        <v>#NAME?</v>
      </c>
    </row>
    <row r="1048571" spans="16384:16384" x14ac:dyDescent="0.35">
      <c r="XFD1048571" t="e" cm="1">
        <f t="array" ref="XFD1048571">solver_gap</f>
        <v>#NAME?</v>
      </c>
    </row>
    <row r="1048572" spans="16384:16384" x14ac:dyDescent="0.35">
      <c r="XFD1048572" t="e" cm="1">
        <f t="array" ref="XFD1048572">solver_ips</f>
        <v>#NAME?</v>
      </c>
    </row>
    <row r="1048573" spans="16384:16384" x14ac:dyDescent="0.35">
      <c r="XFD1048573" t="e" cm="1">
        <f t="array" ref="XFD1048573">solver_fea</f>
        <v>#NAME?</v>
      </c>
    </row>
    <row r="1048574" spans="16384:16384" x14ac:dyDescent="0.35">
      <c r="XFD1048574" t="e" cm="1">
        <f t="array" ref="XFD1048574">solver_ipi</f>
        <v>#NAME?</v>
      </c>
    </row>
    <row r="1048575" spans="16384:16384" x14ac:dyDescent="0.35">
      <c r="XFD1048575" t="e" cm="1">
        <f t="array" ref="XFD1048575">solver_ipd</f>
        <v>#NAME?</v>
      </c>
    </row>
  </sheetData>
  <mergeCells count="1">
    <mergeCell ref="F14:H14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C9B4C49-1167-4D1E-8D37-239E00B447BA}">
          <xm:f>#REF!</xm:f>
        </x15:webExtension>
        <x15:webExtension appRef="{F96EFE9C-5DA4-4237-B60B-91242709B0A0}">
          <xm:f>Production!1:1048576</xm:f>
        </x15:webExtension>
        <x15:webExtension appRef="{F7088017-1959-4DC6-AF88-737D04CFB1A2}">
          <xm:f>Production!XFD1048550:XFD1048575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212F-941A-4630-9442-BB3B87327CC9}">
  <dimension ref="A2:N29"/>
  <sheetViews>
    <sheetView zoomScale="68" zoomScaleNormal="68" workbookViewId="0">
      <selection activeCell="E21" sqref="E21"/>
    </sheetView>
  </sheetViews>
  <sheetFormatPr defaultRowHeight="14.5" x14ac:dyDescent="0.35"/>
  <cols>
    <col min="1" max="1" width="18.7265625" customWidth="1"/>
    <col min="2" max="2" width="18.81640625" customWidth="1"/>
    <col min="3" max="3" width="16.90625" customWidth="1"/>
    <col min="4" max="4" width="15.26953125" customWidth="1"/>
    <col min="5" max="5" width="14.6328125" customWidth="1"/>
    <col min="6" max="6" width="13.81640625" customWidth="1"/>
    <col min="7" max="7" width="13.453125" customWidth="1"/>
    <col min="8" max="8" width="14.1796875" customWidth="1"/>
    <col min="9" max="9" width="12.81640625" customWidth="1"/>
    <col min="10" max="10" width="12.7265625" customWidth="1"/>
    <col min="11" max="11" width="12.08984375" customWidth="1"/>
    <col min="12" max="12" width="11.1796875" customWidth="1"/>
    <col min="13" max="13" width="11.90625" customWidth="1"/>
    <col min="14" max="14" width="12.36328125" customWidth="1"/>
  </cols>
  <sheetData>
    <row r="2" spans="1:11" x14ac:dyDescent="0.35">
      <c r="B2" s="26" t="s">
        <v>78</v>
      </c>
      <c r="C2" s="26" t="s">
        <v>50</v>
      </c>
      <c r="D2" s="26" t="s">
        <v>51</v>
      </c>
    </row>
    <row r="3" spans="1:11" x14ac:dyDescent="0.35">
      <c r="B3" s="26" t="s">
        <v>49</v>
      </c>
      <c r="C3" s="3">
        <v>22000</v>
      </c>
      <c r="D3" s="3">
        <v>21000</v>
      </c>
      <c r="G3" s="28"/>
      <c r="H3" s="28" t="s">
        <v>28</v>
      </c>
      <c r="I3" s="28"/>
      <c r="J3" s="60" t="s">
        <v>56</v>
      </c>
      <c r="K3" s="60"/>
    </row>
    <row r="4" spans="1:11" x14ac:dyDescent="0.35">
      <c r="A4" s="61" t="s">
        <v>58</v>
      </c>
      <c r="B4" s="26" t="s">
        <v>55</v>
      </c>
      <c r="C4" s="7">
        <v>18</v>
      </c>
      <c r="D4" s="7">
        <v>3.6</v>
      </c>
      <c r="G4" s="28" t="s">
        <v>14</v>
      </c>
      <c r="H4" s="28" t="s">
        <v>1</v>
      </c>
      <c r="I4" s="28" t="s">
        <v>2</v>
      </c>
      <c r="J4" s="6" t="s">
        <v>50</v>
      </c>
      <c r="K4" s="6" t="s">
        <v>51</v>
      </c>
    </row>
    <row r="5" spans="1:11" x14ac:dyDescent="0.35">
      <c r="A5" s="61"/>
      <c r="B5" s="26" t="s">
        <v>53</v>
      </c>
      <c r="C5" s="7">
        <v>24000</v>
      </c>
      <c r="D5" s="7">
        <v>1500</v>
      </c>
      <c r="G5" s="3">
        <v>17</v>
      </c>
      <c r="H5" s="3">
        <v>2833</v>
      </c>
      <c r="I5" s="3">
        <v>4504</v>
      </c>
      <c r="J5" s="31">
        <f>2*H5+4*I5</f>
        <v>23682</v>
      </c>
      <c r="K5" s="31">
        <f>4*H5+3*I5</f>
        <v>24844</v>
      </c>
    </row>
    <row r="6" spans="1:11" x14ac:dyDescent="0.35">
      <c r="A6" s="61" t="s">
        <v>59</v>
      </c>
      <c r="B6" s="26" t="s">
        <v>55</v>
      </c>
      <c r="C6" s="7">
        <v>24.66</v>
      </c>
      <c r="D6" s="7">
        <v>4.92</v>
      </c>
      <c r="G6" s="3">
        <v>18</v>
      </c>
      <c r="H6" s="3">
        <v>2803</v>
      </c>
      <c r="I6" s="3">
        <v>4556</v>
      </c>
      <c r="J6" s="3">
        <f>2*H6+4*I6</f>
        <v>23830</v>
      </c>
      <c r="K6" s="3">
        <f t="shared" ref="K6" si="0">4*H6+3*I6</f>
        <v>24880</v>
      </c>
    </row>
    <row r="7" spans="1:11" x14ac:dyDescent="0.35">
      <c r="A7" s="61"/>
      <c r="B7" s="26" t="s">
        <v>53</v>
      </c>
      <c r="C7" s="7">
        <v>40000</v>
      </c>
      <c r="D7" s="7">
        <v>0</v>
      </c>
      <c r="K7" s="3"/>
    </row>
    <row r="8" spans="1:11" x14ac:dyDescent="0.35">
      <c r="B8" s="26" t="s">
        <v>54</v>
      </c>
      <c r="C8" s="7">
        <v>0.33</v>
      </c>
      <c r="D8" s="7">
        <v>1</v>
      </c>
    </row>
    <row r="9" spans="1:11" x14ac:dyDescent="0.35">
      <c r="B9" s="26" t="s">
        <v>61</v>
      </c>
      <c r="C9" s="65">
        <v>0.06</v>
      </c>
      <c r="D9" s="66"/>
    </row>
    <row r="11" spans="1:11" x14ac:dyDescent="0.35">
      <c r="B11" s="26" t="s">
        <v>57</v>
      </c>
      <c r="C11" s="7">
        <f>C4*C3</f>
        <v>396000</v>
      </c>
      <c r="D11" s="7">
        <f>D4*D3</f>
        <v>75600</v>
      </c>
    </row>
    <row r="12" spans="1:11" x14ac:dyDescent="0.35">
      <c r="B12" s="26" t="s">
        <v>60</v>
      </c>
      <c r="C12" s="7">
        <f>C28</f>
        <v>3630</v>
      </c>
      <c r="D12" s="7">
        <f>C29</f>
        <v>10500</v>
      </c>
    </row>
    <row r="13" spans="1:11" x14ac:dyDescent="0.35">
      <c r="B13" s="26" t="s">
        <v>52</v>
      </c>
      <c r="C13" s="7">
        <f>M28</f>
        <v>96000</v>
      </c>
      <c r="D13" s="7">
        <f>M29</f>
        <v>6000</v>
      </c>
    </row>
    <row r="14" spans="1:11" x14ac:dyDescent="0.35">
      <c r="B14" s="26" t="s">
        <v>62</v>
      </c>
      <c r="C14" s="7">
        <f>SUM(C11:C13)</f>
        <v>495630</v>
      </c>
      <c r="D14" s="7">
        <f>SUM(D11:D13)</f>
        <v>92100</v>
      </c>
      <c r="G14" s="31" t="s">
        <v>68</v>
      </c>
      <c r="H14" s="29" t="s">
        <v>66</v>
      </c>
      <c r="I14" s="29" t="s">
        <v>67</v>
      </c>
    </row>
    <row r="15" spans="1:11" x14ac:dyDescent="0.35">
      <c r="G15" s="31" t="s">
        <v>50</v>
      </c>
      <c r="H15" s="7">
        <f>SQRT(2*J5*C5/C8)</f>
        <v>58691.179451895034</v>
      </c>
      <c r="I15" s="7">
        <f>J5/H15</f>
        <v>0.4035018587317783</v>
      </c>
    </row>
    <row r="16" spans="1:11" x14ac:dyDescent="0.35">
      <c r="G16" s="31" t="s">
        <v>51</v>
      </c>
      <c r="H16" s="7">
        <f>SQRT(2*K5*D5/D8)</f>
        <v>8633.1917620310051</v>
      </c>
      <c r="I16" s="7">
        <f>K5/H16</f>
        <v>2.877730587343668</v>
      </c>
    </row>
    <row r="17" spans="1:14" x14ac:dyDescent="0.35">
      <c r="B17" s="26" t="s">
        <v>89</v>
      </c>
      <c r="C17" s="22">
        <v>6500</v>
      </c>
      <c r="D17" s="21"/>
    </row>
    <row r="18" spans="1:14" x14ac:dyDescent="0.35">
      <c r="B18" s="26" t="s">
        <v>65</v>
      </c>
      <c r="C18" s="22">
        <f>SUM(C11:D11)</f>
        <v>471600</v>
      </c>
      <c r="D18" s="21"/>
    </row>
    <row r="19" spans="1:14" x14ac:dyDescent="0.35">
      <c r="B19" s="26" t="s">
        <v>64</v>
      </c>
      <c r="C19" s="22">
        <f>(I15*C5)+(I16*D5)</f>
        <v>14000.640490578182</v>
      </c>
      <c r="D19" s="21"/>
    </row>
    <row r="20" spans="1:14" x14ac:dyDescent="0.35">
      <c r="B20" s="26" t="s">
        <v>54</v>
      </c>
      <c r="C20" s="22">
        <f>(C3/2/I15+C3*C9)*C8+(D3/2/I16+D3*C9)*D8</f>
        <v>14340.549567469487</v>
      </c>
      <c r="D20" s="21"/>
    </row>
    <row r="21" spans="1:14" x14ac:dyDescent="0.35">
      <c r="A21" s="71" t="s">
        <v>80</v>
      </c>
      <c r="B21" s="24" t="s">
        <v>77</v>
      </c>
      <c r="C21" s="25">
        <f>SUM(C17:C20)</f>
        <v>506441.19005804771</v>
      </c>
    </row>
    <row r="22" spans="1:14" x14ac:dyDescent="0.35">
      <c r="A22" s="71"/>
      <c r="B22" s="24" t="s">
        <v>79</v>
      </c>
      <c r="C22" s="25">
        <f>(C3*C6)+(D3*D6)</f>
        <v>645840</v>
      </c>
    </row>
    <row r="24" spans="1:14" x14ac:dyDescent="0.35">
      <c r="A24" s="72" t="s">
        <v>81</v>
      </c>
      <c r="B24" s="72"/>
      <c r="C24" s="23">
        <f>C22-C21</f>
        <v>139398.80994195229</v>
      </c>
    </row>
    <row r="26" spans="1:14" x14ac:dyDescent="0.35">
      <c r="A26" s="67" t="s">
        <v>78</v>
      </c>
      <c r="B26" s="69" t="s">
        <v>69</v>
      </c>
      <c r="C26" s="62" t="s">
        <v>70</v>
      </c>
      <c r="D26" s="63"/>
      <c r="E26" s="64"/>
      <c r="F26" s="62" t="s">
        <v>71</v>
      </c>
      <c r="G26" s="63"/>
      <c r="H26" s="64"/>
      <c r="I26" s="62" t="s">
        <v>72</v>
      </c>
      <c r="J26" s="63"/>
      <c r="K26" s="64"/>
      <c r="L26" s="62" t="s">
        <v>73</v>
      </c>
      <c r="M26" s="63"/>
      <c r="N26" s="64"/>
    </row>
    <row r="27" spans="1:14" ht="15.5" x14ac:dyDescent="0.35">
      <c r="A27" s="68"/>
      <c r="B27" s="70"/>
      <c r="C27" s="20" t="s">
        <v>74</v>
      </c>
      <c r="D27" s="20" t="s">
        <v>75</v>
      </c>
      <c r="E27" s="20" t="s">
        <v>76</v>
      </c>
      <c r="F27" s="19" t="s">
        <v>74</v>
      </c>
      <c r="G27" s="19" t="s">
        <v>75</v>
      </c>
      <c r="H27" s="19" t="s">
        <v>76</v>
      </c>
      <c r="I27" s="20" t="s">
        <v>74</v>
      </c>
      <c r="J27" s="20" t="s">
        <v>75</v>
      </c>
      <c r="K27" s="20" t="s">
        <v>76</v>
      </c>
      <c r="L27" s="19" t="s">
        <v>74</v>
      </c>
      <c r="M27" s="19" t="s">
        <v>75</v>
      </c>
      <c r="N27" s="19" t="s">
        <v>76</v>
      </c>
    </row>
    <row r="28" spans="1:14" x14ac:dyDescent="0.35">
      <c r="A28" s="27" t="s">
        <v>50</v>
      </c>
      <c r="B28" s="3">
        <v>22000</v>
      </c>
      <c r="C28" s="7">
        <f>(B28/2)*C8</f>
        <v>3630</v>
      </c>
      <c r="D28" s="7">
        <f>C5</f>
        <v>24000</v>
      </c>
      <c r="E28" s="7">
        <f>C28+D28</f>
        <v>27630</v>
      </c>
      <c r="F28" s="7">
        <f>((B28/2)/2)*C8</f>
        <v>1815</v>
      </c>
      <c r="G28" s="7">
        <f>C5*2</f>
        <v>48000</v>
      </c>
      <c r="H28" s="7">
        <f>F28+G28</f>
        <v>49815</v>
      </c>
      <c r="I28" s="7">
        <f>((B28/3)/2)*C8</f>
        <v>1210</v>
      </c>
      <c r="J28" s="7">
        <f>C5*3</f>
        <v>72000</v>
      </c>
      <c r="K28" s="7">
        <f>I28+J28</f>
        <v>73210</v>
      </c>
      <c r="L28" s="7">
        <f>((B28/4)/2)*C8</f>
        <v>907.5</v>
      </c>
      <c r="M28" s="7">
        <f>C5*4</f>
        <v>96000</v>
      </c>
      <c r="N28" s="7">
        <f>L28+M28</f>
        <v>96907.5</v>
      </c>
    </row>
    <row r="29" spans="1:14" x14ac:dyDescent="0.35">
      <c r="A29" s="27" t="s">
        <v>51</v>
      </c>
      <c r="B29" s="3">
        <v>21000</v>
      </c>
      <c r="C29" s="7">
        <f>(B29/2)*D8</f>
        <v>10500</v>
      </c>
      <c r="D29" s="7">
        <f>D5</f>
        <v>1500</v>
      </c>
      <c r="E29" s="7">
        <f>C29+D29</f>
        <v>12000</v>
      </c>
      <c r="F29" s="7">
        <f>((B29/2)/2)*D8</f>
        <v>5250</v>
      </c>
      <c r="G29" s="7">
        <f>D5*2</f>
        <v>3000</v>
      </c>
      <c r="H29" s="7">
        <f>F29+G29</f>
        <v>8250</v>
      </c>
      <c r="I29" s="7">
        <f>((B29/3)/2)*D8</f>
        <v>3500</v>
      </c>
      <c r="J29" s="7">
        <f>D5*3</f>
        <v>4500</v>
      </c>
      <c r="K29" s="7">
        <f>I29+J29</f>
        <v>8000</v>
      </c>
      <c r="L29" s="7">
        <f>((B29/4)/2*D8)</f>
        <v>2625</v>
      </c>
      <c r="M29" s="7">
        <f>D5*4</f>
        <v>6000</v>
      </c>
      <c r="N29" s="7">
        <f>L29+M29</f>
        <v>8625</v>
      </c>
    </row>
  </sheetData>
  <mergeCells count="12">
    <mergeCell ref="J3:K3"/>
    <mergeCell ref="A4:A5"/>
    <mergeCell ref="A6:A7"/>
    <mergeCell ref="L26:N26"/>
    <mergeCell ref="C9:D9"/>
    <mergeCell ref="A26:A27"/>
    <mergeCell ref="B26:B27"/>
    <mergeCell ref="A21:A22"/>
    <mergeCell ref="A24:B24"/>
    <mergeCell ref="F26:H26"/>
    <mergeCell ref="C26:E26"/>
    <mergeCell ref="I26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7EB9-DD9C-4A0A-8DAB-37003C5E5A06}">
  <dimension ref="B2:O30"/>
  <sheetViews>
    <sheetView zoomScale="54" zoomScaleNormal="54" workbookViewId="0">
      <selection activeCell="F26" sqref="F26"/>
    </sheetView>
  </sheetViews>
  <sheetFormatPr defaultRowHeight="14.5" x14ac:dyDescent="0.35"/>
  <cols>
    <col min="2" max="2" width="18.7265625" customWidth="1"/>
    <col min="3" max="3" width="8.6328125" customWidth="1"/>
    <col min="4" max="4" width="10.90625" customWidth="1"/>
    <col min="7" max="7" width="12" customWidth="1"/>
    <col min="8" max="8" width="11.26953125" customWidth="1"/>
  </cols>
  <sheetData>
    <row r="2" spans="2:15" x14ac:dyDescent="0.35">
      <c r="B2" s="45" t="s">
        <v>90</v>
      </c>
      <c r="C2" s="45" t="s">
        <v>1</v>
      </c>
      <c r="D2" s="45" t="s">
        <v>2</v>
      </c>
      <c r="G2" s="45" t="s">
        <v>82</v>
      </c>
      <c r="H2" s="75" t="s">
        <v>83</v>
      </c>
      <c r="I2" s="76"/>
      <c r="J2" s="47" t="s">
        <v>84</v>
      </c>
      <c r="K2" s="48"/>
      <c r="L2" s="46" t="s">
        <v>85</v>
      </c>
      <c r="M2" s="48"/>
      <c r="N2" s="46" t="s">
        <v>0</v>
      </c>
      <c r="O2" s="48"/>
    </row>
    <row r="3" spans="2:15" ht="29" x14ac:dyDescent="0.35">
      <c r="B3" s="32" t="s">
        <v>92</v>
      </c>
      <c r="C3" s="3">
        <v>5</v>
      </c>
      <c r="D3" s="3">
        <v>8</v>
      </c>
      <c r="G3" s="45"/>
      <c r="H3" s="45" t="s">
        <v>1</v>
      </c>
      <c r="I3" s="45" t="s">
        <v>2</v>
      </c>
      <c r="J3" s="45" t="s">
        <v>1</v>
      </c>
      <c r="K3" s="45" t="s">
        <v>2</v>
      </c>
      <c r="L3" s="45" t="s">
        <v>1</v>
      </c>
      <c r="M3" s="45" t="s">
        <v>2</v>
      </c>
      <c r="N3" s="45" t="s">
        <v>1</v>
      </c>
      <c r="O3" s="45" t="s">
        <v>2</v>
      </c>
    </row>
    <row r="4" spans="2:15" x14ac:dyDescent="0.35">
      <c r="B4" s="26" t="s">
        <v>63</v>
      </c>
      <c r="C4" s="80">
        <v>50000</v>
      </c>
      <c r="D4" s="66"/>
      <c r="G4" s="45">
        <v>1</v>
      </c>
      <c r="H4" s="30">
        <v>163</v>
      </c>
      <c r="I4" s="30">
        <v>211</v>
      </c>
      <c r="J4" s="30">
        <v>10660</v>
      </c>
      <c r="K4" s="30">
        <v>17056</v>
      </c>
      <c r="L4" s="30">
        <v>3000</v>
      </c>
      <c r="M4" s="30">
        <v>3000</v>
      </c>
      <c r="N4" s="30">
        <v>1859</v>
      </c>
      <c r="O4" s="30">
        <v>3949</v>
      </c>
    </row>
    <row r="5" spans="2:15" x14ac:dyDescent="0.35">
      <c r="B5" s="26" t="s">
        <v>93</v>
      </c>
      <c r="C5" s="80">
        <v>6000</v>
      </c>
      <c r="D5" s="66"/>
      <c r="G5" s="45">
        <v>2</v>
      </c>
      <c r="H5" s="30">
        <v>164</v>
      </c>
      <c r="I5" s="30">
        <v>212</v>
      </c>
      <c r="J5" s="30">
        <v>11364</v>
      </c>
      <c r="K5" s="30">
        <v>18182</v>
      </c>
      <c r="L5" s="30">
        <v>3000</v>
      </c>
      <c r="M5" s="30">
        <v>3000</v>
      </c>
      <c r="N5" s="30">
        <v>1903</v>
      </c>
      <c r="O5" s="30">
        <v>3473</v>
      </c>
    </row>
    <row r="6" spans="2:15" x14ac:dyDescent="0.35">
      <c r="B6" s="26" t="s">
        <v>94</v>
      </c>
      <c r="C6" s="65">
        <v>0.06</v>
      </c>
      <c r="D6" s="81"/>
      <c r="G6" s="45">
        <v>3</v>
      </c>
      <c r="H6" s="30">
        <v>164</v>
      </c>
      <c r="I6" s="30">
        <v>213</v>
      </c>
      <c r="J6" s="30">
        <v>12114</v>
      </c>
      <c r="K6" s="30">
        <v>19382</v>
      </c>
      <c r="L6" s="30">
        <v>3000</v>
      </c>
      <c r="M6" s="30">
        <v>3000</v>
      </c>
      <c r="N6" s="30">
        <v>2217</v>
      </c>
      <c r="O6" s="30">
        <v>3938</v>
      </c>
    </row>
    <row r="7" spans="2:15" x14ac:dyDescent="0.35">
      <c r="G7" s="45">
        <v>4</v>
      </c>
      <c r="H7" s="30">
        <v>165</v>
      </c>
      <c r="I7" s="30">
        <v>214</v>
      </c>
      <c r="J7" s="30">
        <v>12913</v>
      </c>
      <c r="K7" s="30">
        <v>20661</v>
      </c>
      <c r="L7" s="30">
        <v>3000</v>
      </c>
      <c r="M7" s="30">
        <v>3000</v>
      </c>
      <c r="N7" s="30">
        <v>2420</v>
      </c>
      <c r="O7" s="30">
        <v>4380</v>
      </c>
    </row>
    <row r="8" spans="2:15" x14ac:dyDescent="0.35">
      <c r="G8" s="45">
        <v>5</v>
      </c>
      <c r="H8" s="30">
        <v>166</v>
      </c>
      <c r="I8" s="30">
        <v>215</v>
      </c>
      <c r="J8" s="30">
        <v>13500</v>
      </c>
      <c r="K8" s="30">
        <v>22000</v>
      </c>
      <c r="L8" s="30">
        <v>3000</v>
      </c>
      <c r="M8" s="30">
        <v>3000</v>
      </c>
      <c r="N8" s="30">
        <v>2005</v>
      </c>
      <c r="O8" s="30">
        <v>4182</v>
      </c>
    </row>
    <row r="9" spans="2:15" x14ac:dyDescent="0.35">
      <c r="B9" s="51" t="s">
        <v>95</v>
      </c>
      <c r="C9" s="45" t="s">
        <v>1</v>
      </c>
      <c r="D9" s="45" t="s">
        <v>2</v>
      </c>
      <c r="G9" s="45">
        <v>6</v>
      </c>
      <c r="H9" s="30">
        <v>167</v>
      </c>
      <c r="I9" s="30">
        <v>215</v>
      </c>
      <c r="J9" s="30">
        <v>14200</v>
      </c>
      <c r="K9" s="30">
        <v>24000</v>
      </c>
      <c r="L9" s="30">
        <v>3000</v>
      </c>
      <c r="M9" s="30">
        <v>3000</v>
      </c>
      <c r="N9" s="30">
        <v>2053</v>
      </c>
      <c r="O9" s="30">
        <v>3707</v>
      </c>
    </row>
    <row r="10" spans="2:15" ht="14.5" customHeight="1" x14ac:dyDescent="0.35">
      <c r="B10" s="26" t="s">
        <v>83</v>
      </c>
      <c r="C10" s="50">
        <f>H20</f>
        <v>184.02940000000001</v>
      </c>
      <c r="D10" s="3">
        <f>I20</f>
        <v>228.2492</v>
      </c>
      <c r="G10" s="45">
        <v>7</v>
      </c>
      <c r="H10" s="30">
        <v>167</v>
      </c>
      <c r="I10" s="30">
        <v>215</v>
      </c>
      <c r="J10" s="30">
        <v>15000</v>
      </c>
      <c r="K10" s="30">
        <v>26000</v>
      </c>
      <c r="L10" s="30">
        <v>3000</v>
      </c>
      <c r="M10" s="30">
        <v>3000</v>
      </c>
      <c r="N10" s="30">
        <v>2659</v>
      </c>
      <c r="O10" s="30">
        <v>4245</v>
      </c>
    </row>
    <row r="11" spans="2:15" x14ac:dyDescent="0.35">
      <c r="B11" s="26" t="s">
        <v>98</v>
      </c>
      <c r="C11" s="50">
        <f>J20</f>
        <v>24664.43</v>
      </c>
      <c r="D11" s="3">
        <f>K20</f>
        <v>36738.199999999997</v>
      </c>
      <c r="G11" s="45">
        <v>8</v>
      </c>
      <c r="H11" s="30">
        <v>167</v>
      </c>
      <c r="I11" s="30">
        <v>215</v>
      </c>
      <c r="J11" s="30">
        <v>15000</v>
      </c>
      <c r="K11" s="30">
        <v>28000</v>
      </c>
      <c r="L11" s="30">
        <v>3000</v>
      </c>
      <c r="M11" s="30">
        <v>3000</v>
      </c>
      <c r="N11" s="30">
        <v>2676</v>
      </c>
      <c r="O11" s="30">
        <v>4850</v>
      </c>
    </row>
    <row r="12" spans="2:15" x14ac:dyDescent="0.35">
      <c r="B12" s="26" t="s">
        <v>91</v>
      </c>
      <c r="C12" s="3">
        <f>L20</f>
        <v>3000</v>
      </c>
      <c r="D12" s="3">
        <f>M20</f>
        <v>3000</v>
      </c>
      <c r="G12" s="45">
        <v>9</v>
      </c>
      <c r="H12" s="30">
        <v>167</v>
      </c>
      <c r="I12" s="30">
        <v>215</v>
      </c>
      <c r="J12" s="30">
        <v>15000</v>
      </c>
      <c r="K12" s="30">
        <v>33000</v>
      </c>
      <c r="L12" s="30">
        <v>3000</v>
      </c>
      <c r="M12" s="30">
        <v>3000</v>
      </c>
      <c r="N12" s="30">
        <v>2617</v>
      </c>
      <c r="O12" s="30">
        <v>4528</v>
      </c>
    </row>
    <row r="13" spans="2:15" x14ac:dyDescent="0.35">
      <c r="B13" s="26" t="s">
        <v>96</v>
      </c>
      <c r="C13" s="3">
        <f>N20</f>
        <v>2803</v>
      </c>
      <c r="D13" s="3">
        <f>O20</f>
        <v>4505</v>
      </c>
      <c r="G13" s="45">
        <v>10</v>
      </c>
      <c r="H13" s="30">
        <v>175</v>
      </c>
      <c r="I13" s="30">
        <v>225</v>
      </c>
      <c r="J13" s="30">
        <v>18000</v>
      </c>
      <c r="K13" s="30">
        <v>32000</v>
      </c>
      <c r="L13" s="30">
        <v>3000</v>
      </c>
      <c r="M13" s="30">
        <v>3000</v>
      </c>
      <c r="N13" s="30">
        <v>2174</v>
      </c>
      <c r="O13" s="30">
        <v>3145</v>
      </c>
    </row>
    <row r="14" spans="2:15" x14ac:dyDescent="0.35">
      <c r="G14" s="45">
        <v>11</v>
      </c>
      <c r="H14" s="30">
        <v>175</v>
      </c>
      <c r="I14" s="30">
        <v>225</v>
      </c>
      <c r="J14" s="30">
        <v>18000</v>
      </c>
      <c r="K14" s="30">
        <v>32000</v>
      </c>
      <c r="L14" s="30">
        <v>3000</v>
      </c>
      <c r="M14" s="30">
        <v>3000</v>
      </c>
      <c r="N14" s="30">
        <v>2430</v>
      </c>
      <c r="O14" s="30">
        <v>4102</v>
      </c>
    </row>
    <row r="15" spans="2:15" ht="15" customHeight="1" x14ac:dyDescent="0.35">
      <c r="B15" s="26" t="s">
        <v>103</v>
      </c>
      <c r="C15" s="53" t="s">
        <v>1</v>
      </c>
      <c r="D15" s="53" t="s">
        <v>2</v>
      </c>
      <c r="G15" s="45">
        <v>12</v>
      </c>
      <c r="H15" s="30">
        <v>175</v>
      </c>
      <c r="I15" s="30">
        <v>225</v>
      </c>
      <c r="J15" s="30">
        <v>18000</v>
      </c>
      <c r="K15" s="30">
        <v>32000</v>
      </c>
      <c r="L15" s="30">
        <v>3000</v>
      </c>
      <c r="M15" s="30">
        <v>3000</v>
      </c>
      <c r="N15" s="30">
        <v>2739</v>
      </c>
      <c r="O15" s="30">
        <v>4753</v>
      </c>
    </row>
    <row r="16" spans="2:15" ht="17.5" customHeight="1" x14ac:dyDescent="0.35">
      <c r="B16" s="26" t="s">
        <v>98</v>
      </c>
      <c r="C16" s="3">
        <f>J21</f>
        <v>291415.43</v>
      </c>
      <c r="D16" s="3">
        <f>K21</f>
        <v>469019.2</v>
      </c>
      <c r="E16" s="31">
        <f>SUM(C16:D16)</f>
        <v>760434.63</v>
      </c>
      <c r="G16" s="45">
        <v>13</v>
      </c>
      <c r="H16" s="30">
        <v>175</v>
      </c>
      <c r="I16" s="30">
        <v>225</v>
      </c>
      <c r="J16" s="30">
        <v>18000</v>
      </c>
      <c r="K16" s="30">
        <v>32000</v>
      </c>
      <c r="L16" s="30">
        <v>3000</v>
      </c>
      <c r="M16" s="30">
        <v>3000</v>
      </c>
      <c r="N16" s="30">
        <v>2754</v>
      </c>
      <c r="O16" s="30">
        <v>4440</v>
      </c>
    </row>
    <row r="17" spans="2:15" x14ac:dyDescent="0.35">
      <c r="B17" s="26" t="s">
        <v>91</v>
      </c>
      <c r="C17" s="3">
        <f>L21</f>
        <v>48000</v>
      </c>
      <c r="D17" s="3">
        <f>M21</f>
        <v>48000</v>
      </c>
      <c r="E17" s="31">
        <f>SUM(C17:D17)</f>
        <v>96000</v>
      </c>
      <c r="G17" s="45">
        <v>14</v>
      </c>
      <c r="H17" s="30">
        <v>184</v>
      </c>
      <c r="I17" s="30">
        <v>225</v>
      </c>
      <c r="J17" s="30">
        <v>25000</v>
      </c>
      <c r="K17" s="30">
        <v>32000</v>
      </c>
      <c r="L17" s="30">
        <v>3000</v>
      </c>
      <c r="M17" s="30">
        <v>3000</v>
      </c>
      <c r="N17" s="30">
        <v>2364</v>
      </c>
      <c r="O17" s="30">
        <v>3504</v>
      </c>
    </row>
    <row r="18" spans="2:15" x14ac:dyDescent="0.35">
      <c r="C18" s="74"/>
      <c r="D18" s="74"/>
      <c r="G18" s="45">
        <v>15</v>
      </c>
      <c r="H18" s="30">
        <v>184</v>
      </c>
      <c r="I18" s="30">
        <v>225</v>
      </c>
      <c r="J18" s="30">
        <v>25000</v>
      </c>
      <c r="K18" s="30">
        <v>32000</v>
      </c>
      <c r="L18" s="30">
        <v>3000</v>
      </c>
      <c r="M18" s="30">
        <v>3000</v>
      </c>
      <c r="N18" s="30">
        <v>2607</v>
      </c>
      <c r="O18" s="30">
        <v>4557</v>
      </c>
    </row>
    <row r="19" spans="2:15" x14ac:dyDescent="0.35">
      <c r="C19" s="74"/>
      <c r="D19" s="74"/>
      <c r="G19" s="45">
        <v>16</v>
      </c>
      <c r="H19" s="30">
        <v>184</v>
      </c>
      <c r="I19" s="30">
        <v>225</v>
      </c>
      <c r="J19" s="30">
        <v>25000</v>
      </c>
      <c r="K19" s="30">
        <v>32000</v>
      </c>
      <c r="L19" s="30" t="s">
        <v>86</v>
      </c>
      <c r="M19" s="30" t="s">
        <v>87</v>
      </c>
      <c r="N19" s="30" t="s">
        <v>88</v>
      </c>
      <c r="O19" s="30">
        <v>4933</v>
      </c>
    </row>
    <row r="20" spans="2:15" x14ac:dyDescent="0.35">
      <c r="B20" s="26"/>
      <c r="C20" s="26" t="s">
        <v>1</v>
      </c>
      <c r="D20" s="26" t="s">
        <v>2</v>
      </c>
      <c r="G20" s="45">
        <v>17</v>
      </c>
      <c r="H20" s="49">
        <v>184.02940000000001</v>
      </c>
      <c r="I20" s="49">
        <v>228.2492</v>
      </c>
      <c r="J20" s="49">
        <v>24664.43</v>
      </c>
      <c r="K20" s="49">
        <v>36738.199999999997</v>
      </c>
      <c r="L20" s="49">
        <v>3000</v>
      </c>
      <c r="M20" s="49">
        <v>3000</v>
      </c>
      <c r="N20" s="49">
        <v>2803</v>
      </c>
      <c r="O20" s="49">
        <v>4505</v>
      </c>
    </row>
    <row r="21" spans="2:15" x14ac:dyDescent="0.35">
      <c r="B21" s="26" t="s">
        <v>99</v>
      </c>
      <c r="C21" s="3">
        <f>C13*C10</f>
        <v>515834.40820000001</v>
      </c>
      <c r="D21" s="3">
        <f>D13*D10</f>
        <v>1028262.6460000001</v>
      </c>
      <c r="E21" s="31">
        <f>SUM(C21:D21)</f>
        <v>1544097.0542000001</v>
      </c>
      <c r="G21" s="52" t="s">
        <v>97</v>
      </c>
      <c r="H21" s="3"/>
      <c r="I21" s="3"/>
      <c r="J21" s="27">
        <f>SUMPRODUCT(J4:J20)</f>
        <v>291415.43</v>
      </c>
      <c r="K21" s="27">
        <f>SUMPRODUCT(K4:K20)</f>
        <v>469019.2</v>
      </c>
      <c r="L21" s="27">
        <f>SUMPRODUCT(L4:L20)</f>
        <v>48000</v>
      </c>
      <c r="M21" s="27">
        <f>SUMPRODUCT(M4:M20)</f>
        <v>48000</v>
      </c>
      <c r="N21" s="3"/>
      <c r="O21" s="3"/>
    </row>
    <row r="22" spans="2:15" x14ac:dyDescent="0.35">
      <c r="B22" s="26" t="s">
        <v>100</v>
      </c>
      <c r="C22" s="3">
        <f>C3+(C6*C10)*C13</f>
        <v>30955.064492000001</v>
      </c>
      <c r="D22" s="3">
        <f>D3+(C6*D10)*D13</f>
        <v>61703.758759999997</v>
      </c>
      <c r="E22" s="31">
        <f>SUM(C22:D22)</f>
        <v>92658.823252000002</v>
      </c>
    </row>
    <row r="23" spans="2:15" x14ac:dyDescent="0.35">
      <c r="B23" s="26" t="s">
        <v>101</v>
      </c>
      <c r="C23" s="3">
        <f>C11+C12</f>
        <v>27664.43</v>
      </c>
      <c r="D23" s="3">
        <f>D11+D12</f>
        <v>39738.199999999997</v>
      </c>
      <c r="E23" s="31">
        <f>SUM(C23:D23)</f>
        <v>67402.63</v>
      </c>
    </row>
    <row r="24" spans="2:15" x14ac:dyDescent="0.35">
      <c r="B24" s="26" t="s">
        <v>63</v>
      </c>
      <c r="C24" s="73">
        <f>C4+C5</f>
        <v>56000</v>
      </c>
      <c r="D24" s="73"/>
    </row>
    <row r="25" spans="2:15" x14ac:dyDescent="0.35">
      <c r="B25" s="26" t="s">
        <v>102</v>
      </c>
      <c r="C25" s="77">
        <f>E21-(E22+E23+C24)</f>
        <v>1328035.6009480001</v>
      </c>
      <c r="D25" s="78"/>
      <c r="E25" s="79"/>
    </row>
    <row r="29" spans="2:15" x14ac:dyDescent="0.35">
      <c r="K29" s="43"/>
    </row>
    <row r="30" spans="2:15" x14ac:dyDescent="0.35">
      <c r="K30" s="43"/>
    </row>
  </sheetData>
  <mergeCells count="8">
    <mergeCell ref="C24:D24"/>
    <mergeCell ref="C18:D18"/>
    <mergeCell ref="C19:D19"/>
    <mergeCell ref="H2:I2"/>
    <mergeCell ref="C25:E25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16F2-054A-4E31-BF7A-D8D0AC06CB2F}">
  <dimension ref="A2:T71"/>
  <sheetViews>
    <sheetView zoomScale="54" zoomScaleNormal="54" workbookViewId="0">
      <selection activeCell="H50" sqref="H50"/>
    </sheetView>
  </sheetViews>
  <sheetFormatPr defaultRowHeight="14.5" x14ac:dyDescent="0.35"/>
  <cols>
    <col min="1" max="1" width="14.6328125" style="33" customWidth="1"/>
    <col min="2" max="2" width="15.7265625" style="33" customWidth="1"/>
    <col min="3" max="3" width="17.453125" style="33" customWidth="1"/>
    <col min="4" max="4" width="11.90625" style="33" customWidth="1"/>
    <col min="5" max="5" width="8.7265625" style="33"/>
    <col min="6" max="6" width="14.81640625" style="33" customWidth="1"/>
    <col min="7" max="7" width="14.453125" style="33" customWidth="1"/>
    <col min="8" max="8" width="12.7265625" style="33" customWidth="1"/>
    <col min="9" max="9" width="13.81640625" style="33" customWidth="1"/>
    <col min="10" max="10" width="13.08984375" style="33" customWidth="1"/>
    <col min="11" max="12" width="8.7265625" style="33"/>
    <col min="13" max="13" width="10.81640625" style="33" customWidth="1"/>
    <col min="14" max="16384" width="8.7265625" style="33"/>
  </cols>
  <sheetData>
    <row r="2" spans="1:13" x14ac:dyDescent="0.35">
      <c r="B2" s="45"/>
      <c r="C2" s="75" t="s">
        <v>83</v>
      </c>
      <c r="D2" s="76"/>
    </row>
    <row r="3" spans="1:13" x14ac:dyDescent="0.35">
      <c r="A3" s="34"/>
      <c r="B3" s="45" t="s">
        <v>82</v>
      </c>
      <c r="C3" s="45" t="s">
        <v>1</v>
      </c>
      <c r="D3" s="45" t="s">
        <v>2</v>
      </c>
    </row>
    <row r="4" spans="1:13" x14ac:dyDescent="0.35">
      <c r="B4" s="45">
        <v>1</v>
      </c>
      <c r="C4" s="30">
        <v>163</v>
      </c>
      <c r="D4" s="30">
        <v>211</v>
      </c>
    </row>
    <row r="5" spans="1:13" x14ac:dyDescent="0.35">
      <c r="B5" s="45">
        <v>2</v>
      </c>
      <c r="C5" s="30">
        <v>164</v>
      </c>
      <c r="D5" s="30">
        <v>212</v>
      </c>
    </row>
    <row r="6" spans="1:13" x14ac:dyDescent="0.35">
      <c r="B6" s="45">
        <v>3</v>
      </c>
      <c r="C6" s="30">
        <v>164</v>
      </c>
      <c r="D6" s="30">
        <v>213</v>
      </c>
      <c r="K6" s="38" t="s">
        <v>2</v>
      </c>
      <c r="L6" s="38">
        <v>1.1175999999999999</v>
      </c>
      <c r="M6" s="38">
        <v>209.25</v>
      </c>
    </row>
    <row r="7" spans="1:13" x14ac:dyDescent="0.35">
      <c r="B7" s="45">
        <v>4</v>
      </c>
      <c r="C7" s="30">
        <v>165</v>
      </c>
      <c r="D7" s="30">
        <v>214</v>
      </c>
      <c r="K7" s="38" t="s">
        <v>1</v>
      </c>
      <c r="L7" s="38">
        <v>1.4882</v>
      </c>
      <c r="M7" s="38">
        <v>158.72999999999999</v>
      </c>
    </row>
    <row r="8" spans="1:13" x14ac:dyDescent="0.35">
      <c r="B8" s="45">
        <v>5</v>
      </c>
      <c r="C8" s="30">
        <v>166</v>
      </c>
      <c r="D8" s="30">
        <v>215</v>
      </c>
    </row>
    <row r="9" spans="1:13" x14ac:dyDescent="0.35">
      <c r="B9" s="45">
        <v>6</v>
      </c>
      <c r="C9" s="30">
        <v>167</v>
      </c>
      <c r="D9" s="30">
        <v>215</v>
      </c>
    </row>
    <row r="10" spans="1:13" x14ac:dyDescent="0.35">
      <c r="B10" s="45">
        <v>7</v>
      </c>
      <c r="C10" s="30">
        <v>167</v>
      </c>
      <c r="D10" s="30">
        <v>215</v>
      </c>
    </row>
    <row r="11" spans="1:13" x14ac:dyDescent="0.35">
      <c r="A11" s="35"/>
      <c r="B11" s="45">
        <v>8</v>
      </c>
      <c r="C11" s="30">
        <v>167</v>
      </c>
      <c r="D11" s="30">
        <v>215</v>
      </c>
      <c r="E11" s="35"/>
      <c r="F11" s="35"/>
    </row>
    <row r="12" spans="1:13" x14ac:dyDescent="0.35">
      <c r="B12" s="45">
        <v>9</v>
      </c>
      <c r="C12" s="30">
        <v>167</v>
      </c>
      <c r="D12" s="30">
        <v>215</v>
      </c>
    </row>
    <row r="13" spans="1:13" x14ac:dyDescent="0.35">
      <c r="B13" s="45">
        <v>10</v>
      </c>
      <c r="C13" s="30">
        <v>175</v>
      </c>
      <c r="D13" s="30">
        <v>225</v>
      </c>
    </row>
    <row r="14" spans="1:13" x14ac:dyDescent="0.35">
      <c r="B14" s="45">
        <v>11</v>
      </c>
      <c r="C14" s="30">
        <v>175</v>
      </c>
      <c r="D14" s="30">
        <v>225</v>
      </c>
    </row>
    <row r="15" spans="1:13" x14ac:dyDescent="0.35">
      <c r="B15" s="45">
        <v>12</v>
      </c>
      <c r="C15" s="30">
        <v>175</v>
      </c>
      <c r="D15" s="30">
        <v>225</v>
      </c>
    </row>
    <row r="16" spans="1:13" x14ac:dyDescent="0.35">
      <c r="A16" s="35"/>
      <c r="B16" s="45">
        <v>13</v>
      </c>
      <c r="C16" s="30">
        <v>175</v>
      </c>
      <c r="D16" s="30">
        <v>225</v>
      </c>
      <c r="E16" s="35"/>
      <c r="F16" s="35"/>
      <c r="G16" s="35"/>
      <c r="H16" s="35"/>
      <c r="I16" s="35"/>
    </row>
    <row r="17" spans="1:20" x14ac:dyDescent="0.35">
      <c r="B17" s="45">
        <v>14</v>
      </c>
      <c r="C17" s="30">
        <v>184</v>
      </c>
      <c r="D17" s="30">
        <v>225</v>
      </c>
    </row>
    <row r="18" spans="1:20" x14ac:dyDescent="0.35">
      <c r="B18" s="45">
        <v>15</v>
      </c>
      <c r="C18" s="30">
        <v>184</v>
      </c>
      <c r="D18" s="30">
        <v>225</v>
      </c>
    </row>
    <row r="19" spans="1:20" x14ac:dyDescent="0.35">
      <c r="B19" s="45">
        <v>16</v>
      </c>
      <c r="C19" s="30">
        <v>184</v>
      </c>
      <c r="D19" s="30">
        <v>225</v>
      </c>
      <c r="F19" s="3" t="s">
        <v>1</v>
      </c>
      <c r="G19" s="39">
        <f>L7*B20+M7</f>
        <v>184.02939999999998</v>
      </c>
    </row>
    <row r="20" spans="1:20" x14ac:dyDescent="0.35">
      <c r="B20" s="45">
        <v>17</v>
      </c>
      <c r="C20" s="49">
        <f>G19</f>
        <v>184.02939999999998</v>
      </c>
      <c r="D20" s="49">
        <f>G20</f>
        <v>228.2492</v>
      </c>
      <c r="F20" s="3" t="s">
        <v>2</v>
      </c>
      <c r="G20" s="40">
        <f>L6*B20+M6</f>
        <v>228.2492</v>
      </c>
    </row>
    <row r="23" spans="1:20" x14ac:dyDescent="0.35">
      <c r="A23"/>
      <c r="B23"/>
      <c r="C23"/>
      <c r="D23"/>
      <c r="E23"/>
      <c r="F23"/>
      <c r="G23"/>
      <c r="H23"/>
      <c r="I23"/>
      <c r="L23"/>
      <c r="M23"/>
      <c r="N23"/>
      <c r="O23"/>
      <c r="P23"/>
      <c r="Q23"/>
      <c r="R23"/>
      <c r="S23"/>
      <c r="T23"/>
    </row>
    <row r="24" spans="1:20" x14ac:dyDescent="0.35">
      <c r="C24"/>
      <c r="D24"/>
      <c r="E24"/>
      <c r="F24"/>
      <c r="G24"/>
      <c r="H24"/>
      <c r="I24"/>
      <c r="J24"/>
      <c r="L24"/>
      <c r="M24"/>
      <c r="N24"/>
      <c r="O24"/>
      <c r="P24"/>
      <c r="Q24"/>
      <c r="R24"/>
      <c r="S24"/>
      <c r="T24"/>
    </row>
    <row r="25" spans="1:20" x14ac:dyDescent="0.35">
      <c r="B25" s="36"/>
      <c r="C25" s="36"/>
      <c r="D25"/>
      <c r="E25"/>
      <c r="F25"/>
      <c r="G25"/>
      <c r="H25"/>
      <c r="I25"/>
      <c r="J25"/>
      <c r="L25" s="36"/>
      <c r="M25" s="36"/>
      <c r="N25"/>
      <c r="O25"/>
      <c r="P25"/>
      <c r="Q25"/>
      <c r="R25"/>
      <c r="S25"/>
      <c r="T25"/>
    </row>
    <row r="26" spans="1:20" x14ac:dyDescent="0.35"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  <c r="R26"/>
      <c r="S26"/>
      <c r="T26"/>
    </row>
    <row r="27" spans="1:20" x14ac:dyDescent="0.35">
      <c r="B27" s="45"/>
      <c r="C27" s="76" t="s">
        <v>84</v>
      </c>
      <c r="D27" s="82"/>
      <c r="E27"/>
      <c r="F27"/>
      <c r="G27"/>
      <c r="H27"/>
      <c r="I27"/>
      <c r="J27"/>
      <c r="L27"/>
      <c r="M27"/>
      <c r="N27"/>
      <c r="O27"/>
      <c r="P27"/>
      <c r="Q27"/>
      <c r="R27"/>
      <c r="S27"/>
      <c r="T27"/>
    </row>
    <row r="28" spans="1:20" x14ac:dyDescent="0.35">
      <c r="B28" s="45" t="s">
        <v>82</v>
      </c>
      <c r="C28" s="45" t="s">
        <v>1</v>
      </c>
      <c r="D28" s="45" t="s">
        <v>2</v>
      </c>
      <c r="E28"/>
      <c r="F28"/>
      <c r="G28"/>
      <c r="H28"/>
      <c r="I28"/>
      <c r="L28"/>
      <c r="M28"/>
      <c r="N28"/>
      <c r="O28"/>
      <c r="P28"/>
      <c r="Q28"/>
      <c r="R28"/>
      <c r="S28"/>
      <c r="T28"/>
    </row>
    <row r="29" spans="1:20" x14ac:dyDescent="0.35">
      <c r="B29" s="45">
        <v>1</v>
      </c>
      <c r="C29" s="30">
        <v>10660</v>
      </c>
      <c r="D29" s="30">
        <v>17056</v>
      </c>
      <c r="E29"/>
      <c r="F29"/>
      <c r="G29"/>
      <c r="H29"/>
      <c r="I29"/>
      <c r="L29"/>
      <c r="M29"/>
      <c r="N29"/>
      <c r="O29"/>
      <c r="P29"/>
      <c r="Q29"/>
      <c r="R29"/>
      <c r="S29"/>
      <c r="T29"/>
    </row>
    <row r="30" spans="1:20" x14ac:dyDescent="0.35">
      <c r="B30" s="45">
        <v>2</v>
      </c>
      <c r="C30" s="30">
        <v>11364</v>
      </c>
      <c r="D30" s="30">
        <v>18182</v>
      </c>
      <c r="E30"/>
      <c r="F30"/>
      <c r="G30"/>
      <c r="H30"/>
      <c r="I30"/>
      <c r="J30"/>
      <c r="K30" s="38" t="s">
        <v>2</v>
      </c>
      <c r="L30" s="3">
        <v>1143.5999999999999</v>
      </c>
      <c r="M30" s="3">
        <v>17297</v>
      </c>
      <c r="N30"/>
      <c r="O30"/>
      <c r="P30"/>
      <c r="Q30"/>
      <c r="R30"/>
      <c r="S30"/>
      <c r="T30"/>
    </row>
    <row r="31" spans="1:20" x14ac:dyDescent="0.35">
      <c r="B31" s="45">
        <v>3</v>
      </c>
      <c r="C31" s="30">
        <v>12114</v>
      </c>
      <c r="D31" s="30">
        <v>19382</v>
      </c>
      <c r="E31"/>
      <c r="F31"/>
      <c r="G31"/>
      <c r="H31"/>
      <c r="I31"/>
      <c r="J31"/>
      <c r="K31" s="38" t="s">
        <v>1</v>
      </c>
      <c r="L31" s="3">
        <v>940.29</v>
      </c>
      <c r="M31" s="3">
        <v>8679.5</v>
      </c>
      <c r="N31"/>
      <c r="O31"/>
      <c r="P31"/>
      <c r="Q31"/>
      <c r="R31"/>
      <c r="S31"/>
      <c r="T31"/>
    </row>
    <row r="32" spans="1:20" x14ac:dyDescent="0.35">
      <c r="B32" s="45">
        <v>4</v>
      </c>
      <c r="C32" s="30">
        <v>12913</v>
      </c>
      <c r="D32" s="30">
        <v>20661</v>
      </c>
      <c r="E32"/>
      <c r="F32"/>
      <c r="G32"/>
      <c r="H32"/>
      <c r="I32"/>
      <c r="J32"/>
      <c r="L32"/>
      <c r="M32"/>
      <c r="N32"/>
      <c r="O32"/>
      <c r="P32"/>
      <c r="Q32"/>
      <c r="R32"/>
      <c r="S32"/>
      <c r="T32"/>
    </row>
    <row r="33" spans="2:20" x14ac:dyDescent="0.35">
      <c r="B33" s="45">
        <v>5</v>
      </c>
      <c r="C33" s="30">
        <v>13500</v>
      </c>
      <c r="D33" s="30">
        <v>22000</v>
      </c>
      <c r="E33" s="37"/>
      <c r="F33" s="37"/>
      <c r="G33" s="37"/>
      <c r="H33"/>
      <c r="I33"/>
      <c r="J33"/>
      <c r="L33" s="37"/>
      <c r="M33" s="37"/>
      <c r="N33" s="37"/>
      <c r="O33" s="37"/>
      <c r="P33" s="37"/>
      <c r="Q33" s="37"/>
      <c r="R33"/>
      <c r="S33"/>
      <c r="T33"/>
    </row>
    <row r="34" spans="2:20" x14ac:dyDescent="0.35">
      <c r="B34" s="45">
        <v>6</v>
      </c>
      <c r="C34" s="30">
        <v>14200</v>
      </c>
      <c r="D34" s="30">
        <v>24000</v>
      </c>
      <c r="E34"/>
      <c r="F34"/>
      <c r="G34"/>
      <c r="H34"/>
      <c r="I34"/>
      <c r="J34"/>
      <c r="L34"/>
      <c r="M34"/>
      <c r="N34"/>
      <c r="O34"/>
      <c r="P34"/>
      <c r="Q34"/>
      <c r="R34"/>
      <c r="S34"/>
      <c r="T34"/>
    </row>
    <row r="35" spans="2:20" x14ac:dyDescent="0.35">
      <c r="B35" s="45">
        <v>7</v>
      </c>
      <c r="C35" s="30">
        <v>15000</v>
      </c>
      <c r="D35" s="30">
        <v>26000</v>
      </c>
      <c r="E35"/>
      <c r="F35"/>
      <c r="G35"/>
      <c r="H35"/>
      <c r="I35"/>
      <c r="J35"/>
      <c r="L35"/>
      <c r="M35"/>
      <c r="N35"/>
      <c r="O35"/>
      <c r="P35"/>
      <c r="Q35"/>
      <c r="R35"/>
      <c r="S35"/>
      <c r="T35"/>
    </row>
    <row r="36" spans="2:20" x14ac:dyDescent="0.35">
      <c r="B36" s="45">
        <v>8</v>
      </c>
      <c r="C36" s="30">
        <v>15000</v>
      </c>
      <c r="D36" s="30">
        <v>28000</v>
      </c>
      <c r="E36"/>
      <c r="F36"/>
      <c r="G36"/>
      <c r="H36"/>
      <c r="I36"/>
      <c r="J36"/>
      <c r="L36"/>
      <c r="M36"/>
      <c r="N36"/>
      <c r="O36"/>
      <c r="P36"/>
      <c r="Q36"/>
      <c r="R36"/>
      <c r="S36"/>
      <c r="T36"/>
    </row>
    <row r="37" spans="2:20" x14ac:dyDescent="0.35">
      <c r="B37" s="45">
        <v>9</v>
      </c>
      <c r="C37" s="30">
        <v>15000</v>
      </c>
      <c r="D37" s="30">
        <v>33000</v>
      </c>
      <c r="E37"/>
      <c r="F37"/>
      <c r="G37"/>
      <c r="H37"/>
      <c r="I37"/>
      <c r="J37"/>
      <c r="L37"/>
      <c r="M37"/>
      <c r="N37"/>
      <c r="O37"/>
      <c r="P37"/>
      <c r="Q37"/>
      <c r="R37"/>
      <c r="S37"/>
      <c r="T37"/>
    </row>
    <row r="38" spans="2:20" x14ac:dyDescent="0.35">
      <c r="B38" s="45">
        <v>10</v>
      </c>
      <c r="C38" s="30">
        <v>18000</v>
      </c>
      <c r="D38" s="30">
        <v>32000</v>
      </c>
      <c r="E38" s="37"/>
      <c r="F38" s="37"/>
      <c r="G38" s="37"/>
      <c r="H38" s="37"/>
      <c r="I38" s="37"/>
      <c r="J38" s="37"/>
      <c r="L38" s="37"/>
      <c r="M38" s="37"/>
      <c r="N38" s="37"/>
      <c r="O38" s="37"/>
      <c r="P38" s="37"/>
      <c r="Q38" s="37"/>
      <c r="R38" s="37"/>
      <c r="S38" s="37"/>
      <c r="T38" s="37"/>
    </row>
    <row r="39" spans="2:20" x14ac:dyDescent="0.35">
      <c r="B39" s="45">
        <v>11</v>
      </c>
      <c r="C39" s="30">
        <v>18000</v>
      </c>
      <c r="D39" s="30">
        <v>32000</v>
      </c>
      <c r="E39"/>
      <c r="F39"/>
      <c r="G39"/>
      <c r="H39"/>
      <c r="I39"/>
      <c r="J39"/>
      <c r="L39"/>
      <c r="M39"/>
      <c r="N39"/>
      <c r="O39"/>
      <c r="P39"/>
      <c r="Q39"/>
      <c r="R39"/>
      <c r="S39"/>
      <c r="T39"/>
    </row>
    <row r="40" spans="2:20" x14ac:dyDescent="0.35">
      <c r="B40" s="45">
        <v>12</v>
      </c>
      <c r="C40" s="30">
        <v>18000</v>
      </c>
      <c r="D40" s="30">
        <v>32000</v>
      </c>
      <c r="E40"/>
      <c r="F40"/>
      <c r="G40"/>
      <c r="H40"/>
      <c r="I40"/>
      <c r="J40"/>
      <c r="L40"/>
      <c r="M40"/>
      <c r="N40"/>
      <c r="O40"/>
      <c r="P40"/>
      <c r="Q40"/>
      <c r="R40"/>
      <c r="S40"/>
      <c r="T40"/>
    </row>
    <row r="41" spans="2:20" x14ac:dyDescent="0.35">
      <c r="B41" s="45">
        <v>13</v>
      </c>
      <c r="C41" s="30">
        <v>18000</v>
      </c>
      <c r="D41" s="30">
        <v>32000</v>
      </c>
      <c r="E41"/>
      <c r="F41"/>
      <c r="G41"/>
      <c r="H41"/>
      <c r="I41"/>
      <c r="J41"/>
      <c r="L41"/>
      <c r="M41"/>
      <c r="N41"/>
      <c r="O41"/>
      <c r="P41"/>
      <c r="Q41"/>
      <c r="R41"/>
      <c r="S41"/>
      <c r="T41"/>
    </row>
    <row r="42" spans="2:20" x14ac:dyDescent="0.35">
      <c r="B42" s="45">
        <v>14</v>
      </c>
      <c r="C42" s="30">
        <v>25000</v>
      </c>
      <c r="D42" s="30">
        <v>32000</v>
      </c>
      <c r="E42"/>
      <c r="F42"/>
      <c r="G42"/>
      <c r="H42"/>
      <c r="I42"/>
      <c r="J42"/>
      <c r="L42"/>
      <c r="M42"/>
      <c r="N42"/>
      <c r="O42"/>
      <c r="P42"/>
      <c r="Q42"/>
      <c r="R42"/>
      <c r="S42"/>
      <c r="T42"/>
    </row>
    <row r="43" spans="2:20" x14ac:dyDescent="0.35">
      <c r="B43" s="45">
        <v>15</v>
      </c>
      <c r="C43" s="30">
        <v>25000</v>
      </c>
      <c r="D43" s="30">
        <v>32000</v>
      </c>
      <c r="E43"/>
      <c r="F43" s="3" t="s">
        <v>1</v>
      </c>
      <c r="G43" s="26">
        <f>L31*B45+M31</f>
        <v>24664.43</v>
      </c>
      <c r="H43"/>
      <c r="I43"/>
      <c r="J43"/>
      <c r="L43"/>
      <c r="M43"/>
      <c r="N43"/>
      <c r="O43"/>
      <c r="P43"/>
      <c r="Q43"/>
      <c r="R43"/>
      <c r="S43"/>
      <c r="T43"/>
    </row>
    <row r="44" spans="2:20" x14ac:dyDescent="0.35">
      <c r="B44" s="45">
        <v>16</v>
      </c>
      <c r="C44" s="30">
        <v>25000</v>
      </c>
      <c r="D44" s="30">
        <v>32000</v>
      </c>
      <c r="E44"/>
      <c r="F44" s="3" t="s">
        <v>2</v>
      </c>
      <c r="G44" s="31">
        <f>L30*B45+M30</f>
        <v>36738.199999999997</v>
      </c>
      <c r="H44"/>
      <c r="I44"/>
      <c r="J44"/>
      <c r="L44"/>
      <c r="M44"/>
      <c r="N44"/>
      <c r="O44"/>
      <c r="P44"/>
      <c r="Q44"/>
      <c r="R44"/>
      <c r="S44"/>
      <c r="T44"/>
    </row>
    <row r="45" spans="2:20" x14ac:dyDescent="0.35">
      <c r="B45" s="45">
        <v>17</v>
      </c>
      <c r="C45" s="49">
        <f>G43</f>
        <v>24664.43</v>
      </c>
      <c r="D45" s="49">
        <f>G44</f>
        <v>36738.199999999997</v>
      </c>
      <c r="E45"/>
      <c r="F45"/>
      <c r="G45"/>
      <c r="H45"/>
      <c r="I45"/>
      <c r="J45"/>
      <c r="L45"/>
      <c r="M45"/>
      <c r="N45"/>
      <c r="O45"/>
      <c r="P45"/>
      <c r="Q45"/>
      <c r="R45"/>
      <c r="S45"/>
      <c r="T45"/>
    </row>
    <row r="46" spans="2:20" x14ac:dyDescent="0.35">
      <c r="B46" s="37"/>
      <c r="C46" s="37"/>
      <c r="D46" s="37"/>
      <c r="E46"/>
      <c r="F46"/>
      <c r="G46"/>
      <c r="H46"/>
      <c r="I46"/>
      <c r="J46"/>
      <c r="L46" s="37"/>
      <c r="M46" s="37"/>
      <c r="N46" s="37"/>
      <c r="O46"/>
      <c r="P46"/>
      <c r="Q46"/>
      <c r="R46"/>
      <c r="S46"/>
      <c r="T46"/>
    </row>
    <row r="47" spans="2:20" x14ac:dyDescent="0.35">
      <c r="B47"/>
      <c r="C47"/>
      <c r="D47"/>
      <c r="E47"/>
      <c r="F47"/>
      <c r="G47"/>
      <c r="H47"/>
      <c r="I47"/>
      <c r="J47"/>
      <c r="L47"/>
      <c r="M47"/>
      <c r="N47"/>
      <c r="O47"/>
      <c r="P47"/>
      <c r="Q47"/>
      <c r="R47"/>
      <c r="S47"/>
      <c r="T47"/>
    </row>
    <row r="48" spans="2:20" x14ac:dyDescent="0.35">
      <c r="B48"/>
      <c r="C48"/>
      <c r="D48"/>
      <c r="E48"/>
      <c r="F48"/>
      <c r="G48"/>
      <c r="H48"/>
      <c r="I48"/>
      <c r="J48"/>
      <c r="L48"/>
      <c r="M48"/>
      <c r="N48"/>
      <c r="O48"/>
      <c r="P48"/>
      <c r="Q48"/>
      <c r="R48"/>
      <c r="S48"/>
      <c r="T48"/>
    </row>
    <row r="49" spans="2:20" x14ac:dyDescent="0.35">
      <c r="B49" s="42"/>
      <c r="C49" s="83"/>
      <c r="D49" s="83"/>
      <c r="E49"/>
      <c r="F49"/>
      <c r="G49"/>
      <c r="H49"/>
      <c r="I49"/>
      <c r="J49"/>
      <c r="L49"/>
      <c r="M49"/>
      <c r="N49"/>
      <c r="O49"/>
      <c r="P49"/>
      <c r="Q49"/>
      <c r="R49"/>
      <c r="S49"/>
      <c r="T49"/>
    </row>
    <row r="50" spans="2:20" x14ac:dyDescent="0.35">
      <c r="B50" s="42"/>
      <c r="C50" s="42"/>
      <c r="D50" s="42"/>
      <c r="E50"/>
      <c r="F50"/>
      <c r="G50"/>
      <c r="H50"/>
      <c r="I50"/>
      <c r="J50"/>
      <c r="L50"/>
      <c r="M50"/>
      <c r="N50"/>
      <c r="O50"/>
      <c r="P50"/>
      <c r="Q50"/>
      <c r="R50"/>
      <c r="S50"/>
      <c r="T50"/>
    </row>
    <row r="51" spans="2:20" x14ac:dyDescent="0.35">
      <c r="B51" s="42"/>
      <c r="C51" s="42"/>
      <c r="D51" s="42"/>
      <c r="E51"/>
      <c r="F51"/>
      <c r="G51"/>
      <c r="H51"/>
      <c r="I51"/>
      <c r="J51"/>
      <c r="L51"/>
      <c r="M51"/>
      <c r="N51"/>
      <c r="O51"/>
      <c r="P51"/>
      <c r="Q51"/>
      <c r="R51"/>
      <c r="S51"/>
      <c r="T51"/>
    </row>
    <row r="52" spans="2:20" x14ac:dyDescent="0.35">
      <c r="B52" s="42"/>
      <c r="C52" s="42"/>
      <c r="D52" s="42"/>
      <c r="E52"/>
      <c r="F52"/>
      <c r="G52"/>
      <c r="H52"/>
      <c r="I52"/>
      <c r="J52"/>
      <c r="L52"/>
      <c r="M52"/>
      <c r="N52"/>
      <c r="O52"/>
      <c r="P52"/>
      <c r="Q52"/>
      <c r="R52"/>
      <c r="S52"/>
      <c r="T52"/>
    </row>
    <row r="53" spans="2:20" x14ac:dyDescent="0.35">
      <c r="B53" s="84" t="s">
        <v>3</v>
      </c>
      <c r="C53" s="85" t="s">
        <v>0</v>
      </c>
      <c r="D53" s="85"/>
      <c r="E53"/>
      <c r="F53"/>
      <c r="G53"/>
      <c r="H53"/>
      <c r="I53"/>
      <c r="J53"/>
      <c r="L53"/>
      <c r="M53"/>
      <c r="N53"/>
      <c r="O53"/>
      <c r="P53"/>
      <c r="Q53"/>
      <c r="R53"/>
      <c r="S53"/>
      <c r="T53"/>
    </row>
    <row r="54" spans="2:20" x14ac:dyDescent="0.35">
      <c r="B54" s="84"/>
      <c r="C54" s="54" t="s">
        <v>1</v>
      </c>
      <c r="D54" s="54" t="s">
        <v>2</v>
      </c>
      <c r="E54"/>
      <c r="F54"/>
      <c r="G54"/>
      <c r="H54"/>
      <c r="I54"/>
      <c r="J54"/>
      <c r="K54" s="3" t="s">
        <v>1</v>
      </c>
      <c r="L54" s="3">
        <v>48.475999999999999</v>
      </c>
      <c r="M54" s="3">
        <v>1978.5</v>
      </c>
      <c r="N54"/>
      <c r="O54"/>
      <c r="P54"/>
      <c r="Q54"/>
      <c r="R54"/>
      <c r="S54"/>
      <c r="T54"/>
    </row>
    <row r="55" spans="2:20" x14ac:dyDescent="0.35">
      <c r="B55" s="26">
        <v>1</v>
      </c>
      <c r="C55" s="4">
        <v>1859</v>
      </c>
      <c r="D55" s="4">
        <v>3949</v>
      </c>
      <c r="E55"/>
      <c r="F55"/>
      <c r="G55"/>
      <c r="H55"/>
      <c r="I55"/>
      <c r="J55"/>
      <c r="K55" s="3" t="s">
        <v>2</v>
      </c>
      <c r="L55" s="3">
        <v>39.658999999999999</v>
      </c>
      <c r="M55" s="3">
        <v>3830.8</v>
      </c>
      <c r="N55"/>
      <c r="O55"/>
      <c r="P55"/>
      <c r="Q55"/>
      <c r="R55"/>
      <c r="S55"/>
      <c r="T55"/>
    </row>
    <row r="56" spans="2:20" x14ac:dyDescent="0.35">
      <c r="B56" s="26">
        <v>2</v>
      </c>
      <c r="C56" s="4">
        <v>1903</v>
      </c>
      <c r="D56" s="4">
        <v>3473</v>
      </c>
      <c r="E56"/>
      <c r="F56"/>
      <c r="G56"/>
      <c r="H56"/>
      <c r="I56"/>
      <c r="J56"/>
      <c r="L56"/>
      <c r="M56"/>
      <c r="N56"/>
      <c r="O56"/>
      <c r="P56"/>
      <c r="Q56"/>
      <c r="R56"/>
      <c r="S56"/>
      <c r="T56"/>
    </row>
    <row r="57" spans="2:20" x14ac:dyDescent="0.35">
      <c r="B57" s="26">
        <v>3</v>
      </c>
      <c r="C57" s="4">
        <v>2217</v>
      </c>
      <c r="D57" s="4">
        <v>3938</v>
      </c>
      <c r="E57"/>
      <c r="F57"/>
      <c r="G57"/>
      <c r="H57"/>
      <c r="I57"/>
      <c r="J57"/>
      <c r="L57"/>
      <c r="M57"/>
      <c r="N57"/>
      <c r="O57"/>
      <c r="P57"/>
      <c r="Q57"/>
      <c r="R57"/>
      <c r="S57"/>
      <c r="T57"/>
    </row>
    <row r="58" spans="2:20" x14ac:dyDescent="0.35">
      <c r="B58" s="26">
        <v>4</v>
      </c>
      <c r="C58" s="4">
        <v>2420</v>
      </c>
      <c r="D58" s="4">
        <v>4380</v>
      </c>
      <c r="E58"/>
      <c r="F58"/>
      <c r="G58"/>
      <c r="H58"/>
      <c r="I58"/>
      <c r="J58"/>
      <c r="L58"/>
      <c r="M58"/>
      <c r="N58"/>
      <c r="O58"/>
      <c r="P58"/>
      <c r="Q58"/>
      <c r="R58"/>
      <c r="S58"/>
      <c r="T58"/>
    </row>
    <row r="59" spans="2:20" x14ac:dyDescent="0.35">
      <c r="B59" s="26">
        <v>5</v>
      </c>
      <c r="C59" s="4">
        <v>2005</v>
      </c>
      <c r="D59" s="4">
        <v>4182</v>
      </c>
      <c r="E59"/>
      <c r="F59"/>
      <c r="G59"/>
      <c r="H59"/>
      <c r="I59"/>
      <c r="J59"/>
      <c r="L59"/>
      <c r="M59"/>
      <c r="N59"/>
      <c r="O59"/>
      <c r="P59"/>
      <c r="Q59"/>
      <c r="R59"/>
      <c r="S59"/>
      <c r="T59"/>
    </row>
    <row r="60" spans="2:20" x14ac:dyDescent="0.35">
      <c r="B60" s="26">
        <v>6</v>
      </c>
      <c r="C60" s="4">
        <v>2053</v>
      </c>
      <c r="D60" s="4">
        <v>3707</v>
      </c>
      <c r="E60"/>
      <c r="F60"/>
      <c r="G60"/>
      <c r="H60"/>
      <c r="I60"/>
      <c r="J60"/>
      <c r="L60"/>
      <c r="M60"/>
      <c r="N60"/>
      <c r="O60"/>
      <c r="P60"/>
      <c r="Q60"/>
      <c r="R60"/>
      <c r="S60"/>
      <c r="T60"/>
    </row>
    <row r="61" spans="2:20" x14ac:dyDescent="0.35">
      <c r="B61" s="26">
        <v>7</v>
      </c>
      <c r="C61" s="4">
        <v>2659</v>
      </c>
      <c r="D61" s="4">
        <v>4245</v>
      </c>
      <c r="E61"/>
      <c r="F61"/>
      <c r="G61"/>
      <c r="H61"/>
      <c r="I61"/>
      <c r="J61"/>
      <c r="L61"/>
      <c r="M61"/>
      <c r="N61"/>
      <c r="O61"/>
      <c r="P61"/>
      <c r="Q61"/>
      <c r="R61"/>
      <c r="S61"/>
      <c r="T61"/>
    </row>
    <row r="62" spans="2:20" x14ac:dyDescent="0.35">
      <c r="B62" s="26">
        <v>8</v>
      </c>
      <c r="C62" s="4">
        <v>2676</v>
      </c>
      <c r="D62" s="4">
        <v>4850</v>
      </c>
      <c r="E62"/>
      <c r="F62"/>
      <c r="G62"/>
      <c r="H62"/>
      <c r="I62"/>
      <c r="J62"/>
      <c r="L62"/>
      <c r="M62"/>
      <c r="N62"/>
      <c r="O62"/>
      <c r="P62"/>
      <c r="Q62"/>
      <c r="R62"/>
      <c r="S62"/>
      <c r="T62"/>
    </row>
    <row r="63" spans="2:20" x14ac:dyDescent="0.35">
      <c r="B63" s="26">
        <v>9</v>
      </c>
      <c r="C63" s="4">
        <v>2617</v>
      </c>
      <c r="D63" s="4">
        <v>4528</v>
      </c>
    </row>
    <row r="64" spans="2:20" x14ac:dyDescent="0.35">
      <c r="B64" s="26">
        <v>10</v>
      </c>
      <c r="C64" s="4">
        <v>2174</v>
      </c>
      <c r="D64" s="4">
        <v>3145</v>
      </c>
    </row>
    <row r="65" spans="2:7" x14ac:dyDescent="0.35">
      <c r="B65" s="26">
        <v>11</v>
      </c>
      <c r="C65" s="4">
        <v>2430</v>
      </c>
      <c r="D65" s="4">
        <v>4102</v>
      </c>
    </row>
    <row r="66" spans="2:7" x14ac:dyDescent="0.35">
      <c r="B66" s="26">
        <v>12</v>
      </c>
      <c r="C66" s="4">
        <v>2739</v>
      </c>
      <c r="D66" s="4">
        <v>4753</v>
      </c>
    </row>
    <row r="67" spans="2:7" x14ac:dyDescent="0.35">
      <c r="B67" s="26">
        <v>13</v>
      </c>
      <c r="C67" s="4">
        <v>2754</v>
      </c>
      <c r="D67" s="4">
        <v>4440</v>
      </c>
    </row>
    <row r="68" spans="2:7" x14ac:dyDescent="0.35">
      <c r="B68" s="26">
        <v>14</v>
      </c>
      <c r="C68" s="4">
        <v>2364</v>
      </c>
      <c r="D68" s="4">
        <v>3504</v>
      </c>
    </row>
    <row r="69" spans="2:7" x14ac:dyDescent="0.35">
      <c r="B69" s="26">
        <v>15</v>
      </c>
      <c r="C69" s="4">
        <v>2607</v>
      </c>
      <c r="D69" s="4">
        <v>4557</v>
      </c>
    </row>
    <row r="70" spans="2:7" x14ac:dyDescent="0.35">
      <c r="B70" s="26">
        <v>16</v>
      </c>
      <c r="C70" s="4">
        <v>2771</v>
      </c>
      <c r="D70" s="4">
        <v>4933</v>
      </c>
      <c r="F70" s="3" t="s">
        <v>1</v>
      </c>
      <c r="G70" s="44">
        <f>ForeCast!$L$54*ForeCast!B71+ForeCast!$M$54</f>
        <v>2802.5920000000001</v>
      </c>
    </row>
    <row r="71" spans="2:7" x14ac:dyDescent="0.35">
      <c r="B71" s="26">
        <v>17</v>
      </c>
      <c r="C71" s="41">
        <f>ForeCast!G70</f>
        <v>2802.5920000000001</v>
      </c>
      <c r="D71" s="41">
        <f>ForeCast!G71</f>
        <v>4505.0030000000006</v>
      </c>
      <c r="F71" s="3" t="s">
        <v>2</v>
      </c>
      <c r="G71" s="41">
        <f>ForeCast!$L$55*ForeCast!B71+ForeCast!$M$55</f>
        <v>4505.0030000000006</v>
      </c>
    </row>
  </sheetData>
  <mergeCells count="5">
    <mergeCell ref="C2:D2"/>
    <mergeCell ref="C27:D27"/>
    <mergeCell ref="C49:D49"/>
    <mergeCell ref="B53:B54"/>
    <mergeCell ref="C53:D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Purchasing</vt:lpstr>
      <vt:lpstr>Sales</vt:lpstr>
      <vt:lpstr>ForeCast</vt:lpstr>
    </vt:vector>
  </TitlesOfParts>
  <Company>RTU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Bikovska</dc:creator>
  <cp:lastModifiedBy>Mander Bheraram</cp:lastModifiedBy>
  <dcterms:created xsi:type="dcterms:W3CDTF">2023-11-27T07:33:05Z</dcterms:created>
  <dcterms:modified xsi:type="dcterms:W3CDTF">2024-01-16T13:31:30Z</dcterms:modified>
</cp:coreProperties>
</file>