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Class\Module 1 Challenge(HL)\"/>
    </mc:Choice>
  </mc:AlternateContent>
  <xr:revisionPtr revIDLastSave="0" documentId="8_{9CDC0CD6-614A-4D36-A7AF-2F53FF686A7E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Crowdfunding" sheetId="1" r:id="rId1"/>
    <sheet name="Category" sheetId="2" r:id="rId2"/>
    <sheet name="Sub-Category" sheetId="3" r:id="rId3"/>
    <sheet name="Outcome" sheetId="4" r:id="rId4"/>
    <sheet name="Crowdfunding Goal Analysis" sheetId="6" r:id="rId5"/>
    <sheet name="Statistical Analysis" sheetId="7" r:id="rId6"/>
  </sheets>
  <definedNames>
    <definedName name="_xlnm._FilterDatabase" localSheetId="0" hidden="1">Crowdfunding!$A$1:$T$1001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7" l="1"/>
  <c r="I12" i="7"/>
  <c r="L9" i="7"/>
  <c r="L10" i="7"/>
  <c r="I10" i="7"/>
  <c r="I9" i="7"/>
  <c r="L8" i="7"/>
  <c r="L7" i="7"/>
  <c r="L6" i="7"/>
  <c r="L5" i="7"/>
  <c r="I5" i="7"/>
  <c r="I6" i="7"/>
  <c r="I7" i="7"/>
  <c r="I8" i="7"/>
  <c r="E13" i="6" l="1"/>
  <c r="E12" i="6"/>
  <c r="E11" i="6"/>
  <c r="E10" i="6"/>
  <c r="E9" i="6"/>
  <c r="E8" i="6"/>
  <c r="E7" i="6"/>
  <c r="E6" i="6"/>
  <c r="E5" i="6"/>
  <c r="E4" i="6"/>
  <c r="E2" i="6"/>
  <c r="E3" i="6"/>
  <c r="D13" i="6"/>
  <c r="D12" i="6"/>
  <c r="D11" i="6"/>
  <c r="D10" i="6"/>
  <c r="D9" i="6"/>
  <c r="H9" i="6" s="1"/>
  <c r="D8" i="6"/>
  <c r="D7" i="6"/>
  <c r="H7" i="6" s="1"/>
  <c r="D6" i="6"/>
  <c r="D5" i="6"/>
  <c r="H5" i="6" s="1"/>
  <c r="D4" i="6"/>
  <c r="D3" i="6"/>
  <c r="D2" i="6"/>
  <c r="C13" i="6"/>
  <c r="G13" i="6" s="1"/>
  <c r="C12" i="6"/>
  <c r="C11" i="6"/>
  <c r="G11" i="6" s="1"/>
  <c r="C10" i="6"/>
  <c r="G10" i="6" s="1"/>
  <c r="C9" i="6"/>
  <c r="G9" i="6" s="1"/>
  <c r="C8" i="6"/>
  <c r="C7" i="6"/>
  <c r="G7" i="6" s="1"/>
  <c r="C6" i="6"/>
  <c r="C5" i="6"/>
  <c r="G5" i="6" s="1"/>
  <c r="C4" i="6"/>
  <c r="G4" i="6" s="1"/>
  <c r="C3" i="6"/>
  <c r="C2" i="6"/>
  <c r="B4" i="6"/>
  <c r="B13" i="6"/>
  <c r="F13" i="6" s="1"/>
  <c r="B12" i="6"/>
  <c r="B11" i="6"/>
  <c r="F11" i="6" s="1"/>
  <c r="B10" i="6"/>
  <c r="F10" i="6" s="1"/>
  <c r="B9" i="6"/>
  <c r="F9" i="6" s="1"/>
  <c r="B8" i="6"/>
  <c r="B7" i="6"/>
  <c r="F7" i="6" s="1"/>
  <c r="B6" i="6"/>
  <c r="B5" i="6"/>
  <c r="F5" i="6" s="1"/>
  <c r="B3" i="6"/>
  <c r="B2" i="6"/>
  <c r="E26" i="4"/>
  <c r="E22" i="4"/>
  <c r="E24" i="4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6" i="6" l="1"/>
  <c r="F6" i="6"/>
  <c r="H6" i="6"/>
  <c r="H13" i="6"/>
  <c r="G8" i="6"/>
  <c r="F8" i="6"/>
  <c r="H8" i="6"/>
  <c r="H3" i="6"/>
  <c r="G12" i="6"/>
  <c r="H2" i="6"/>
  <c r="F12" i="6"/>
  <c r="H4" i="6"/>
  <c r="F4" i="6"/>
  <c r="G2" i="6"/>
  <c r="G3" i="6"/>
  <c r="H11" i="6"/>
  <c r="F2" i="6"/>
  <c r="H10" i="6"/>
  <c r="F3" i="6"/>
  <c r="H12" i="6"/>
</calcChain>
</file>

<file path=xl/sharedStrings.xml><?xml version="1.0" encoding="utf-8"?>
<sst xmlns="http://schemas.openxmlformats.org/spreadsheetml/2006/main" count="9074" uniqueCount="2119">
  <si>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</si>
  <si>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</si>
  <si>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</si>
  <si>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</si>
  <si>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</si>
  <si>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</si>
  <si>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</si>
  <si>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</si>
  <si>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</si>
  <si>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</si>
  <si>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</si>
  <si>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</si>
  <si>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</si>
  <si>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</si>
  <si>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</si>
  <si>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</si>
  <si>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</si>
  <si>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</si>
  <si>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</si>
  <si>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</si>
  <si>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</si>
  <si>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</si>
  <si>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</si>
  <si>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</si>
  <si>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</si>
  <si>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</si>
  <si>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</si>
  <si>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</si>
  <si>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</si>
  <si>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</si>
  <si>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</si>
  <si>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</si>
  <si>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</si>
  <si>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</si>
  <si>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</si>
  <si>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</si>
  <si>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</si>
  <si>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</si>
  <si>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</si>
  <si>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</si>
  <si>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</si>
  <si>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</si>
  <si>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</si>
  <si>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</si>
  <si>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</si>
  <si>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</si>
  <si>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</si>
  <si>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</si>
  <si>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</si>
  <si>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</si>
  <si>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</si>
  <si>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</si>
  <si>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</si>
  <si>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</si>
  <si>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</si>
  <si>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</si>
  <si>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</si>
  <si>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</si>
  <si>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</si>
  <si>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</si>
  <si>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</si>
  <si>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</si>
  <si>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</si>
  <si>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</si>
  <si>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</si>
  <si>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</si>
  <si>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</si>
  <si>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</si>
  <si>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</si>
  <si>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</si>
  <si>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</si>
  <si>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</si>
  <si>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</si>
  <si>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</si>
  <si>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</si>
  <si>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</si>
  <si>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</si>
  <si>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</si>
  <si>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</si>
  <si>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</si>
  <si>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</si>
  <si>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</si>
  <si>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</si>
  <si>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</si>
  <si>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</si>
  <si>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</si>
  <si>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</si>
  <si>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</si>
  <si>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</si>
  <si>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</si>
  <si>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</si>
  <si>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</si>
  <si>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</si>
  <si>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</si>
  <si>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</si>
  <si>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</si>
  <si>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</si>
  <si>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</si>
  <si>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</si>
  <si>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</si>
  <si>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</si>
  <si>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</si>
  <si>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</si>
  <si>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</si>
  <si>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</si>
  <si>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</si>
  <si>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</si>
  <si>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</si>
  <si>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</si>
  <si>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</si>
  <si>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</si>
  <si>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</si>
  <si>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</si>
  <si>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</si>
  <si>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</si>
  <si>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</si>
  <si>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</si>
  <si>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</si>
  <si>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</si>
  <si>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</si>
  <si>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</si>
  <si>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</si>
  <si>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</si>
  <si>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</si>
  <si>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</si>
  <si>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</si>
  <si>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</si>
  <si>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</si>
  <si>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</si>
  <si>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</si>
  <si>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</si>
  <si>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</si>
  <si>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</si>
  <si>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</si>
  <si>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</si>
  <si>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</si>
  <si>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</si>
  <si>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</si>
  <si>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</si>
  <si>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</si>
  <si>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</si>
  <si>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</si>
  <si>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</si>
  <si>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</si>
  <si>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</si>
  <si>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</si>
  <si>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</si>
  <si>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</si>
  <si>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</si>
  <si>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</si>
  <si>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</si>
  <si>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</si>
  <si>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</si>
  <si>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</si>
  <si>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</si>
  <si>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</si>
  <si>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</si>
  <si>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</si>
  <si>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</si>
  <si>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</si>
  <si>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</si>
  <si>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</si>
  <si>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</si>
  <si>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</si>
  <si>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</si>
  <si>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</si>
  <si>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</si>
  <si>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</si>
  <si>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</si>
  <si>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</si>
  <si>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</si>
  <si>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</si>
  <si>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</si>
  <si>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</si>
  <si>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</si>
  <si>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</si>
  <si>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</si>
  <si>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</si>
  <si>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</si>
  <si>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</si>
  <si>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</si>
  <si>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</si>
  <si>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</si>
  <si>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</si>
  <si>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</si>
  <si>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</si>
  <si>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</si>
  <si>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</si>
  <si>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</si>
  <si>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</si>
  <si>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</si>
  <si>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</si>
  <si>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</si>
  <si>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</si>
  <si>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</si>
  <si>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</si>
  <si>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</si>
  <si>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</si>
  <si>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</si>
  <si>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</si>
  <si>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</si>
  <si>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</si>
  <si>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</si>
  <si>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</si>
  <si>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</si>
  <si>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</si>
  <si>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</si>
  <si>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</si>
  <si>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</si>
  <si>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</si>
  <si>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</si>
  <si>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</si>
  <si>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</si>
  <si>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</si>
  <si>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</si>
  <si>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</si>
  <si>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</si>
  <si>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</si>
  <si>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</si>
  <si>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</si>
  <si>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</si>
  <si>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</si>
  <si>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</si>
  <si>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</si>
  <si>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</si>
  <si>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</si>
  <si>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</si>
  <si>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</si>
  <si>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</si>
  <si>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</si>
  <si>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</si>
  <si>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</si>
  <si>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</si>
  <si>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</si>
  <si>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</si>
  <si>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</si>
  <si>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</si>
  <si>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</si>
  <si>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</si>
  <si>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</si>
  <si>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</si>
  <si>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</si>
  <si>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</si>
  <si>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</si>
  <si>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</si>
  <si>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</si>
  <si>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</si>
  <si>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</si>
  <si>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</si>
  <si>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</si>
  <si>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</si>
  <si>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</si>
  <si>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</si>
  <si>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</si>
  <si>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</si>
  <si>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</si>
  <si>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</si>
  <si>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</si>
  <si>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</si>
  <si>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</si>
  <si>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</si>
  <si>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</si>
  <si>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</si>
  <si>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</si>
  <si>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</si>
  <si>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</si>
  <si>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</si>
  <si>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</si>
  <si>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</si>
  <si>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</si>
  <si>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</si>
  <si>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</si>
  <si>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</si>
  <si>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</si>
  <si>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</si>
  <si>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</si>
  <si>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</si>
  <si>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</si>
  <si>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</si>
  <si>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</si>
  <si>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</si>
  <si>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</si>
  <si>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</si>
  <si>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</si>
  <si>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</si>
  <si>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</si>
  <si>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</si>
  <si>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</si>
  <si>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</si>
  <si>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</si>
  <si>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</si>
  <si>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</si>
  <si>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</si>
  <si>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</si>
  <si>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</si>
  <si>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</si>
  <si>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</si>
  <si>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</si>
  <si>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</si>
  <si>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</si>
  <si>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</si>
  <si>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</si>
  <si>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</si>
  <si>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</si>
  <si>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</si>
  <si>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</si>
  <si>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</si>
  <si>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</si>
  <si>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</si>
  <si>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</si>
  <si>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</si>
  <si>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</si>
  <si>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</si>
  <si>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</si>
  <si>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</si>
  <si>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</si>
  <si>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</si>
  <si>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</si>
  <si>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</si>
  <si>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</si>
  <si>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</si>
  <si>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</si>
  <si>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</si>
  <si>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</si>
  <si>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</si>
  <si>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</si>
  <si>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</si>
  <si>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</si>
  <si>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</si>
  <si>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</si>
  <si>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</si>
  <si>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</si>
  <si>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</si>
  <si>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</si>
  <si>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</si>
  <si>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</si>
  <si>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</si>
  <si>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</si>
  <si>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</si>
  <si>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</si>
  <si>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</si>
  <si>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</si>
  <si>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</si>
  <si>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</si>
  <si>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</si>
  <si>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</si>
  <si>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</si>
  <si>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</si>
  <si>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</si>
  <si>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</si>
  <si>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</si>
  <si>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</si>
  <si>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</si>
  <si>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</si>
  <si>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</si>
  <si>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</si>
  <si>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</si>
  <si>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</si>
  <si>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</si>
  <si>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</si>
  <si>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</si>
  <si>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</si>
  <si>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</si>
  <si>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</si>
  <si>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</si>
  <si>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</si>
  <si>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</si>
  <si>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</si>
  <si>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</si>
  <si>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</si>
  <si>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</si>
  <si>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</si>
  <si>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</si>
  <si>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</si>
  <si>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</si>
  <si>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</si>
  <si>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</si>
  <si>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</si>
  <si>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</si>
  <si>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</si>
  <si>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</si>
  <si>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</si>
  <si>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</si>
  <si>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</si>
  <si>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</si>
  <si>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</si>
  <si>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</si>
  <si>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</si>
  <si>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</si>
  <si>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</si>
  <si>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</si>
  <si>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</si>
  <si>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</si>
  <si>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</si>
  <si>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</si>
  <si>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</si>
  <si>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</si>
  <si>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</si>
  <si>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</si>
  <si>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</si>
  <si>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</si>
  <si>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</si>
  <si>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</si>
  <si>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</si>
  <si>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</si>
  <si>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</si>
  <si>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</si>
  <si>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</si>
  <si>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</si>
  <si>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</si>
  <si>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</si>
  <si>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</si>
  <si>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</si>
  <si>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</si>
  <si>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</si>
  <si>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</si>
  <si>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</si>
  <si>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</si>
  <si>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</si>
  <si>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</si>
  <si>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</si>
  <si>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</si>
  <si>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</si>
  <si>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</si>
  <si>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</si>
  <si>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</si>
  <si>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</si>
  <si>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</si>
  <si>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</si>
  <si>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</si>
  <si>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</si>
  <si>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</si>
  <si>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</si>
  <si>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</si>
  <si>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</si>
  <si>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</si>
  <si>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</si>
  <si>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</si>
  <si>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</si>
  <si>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</si>
  <si>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</si>
  <si>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</si>
  <si>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</si>
  <si>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</si>
  <si>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</si>
  <si>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</si>
  <si>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</si>
  <si>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</si>
  <si>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</si>
  <si>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</si>
  <si>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</si>
  <si>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</si>
  <si>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</si>
  <si>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</si>
  <si>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</si>
  <si>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</si>
  <si>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</si>
  <si>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</si>
  <si>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</si>
  <si>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</si>
  <si>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</si>
  <si>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</si>
  <si>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</si>
  <si>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</si>
  <si>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</si>
  <si>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</si>
  <si>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</si>
  <si>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</si>
  <si>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</si>
  <si>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</si>
  <si>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</si>
  <si>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</si>
  <si>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</si>
  <si>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</si>
  <si>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</si>
  <si>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</si>
  <si>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</si>
  <si>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</si>
  <si>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</si>
  <si>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</si>
  <si>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</si>
  <si>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</si>
  <si>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</si>
  <si>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</si>
  <si>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</si>
  <si>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</si>
  <si>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</si>
  <si>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</si>
  <si>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</si>
  <si>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</si>
  <si>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</si>
  <si>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</si>
  <si>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</si>
  <si>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</si>
  <si>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</si>
  <si>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</si>
  <si>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</si>
  <si>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</si>
  <si>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</si>
  <si>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</si>
  <si>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</si>
  <si>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</si>
  <si>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</si>
  <si>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</si>
  <si>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</si>
  <si>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</si>
  <si>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</si>
  <si>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</si>
  <si>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</si>
  <si>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</si>
  <si>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</si>
  <si>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</si>
  <si>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</si>
  <si>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</si>
  <si>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</si>
  <si>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</si>
  <si>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</si>
  <si>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</si>
  <si>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</si>
  <si>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</si>
  <si>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</si>
  <si>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</si>
  <si>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</si>
  <si>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</si>
  <si>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</si>
  <si>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</si>
  <si>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</si>
  <si>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</si>
  <si>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</si>
  <si>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</si>
  <si>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</si>
  <si>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</si>
  <si>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</si>
  <si>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</si>
  <si>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</si>
  <si>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</si>
  <si>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</si>
  <si>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</si>
  <si>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</si>
  <si>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</si>
  <si>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</si>
  <si>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</si>
  <si>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</si>
  <si>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</si>
  <si>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</si>
  <si>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</si>
  <si>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</si>
  <si>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</si>
  <si>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</si>
  <si>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</si>
  <si>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</si>
  <si>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</si>
  <si>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</si>
  <si>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</si>
  <si>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</si>
  <si>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</si>
  <si>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</si>
  <si>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</si>
  <si>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</si>
  <si>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</si>
  <si>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</si>
  <si>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</si>
  <si>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</si>
  <si>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</si>
  <si>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</si>
  <si>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</si>
  <si>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</si>
  <si>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</si>
  <si>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</si>
  <si>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</si>
  <si>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</si>
  <si>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</si>
  <si>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</si>
  <si>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</si>
  <si>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</si>
  <si>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</si>
  <si>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</si>
  <si>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</si>
  <si>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</si>
  <si>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</si>
  <si>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</si>
  <si>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</si>
  <si>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</si>
  <si>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</si>
  <si>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</si>
  <si>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</si>
  <si>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</si>
  <si>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</si>
  <si>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</si>
  <si>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</si>
  <si>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</si>
  <si>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</si>
  <si>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</si>
  <si>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</si>
  <si>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</si>
  <si>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</si>
  <si>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</si>
  <si>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</si>
  <si>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</si>
  <si>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</si>
  <si>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</si>
  <si>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</si>
  <si>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</si>
  <si>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</si>
  <si>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</si>
  <si>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</si>
  <si>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</si>
  <si>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</si>
  <si>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</si>
  <si>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</si>
  <si>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</si>
  <si>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</si>
  <si>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</si>
  <si>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</si>
  <si>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</si>
  <si>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</si>
  <si>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</si>
  <si>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</si>
  <si>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</si>
  <si>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</si>
  <si>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</si>
  <si>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</si>
  <si>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</si>
  <si>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</si>
  <si>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</si>
  <si>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</si>
  <si>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</si>
  <si>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</si>
  <si>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</si>
  <si>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</si>
  <si>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</si>
  <si>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</si>
  <si>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</si>
  <si>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</si>
  <si>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</si>
  <si>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</si>
  <si>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</si>
  <si>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</si>
  <si>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</si>
  <si>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</si>
  <si>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</si>
  <si>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</si>
  <si>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</si>
  <si>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</si>
  <si>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</si>
  <si>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</si>
  <si>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</si>
  <si>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</si>
  <si>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</si>
  <si>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</si>
  <si>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</si>
  <si>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</si>
  <si>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</si>
  <si>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</si>
  <si>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</si>
  <si>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</si>
  <si>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</si>
  <si>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</si>
  <si>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</si>
  <si>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</si>
  <si>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</si>
  <si>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</si>
  <si>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</si>
  <si>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</si>
  <si>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</si>
  <si>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</si>
  <si>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</si>
  <si>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</si>
  <si>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</si>
  <si>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</si>
  <si>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</si>
  <si>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</si>
  <si>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</si>
  <si>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</si>
  <si>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</si>
  <si>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</si>
  <si>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</si>
  <si>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</si>
  <si>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</si>
  <si>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</si>
  <si>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</si>
  <si>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</si>
  <si>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</si>
  <si>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</si>
  <si>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</si>
  <si>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</si>
  <si>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</si>
  <si>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</si>
  <si>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</si>
  <si>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</si>
  <si>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</si>
  <si>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</si>
  <si>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</si>
  <si>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</si>
  <si>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</si>
  <si>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</si>
  <si>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</si>
  <si>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</si>
  <si>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</si>
  <si>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</si>
  <si>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</si>
  <si>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</si>
  <si>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</si>
  <si>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</si>
  <si>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</si>
  <si>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</si>
  <si>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</si>
  <si>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</si>
  <si>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</si>
  <si>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</si>
  <si>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</si>
  <si>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</si>
  <si>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</si>
  <si>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</si>
  <si>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</si>
  <si>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</si>
  <si>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</si>
  <si>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</si>
  <si>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</si>
  <si>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</si>
  <si>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</si>
  <si>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</si>
  <si>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</si>
  <si>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</si>
  <si>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</si>
  <si>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</si>
  <si>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</si>
  <si>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</si>
  <si>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</si>
  <si>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</si>
  <si>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</si>
  <si>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</si>
  <si>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</si>
  <si>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</si>
  <si>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</si>
  <si>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</si>
  <si>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</si>
  <si>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</si>
  <si>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</si>
  <si>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</si>
  <si>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</si>
  <si>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</si>
  <si>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</si>
  <si>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</si>
  <si>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</si>
  <si>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</si>
  <si>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</si>
  <si>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</si>
  <si>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</si>
  <si>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</si>
  <si>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</si>
  <si>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</si>
  <si>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</si>
  <si>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</si>
  <si>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</si>
  <si>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</si>
  <si>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</si>
  <si>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</si>
  <si>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</si>
  <si>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</si>
  <si>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</si>
  <si>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</si>
  <si>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</si>
  <si>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</si>
  <si>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</si>
  <si>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</si>
  <si>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</si>
  <si>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</si>
  <si>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</si>
  <si>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</si>
  <si>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</si>
  <si>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</si>
  <si>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</si>
  <si>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</si>
  <si>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</si>
  <si>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</si>
  <si>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</si>
  <si>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</si>
  <si>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</si>
  <si>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</si>
  <si>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</si>
  <si>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</si>
  <si>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</si>
  <si>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</si>
  <si>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</si>
  <si>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</si>
  <si>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</si>
  <si>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</si>
  <si>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</si>
  <si>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</si>
  <si>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</si>
  <si>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</si>
  <si>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</si>
  <si>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</si>
  <si>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</si>
  <si>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</si>
  <si>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</si>
  <si>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</si>
  <si>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</si>
  <si>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</si>
  <si>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</si>
  <si>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</si>
  <si>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</si>
  <si>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</si>
  <si>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</si>
  <si>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</si>
  <si>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</si>
  <si>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</si>
  <si>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</si>
  <si>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</si>
  <si>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</si>
  <si>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</si>
  <si>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</si>
  <si>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</si>
  <si>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</si>
  <si>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</si>
  <si>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</si>
  <si>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</si>
  <si>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</si>
  <si>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</si>
  <si>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</si>
  <si>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</si>
  <si>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</si>
  <si>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</si>
  <si>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</si>
  <si>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</si>
  <si>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</si>
  <si>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</si>
  <si>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</si>
  <si>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</si>
  <si>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</si>
  <si>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</si>
  <si>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</si>
  <si>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</si>
  <si>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</si>
  <si>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</si>
  <si>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</si>
  <si>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</si>
  <si>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</si>
  <si>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</si>
  <si>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</si>
  <si>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</si>
  <si>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</si>
  <si>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</si>
  <si>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</si>
  <si>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</si>
  <si>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</si>
  <si>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</si>
  <si>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</si>
  <si>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</si>
  <si>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</si>
  <si>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</si>
  <si>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</si>
  <si>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</si>
  <si>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</si>
  <si>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</si>
  <si>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</si>
  <si>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</si>
  <si>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</si>
  <si>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</si>
  <si>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</si>
  <si>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</si>
  <si>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</si>
  <si>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</si>
  <si>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</si>
  <si>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</si>
  <si>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</si>
  <si>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</si>
  <si>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</si>
  <si>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</si>
  <si>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</si>
  <si>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</si>
  <si>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</si>
  <si>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</si>
  <si>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</si>
  <si>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</si>
  <si>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</si>
  <si>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</si>
  <si>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</si>
  <si>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</si>
  <si>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</si>
  <si>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</si>
  <si>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</si>
  <si>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</si>
  <si>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</si>
  <si>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</si>
  <si>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</si>
  <si>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</si>
  <si>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</si>
  <si>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</si>
  <si>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</si>
  <si>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</si>
  <si>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</si>
  <si>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</si>
  <si>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</si>
  <si>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</si>
  <si>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</si>
  <si>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</si>
  <si>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</si>
  <si>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</si>
  <si>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</si>
  <si>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</si>
  <si>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</si>
  <si>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</si>
  <si>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</si>
  <si>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</si>
  <si>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</si>
  <si>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</si>
  <si>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</si>
  <si>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</si>
  <si>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</si>
  <si>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</si>
  <si>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</si>
  <si>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</si>
  <si>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</si>
  <si>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</si>
  <si>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</si>
  <si>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</si>
  <si>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</si>
  <si>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</si>
  <si>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</si>
  <si>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</si>
  <si>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</si>
  <si>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</si>
  <si>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</si>
  <si>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</si>
  <si>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</si>
  <si>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</si>
  <si>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</si>
  <si>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</si>
  <si>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</si>
  <si>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</si>
  <si>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</si>
  <si>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</si>
  <si>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</si>
  <si>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</si>
  <si>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</si>
  <si>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</si>
  <si>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</si>
  <si>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</si>
  <si>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</si>
  <si>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</si>
  <si>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</si>
  <si>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</si>
  <si>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</si>
  <si>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</si>
  <si>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</si>
  <si>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</si>
  <si>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</si>
  <si>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</si>
  <si>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</si>
  <si>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</si>
  <si>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</si>
  <si>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</si>
  <si>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</si>
  <si>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</si>
  <si>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</si>
  <si>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</si>
  <si>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</si>
  <si>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</si>
  <si>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</si>
  <si>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</si>
  <si>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</si>
  <si>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</si>
  <si>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</si>
  <si>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</si>
  <si>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</si>
  <si>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</si>
  <si>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</si>
  <si>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</si>
  <si>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</si>
  <si>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</si>
  <si>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</si>
  <si>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</si>
  <si>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</si>
  <si>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</si>
  <si>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</si>
  <si>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</si>
  <si>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</si>
  <si>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</si>
  <si>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</si>
  <si>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</si>
  <si>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</si>
  <si>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</si>
  <si>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</si>
  <si>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</si>
  <si>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</si>
  <si>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</si>
  <si>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</si>
  <si>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</si>
  <si>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</si>
  <si>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</si>
  <si>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</si>
  <si>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</si>
  <si>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</si>
  <si>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</si>
  <si>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</si>
  <si>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</si>
  <si>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</si>
  <si>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</si>
  <si>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</si>
  <si>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</si>
  <si>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</si>
  <si>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</si>
  <si>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</si>
  <si>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</si>
  <si>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</si>
  <si>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</si>
  <si>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</si>
  <si>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</si>
  <si>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</si>
  <si>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</si>
  <si>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</si>
  <si>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</si>
  <si>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</si>
  <si>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</si>
  <si>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</si>
  <si>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</si>
  <si>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</si>
  <si>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</si>
  <si>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</si>
  <si>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</si>
  <si>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</si>
  <si>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</si>
  <si>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</si>
  <si>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</si>
  <si>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</si>
  <si>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</si>
  <si>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</si>
  <si>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</si>
  <si>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</si>
  <si>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</si>
  <si>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</si>
  <si>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</si>
  <si>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</si>
  <si>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</si>
  <si>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</si>
  <si>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</si>
  <si>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</si>
  <si>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</si>
  <si>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</si>
  <si>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</si>
  <si>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</si>
  <si>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</si>
  <si>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</si>
  <si>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</si>
  <si>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</si>
  <si>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</si>
  <si>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</si>
  <si>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</si>
  <si>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</si>
  <si>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</si>
  <si>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</si>
  <si>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</si>
  <si>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</si>
  <si>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</si>
  <si>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</si>
  <si>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</si>
  <si>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</si>
  <si>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</si>
  <si>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</si>
  <si>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</si>
  <si>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</si>
  <si>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</si>
  <si>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</si>
  <si>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</si>
  <si>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</si>
  <si>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</si>
  <si>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</si>
  <si>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</si>
  <si>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</si>
  <si>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</si>
  <si>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</si>
  <si>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</si>
  <si>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</si>
  <si>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</si>
  <si>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</si>
  <si>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</si>
  <si>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</si>
  <si>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</si>
  <si>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</si>
  <si>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</si>
  <si>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</si>
  <si>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</si>
  <si>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</si>
  <si>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</si>
  <si>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</si>
  <si>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</si>
  <si>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</si>
  <si>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</si>
  <si>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</si>
  <si>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</si>
  <si>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</si>
  <si>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</si>
  <si>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</si>
  <si>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</si>
  <si>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</si>
  <si>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</si>
  <si>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</si>
  <si>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</si>
  <si>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</si>
  <si>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</si>
  <si>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</si>
  <si>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</si>
  <si>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</si>
  <si>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</si>
  <si>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</si>
  <si>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</si>
  <si>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</si>
  <si>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</si>
  <si>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</si>
  <si>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</si>
  <si>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</si>
  <si>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</si>
  <si>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</si>
  <si>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</si>
  <si>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</si>
  <si>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</si>
  <si>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</si>
  <si>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</si>
  <si>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</si>
  <si>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</si>
  <si>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</si>
  <si>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</si>
  <si>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</si>
  <si>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</si>
  <si>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</si>
  <si>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</si>
  <si>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</si>
  <si>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</si>
  <si>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</si>
  <si>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</si>
  <si>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</si>
  <si>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</si>
  <si>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</si>
  <si>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</si>
  <si>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</si>
  <si>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</si>
  <si>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</si>
  <si>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</si>
  <si>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</si>
  <si>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</si>
  <si>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</si>
  <si>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</si>
  <si>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</si>
  <si>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</si>
  <si>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</si>
  <si>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</si>
  <si>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</si>
  <si>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</si>
  <si>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</si>
  <si>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</si>
  <si>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</si>
  <si>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</si>
  <si>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</si>
  <si>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</si>
  <si>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</si>
  <si>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</si>
  <si>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</si>
  <si>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</si>
  <si>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</si>
  <si>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</si>
  <si>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</si>
  <si>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</si>
  <si>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</si>
  <si>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</si>
  <si>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</si>
  <si>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</si>
  <si>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</si>
  <si>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</si>
  <si>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</si>
  <si>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</si>
  <si>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</si>
  <si>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</si>
  <si>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</si>
  <si>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</si>
  <si>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</si>
  <si>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</si>
  <si>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</si>
  <si>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</si>
  <si>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</si>
  <si>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</si>
  <si>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</si>
  <si>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</si>
  <si>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</si>
  <si>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</si>
  <si>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</si>
  <si>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</si>
  <si>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</si>
  <si>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</si>
  <si>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</si>
  <si>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</si>
  <si>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</si>
  <si>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</si>
  <si>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</si>
  <si>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</si>
  <si>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</si>
  <si>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</si>
  <si>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</si>
  <si>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</si>
  <si>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</si>
  <si>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</si>
  <si>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</si>
  <si>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</si>
  <si>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</si>
  <si>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</si>
  <si>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</si>
  <si>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</si>
  <si>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</si>
  <si>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</si>
  <si>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</si>
  <si>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</si>
  <si>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</si>
  <si>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</si>
  <si>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</si>
  <si>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</si>
  <si>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</si>
  <si>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</si>
  <si>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</si>
  <si>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</si>
  <si>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</si>
  <si>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</si>
  <si>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</si>
  <si>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</si>
  <si>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</si>
  <si>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</si>
  <si>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</si>
  <si>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</si>
  <si>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</si>
  <si>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</si>
  <si>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</si>
  <si>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</si>
  <si>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</si>
  <si>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</si>
  <si>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</si>
  <si>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</si>
  <si>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</si>
  <si>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</si>
  <si>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</si>
  <si>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</si>
  <si>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</si>
  <si>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</si>
  <si>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</si>
  <si>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</si>
  <si>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</si>
  <si>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</si>
  <si>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</si>
  <si>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</si>
  <si>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</si>
  <si>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</si>
  <si>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</si>
  <si>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</si>
  <si>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</si>
  <si>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</si>
  <si>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</si>
  <si>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</si>
  <si>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</si>
  <si>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</si>
  <si>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</si>
  <si>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</si>
  <si>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</si>
  <si>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</si>
  <si>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</si>
  <si>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</si>
  <si>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</si>
  <si>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</si>
  <si>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</si>
  <si>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</si>
  <si>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</si>
  <si>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</si>
  <si>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</si>
  <si>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</si>
  <si>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</si>
  <si>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</si>
  <si>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</si>
  <si>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</si>
  <si>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</si>
  <si>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</si>
  <si>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</si>
  <si>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</si>
  <si>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</si>
  <si>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</si>
  <si>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</si>
  <si>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</si>
  <si>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</si>
  <si>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</si>
  <si>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</si>
  <si>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</si>
  <si>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</si>
  <si>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</si>
  <si>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</si>
  <si>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</si>
  <si>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</si>
  <si>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</si>
  <si>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</si>
  <si>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</si>
  <si>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</si>
  <si>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</si>
  <si>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</si>
  <si>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</si>
  <si>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</si>
  <si>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</si>
  <si>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</si>
  <si>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</si>
  <si>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</si>
  <si>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</si>
  <si>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</si>
  <si>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</si>
  <si>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</si>
  <si>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</si>
  <si>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</si>
  <si>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</si>
  <si>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</si>
  <si>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</si>
  <si>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</si>
  <si>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</si>
  <si>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</si>
  <si>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</si>
  <si>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</si>
  <si>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</si>
  <si>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</si>
  <si>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</si>
  <si>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</si>
  <si>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</si>
  <si>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</si>
  <si>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</si>
  <si>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</si>
  <si>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</si>
  <si>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</si>
  <si>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</si>
  <si>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</si>
  <si>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</si>
  <si>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</si>
  <si>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</si>
  <si>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</si>
  <si>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</si>
  <si>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</si>
  <si>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</si>
  <si>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</si>
  <si>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</si>
  <si>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</si>
  <si>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</si>
  <si>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</si>
  <si>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</si>
  <si>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</si>
  <si>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</si>
  <si>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</si>
  <si>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</si>
  <si>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</si>
  <si>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</si>
  <si>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</si>
  <si>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</si>
  <si>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</si>
  <si>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</si>
  <si>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</si>
  <si>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</si>
  <si>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</si>
  <si>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</si>
  <si>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</si>
  <si>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</si>
  <si>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</si>
  <si>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</si>
  <si>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</si>
  <si>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</si>
  <si>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</si>
  <si>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</si>
  <si>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</si>
  <si>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</si>
  <si>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</si>
  <si>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</si>
  <si>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</si>
  <si>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</si>
  <si>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</si>
  <si>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</si>
  <si>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</si>
  <si>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</si>
  <si>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</si>
  <si>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</si>
  <si>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</si>
  <si>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</si>
  <si>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</si>
  <si>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</si>
  <si>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</si>
  <si>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</si>
  <si>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</si>
  <si>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</si>
  <si>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</si>
  <si>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</si>
  <si>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</si>
  <si>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</si>
  <si>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</si>
  <si>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</si>
  <si>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</si>
  <si>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</si>
  <si>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</si>
  <si>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</si>
  <si>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</si>
  <si>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</si>
  <si>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</si>
  <si>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</si>
  <si>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</si>
  <si>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</si>
  <si>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</si>
  <si>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</si>
  <si>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</si>
  <si>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</si>
  <si>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</si>
  <si>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</si>
  <si>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</si>
  <si>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</si>
  <si>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</si>
  <si>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</si>
  <si>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</si>
  <si>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</si>
  <si>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</si>
  <si>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</si>
  <si>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</si>
  <si>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</si>
  <si>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</si>
  <si>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</si>
  <si>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</si>
  <si>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</si>
  <si>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</si>
  <si>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</si>
  <si>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</si>
  <si>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</si>
  <si>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</si>
  <si>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</si>
  <si>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</si>
  <si>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</si>
  <si>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</si>
  <si>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</si>
  <si>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</si>
  <si>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</si>
  <si>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</si>
  <si>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</si>
  <si>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</si>
  <si>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</si>
  <si>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</si>
  <si>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</si>
  <si>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</si>
  <si>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</si>
  <si>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</si>
  <si>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</si>
  <si>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</si>
  <si>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</si>
  <si>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</si>
  <si>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</si>
  <si>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</si>
  <si>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</si>
  <si>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</si>
  <si>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</si>
  <si>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</si>
  <si>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</si>
  <si>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</si>
  <si>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</si>
  <si>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</si>
  <si>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</si>
  <si>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</si>
  <si>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</si>
  <si>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</si>
  <si>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</si>
  <si>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</si>
  <si>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</si>
  <si>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</si>
  <si>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</si>
  <si>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</si>
  <si>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</si>
  <si>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</si>
  <si>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</si>
  <si>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</si>
  <si>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</si>
  <si>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</si>
  <si>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</si>
  <si>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</si>
  <si>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</si>
  <si>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</si>
  <si>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</si>
  <si>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</si>
  <si>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</si>
  <si>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</si>
  <si>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</si>
  <si>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</si>
  <si>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</si>
  <si>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</si>
  <si>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</si>
  <si>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</si>
  <si>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</si>
  <si>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</si>
  <si>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</si>
  <si>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</si>
  <si>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</si>
  <si>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</si>
  <si>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</si>
  <si>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</si>
  <si>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</si>
  <si>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</si>
  <si>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</si>
  <si>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</si>
  <si>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</si>
  <si>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</si>
  <si>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</si>
  <si>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</si>
  <si>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</si>
  <si>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</si>
  <si>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</si>
  <si>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</si>
  <si>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</si>
  <si>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</si>
  <si>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</si>
  <si>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</si>
  <si>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</si>
  <si>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</si>
  <si>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</si>
  <si>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</si>
  <si>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</si>
  <si>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</si>
  <si>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</si>
  <si>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</si>
  <si>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</si>
  <si>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</si>
  <si>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</si>
  <si>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</si>
  <si>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</si>
  <si>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</si>
  <si>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</si>
  <si>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</si>
  <si>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</si>
  <si>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</si>
  <si>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</si>
  <si>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</si>
  <si>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</si>
  <si>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</si>
  <si>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</si>
  <si>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</si>
  <si>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</si>
  <si>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</si>
  <si>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</si>
  <si>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</si>
  <si>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</si>
  <si>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</si>
  <si>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</si>
  <si>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</si>
  <si>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</si>
  <si>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</si>
  <si>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</si>
  <si>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</si>
  <si>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</si>
  <si>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</si>
  <si>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</si>
  <si>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</si>
  <si>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</si>
  <si>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</si>
  <si>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</si>
  <si>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</si>
  <si>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</si>
  <si>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</si>
  <si>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</si>
  <si>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</si>
  <si>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</si>
  <si>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</si>
  <si>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</si>
  <si>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</si>
  <si>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</si>
  <si>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</si>
  <si>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</si>
  <si>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</si>
  <si>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</si>
  <si>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</si>
  <si>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</si>
  <si>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</si>
  <si>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</si>
  <si>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</si>
  <si>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</si>
  <si>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</si>
  <si>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</si>
  <si>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</si>
  <si>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</si>
  <si>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</si>
  <si>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</si>
  <si>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</si>
  <si>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</si>
  <si>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</si>
  <si>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</si>
  <si>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</si>
  <si>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</si>
  <si>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</si>
  <si>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</si>
  <si>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</si>
  <si>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</si>
  <si>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</si>
  <si>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</si>
  <si>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</si>
  <si>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</si>
  <si>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</si>
  <si>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</si>
  <si>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</si>
  <si>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</si>
  <si>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</si>
  <si>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</si>
  <si>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</si>
  <si>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</si>
  <si>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</si>
  <si>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</si>
  <si>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</si>
  <si>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</si>
  <si>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</si>
  <si>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</si>
  <si>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</si>
  <si>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</si>
  <si>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</si>
  <si>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</si>
  <si>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</si>
  <si>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</si>
  <si>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</si>
  <si>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</si>
  <si>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</si>
  <si>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</si>
  <si>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</si>
  <si>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</si>
  <si>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</si>
  <si>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</si>
  <si>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</si>
  <si>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</si>
  <si>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</si>
  <si>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</si>
  <si>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</si>
  <si>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</si>
  <si>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</si>
  <si>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</si>
  <si>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</si>
  <si>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</si>
  <si>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</si>
  <si>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</si>
  <si>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</si>
  <si>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</si>
  <si>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</si>
  <si>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</si>
  <si>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</si>
  <si>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</si>
  <si>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</si>
  <si>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</si>
  <si>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</si>
  <si>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</si>
  <si>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</si>
  <si>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</si>
  <si>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</si>
  <si>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</si>
  <si>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</si>
  <si>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</si>
  <si>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</si>
  <si>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</si>
  <si>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</si>
  <si>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</si>
  <si>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</si>
  <si>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</si>
  <si>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</si>
  <si>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</si>
  <si>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</si>
  <si>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</si>
  <si>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</si>
  <si>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</si>
  <si>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</si>
  <si>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</si>
  <si>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</si>
  <si>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</si>
  <si>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</si>
  <si>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</si>
  <si>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</si>
  <si>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</si>
  <si>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</si>
  <si>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</si>
  <si>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</si>
  <si>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</si>
  <si>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</si>
  <si>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</si>
  <si>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</si>
  <si>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</si>
  <si>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</si>
  <si>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</si>
  <si>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</si>
  <si>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</si>
  <si>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</si>
  <si>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</si>
  <si>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</si>
  <si>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</si>
  <si>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</si>
  <si>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</si>
  <si>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</si>
  <si>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</si>
  <si>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</si>
  <si>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</si>
  <si>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</si>
  <si>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</si>
  <si>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</si>
  <si>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</si>
  <si>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</si>
  <si>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</si>
  <si>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</si>
  <si>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</si>
  <si>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</si>
  <si>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</si>
  <si>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</si>
  <si>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</si>
  <si>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</si>
  <si>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</si>
  <si>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</si>
  <si>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</si>
  <si>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</si>
  <si>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</si>
  <si>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</si>
  <si>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</si>
  <si>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</si>
  <si>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</si>
  <si>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</si>
  <si>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</si>
  <si>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</si>
  <si>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</si>
  <si>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</si>
  <si>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</si>
  <si>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</si>
  <si>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</si>
  <si>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</si>
  <si>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</si>
  <si>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</si>
  <si>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</si>
  <si>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</si>
  <si>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</si>
  <si>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</si>
  <si>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</si>
  <si>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</si>
  <si>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</si>
  <si>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</si>
  <si>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</si>
  <si>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</si>
  <si>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</si>
  <si>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</si>
  <si>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</si>
  <si>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</si>
  <si>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</si>
  <si>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</si>
  <si>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</si>
  <si>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</si>
  <si>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</si>
  <si>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</si>
  <si>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</si>
  <si>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</si>
  <si>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</si>
  <si>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</si>
  <si>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</si>
  <si>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</si>
  <si>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</si>
  <si>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</si>
  <si>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</si>
  <si>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</si>
  <si>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</si>
  <si>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</si>
  <si>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</si>
  <si>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</si>
  <si>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</si>
  <si>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</si>
  <si>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</si>
  <si>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</si>
  <si>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</si>
  <si>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</si>
  <si>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</si>
  <si>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</si>
  <si>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</si>
  <si>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</si>
  <si>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</si>
  <si>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</si>
  <si>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</si>
  <si>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</si>
  <si>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</si>
  <si>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</si>
  <si>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</si>
  <si>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</si>
  <si>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</si>
  <si>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</si>
  <si>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</si>
  <si>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</si>
  <si>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</si>
  <si>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</si>
  <si>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</si>
  <si>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</si>
  <si>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</si>
  <si>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</si>
  <si>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</si>
  <si>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</si>
  <si>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</si>
  <si>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</si>
  <si>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</si>
  <si>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</si>
  <si>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</si>
  <si>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</si>
  <si>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</si>
  <si>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</si>
  <si>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</si>
  <si>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</si>
  <si>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</si>
  <si>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</si>
  <si>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</si>
  <si>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</si>
  <si>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</si>
  <si>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</si>
  <si>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</si>
  <si>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</si>
  <si>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</si>
  <si>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</si>
  <si>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</si>
  <si>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</si>
  <si>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</si>
  <si>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</si>
  <si>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</si>
  <si>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</si>
  <si>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</si>
  <si>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</si>
  <si>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</si>
  <si>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</si>
  <si>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</si>
  <si>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</si>
  <si>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</si>
  <si>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</si>
  <si>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</si>
  <si>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</si>
  <si>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</si>
  <si>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</si>
  <si>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</si>
  <si>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</si>
  <si>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</si>
  <si>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</si>
  <si>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</si>
  <si>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</si>
  <si>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</si>
  <si>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</si>
  <si>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</si>
  <si>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</si>
  <si>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</si>
  <si>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</si>
  <si>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</si>
  <si>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</si>
  <si>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</si>
  <si>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</si>
  <si>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</si>
  <si>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</si>
  <si>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</si>
  <si>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</si>
  <si>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</si>
  <si>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</si>
  <si>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</si>
  <si>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</si>
  <si>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</si>
  <si>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</si>
  <si>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</si>
  <si>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</si>
  <si>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</si>
  <si>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</si>
  <si>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</si>
  <si>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</si>
  <si>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</si>
  <si>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</si>
  <si>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</si>
  <si>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</si>
  <si>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</si>
  <si>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</si>
  <si>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</si>
  <si>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</si>
  <si>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</si>
  <si>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</si>
  <si>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</si>
  <si>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</si>
  <si>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</si>
  <si>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</si>
  <si>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</si>
  <si>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</si>
  <si>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</si>
  <si>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</si>
  <si>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</si>
  <si>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</si>
  <si>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</si>
  <si>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</si>
  <si>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</si>
  <si>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</si>
  <si>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</si>
  <si>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</si>
  <si>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</si>
  <si>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</si>
  <si>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</si>
  <si>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</si>
  <si>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</si>
  <si>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</si>
  <si>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</si>
  <si>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</si>
  <si>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</si>
  <si>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</si>
  <si>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</si>
  <si>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</si>
  <si>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</si>
  <si>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</si>
  <si>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</si>
  <si>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</si>
  <si>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</si>
  <si>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</si>
  <si>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</si>
  <si>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</si>
  <si>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</si>
  <si>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</si>
  <si>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</si>
  <si>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</si>
  <si>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</si>
  <si>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</si>
  <si>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</si>
  <si>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</si>
  <si>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</si>
  <si>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</si>
  <si>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</si>
  <si>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</si>
  <si>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</si>
  <si>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</si>
  <si>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</si>
  <si>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</si>
  <si>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</si>
  <si>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</si>
  <si>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</si>
  <si>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</si>
  <si>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</si>
  <si>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</si>
  <si>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</si>
  <si>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</si>
  <si>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</si>
  <si>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</si>
  <si>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</si>
  <si>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</si>
  <si>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</si>
  <si>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</si>
  <si>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</si>
  <si>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</si>
  <si>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</si>
  <si>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</si>
  <si>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</si>
  <si>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</si>
  <si>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</si>
  <si>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</si>
  <si>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</si>
  <si>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</si>
  <si>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</si>
  <si>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</si>
  <si>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</si>
  <si>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</si>
  <si>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</si>
  <si>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</si>
  <si>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</si>
  <si>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</si>
  <si>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</si>
  <si>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</si>
  <si>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</si>
  <si>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</si>
  <si>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</si>
  <si>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</si>
  <si>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</si>
  <si>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</si>
  <si>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</si>
  <si>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</si>
  <si>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</si>
  <si>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</si>
  <si>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</si>
  <si>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</si>
  <si>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</si>
  <si>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</si>
  <si>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</si>
  <si>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</si>
  <si>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</si>
  <si>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</si>
  <si>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</si>
  <si>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</si>
  <si>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</si>
  <si>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</si>
  <si>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</si>
  <si>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</si>
  <si>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</si>
  <si>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</si>
  <si>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</si>
  <si>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</si>
  <si>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</si>
  <si>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</si>
  <si>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</si>
  <si>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</si>
  <si>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</si>
  <si>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</si>
  <si>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</si>
  <si>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</si>
  <si>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</si>
  <si>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</si>
  <si>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</si>
  <si>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</si>
  <si>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</si>
  <si>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</si>
  <si>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</si>
  <si>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</si>
  <si>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</si>
  <si>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</si>
  <si>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</si>
  <si>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</si>
  <si>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</si>
  <si>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</si>
  <si>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</si>
  <si>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</si>
  <si>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</si>
  <si>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</si>
  <si>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</si>
  <si>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</si>
  <si>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</si>
  <si>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</si>
  <si>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</si>
  <si>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</si>
  <si>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</si>
  <si>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</si>
  <si>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</si>
  <si>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</si>
  <si>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</si>
  <si>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</si>
  <si>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</si>
  <si>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</si>
  <si>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</si>
  <si>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</si>
  <si>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</si>
  <si>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</si>
  <si>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</si>
  <si>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</si>
  <si>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</si>
  <si>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</si>
  <si>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</si>
  <si>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</si>
  <si>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</si>
  <si>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</si>
  <si>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</si>
  <si>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</si>
  <si>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</si>
  <si>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</si>
  <si>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</si>
  <si>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</si>
  <si>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</si>
  <si>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</si>
  <si>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</si>
  <si>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</si>
  <si>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</si>
  <si>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</si>
  <si>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</si>
  <si>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</si>
  <si>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</si>
  <si>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</si>
  <si>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</si>
  <si>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</si>
  <si>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</si>
  <si>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</si>
  <si>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</si>
  <si>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</si>
  <si>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</si>
  <si>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</si>
  <si>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</si>
  <si>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</si>
  <si>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</si>
  <si>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</si>
  <si>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</si>
  <si>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</si>
  <si>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</si>
  <si>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</si>
  <si>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</si>
  <si>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</si>
  <si>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</si>
  <si>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</si>
  <si>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</si>
  <si>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</si>
  <si>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</si>
  <si>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</si>
  <si>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</si>
  <si>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</si>
  <si>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</si>
  <si>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</si>
  <si>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</si>
  <si>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</si>
  <si>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</si>
  <si>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</si>
  <si>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</si>
  <si>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</si>
  <si>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</si>
  <si>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</si>
  <si>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StDev</t>
  </si>
  <si>
    <t>"+2 StDev"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</si>
  <si>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</si>
  <si>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</si>
  <si>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</si>
  <si>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</si>
  <si>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</si>
  <si>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</si>
  <si>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</si>
  <si>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</si>
  <si>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</si>
  <si>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</si>
  <si>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</si>
  <si>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</si>
  <si>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</si>
  <si>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</si>
  <si>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</si>
  <si>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</si>
  <si>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</si>
  <si>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</si>
  <si>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</si>
  <si>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</si>
  <si>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</si>
  <si>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 Count</t>
  </si>
  <si>
    <t>Median</t>
  </si>
  <si>
    <t>Minimum</t>
  </si>
  <si>
    <t>Maximum</t>
  </si>
  <si>
    <t>Backer Count(Successful)</t>
  </si>
  <si>
    <t>Variance</t>
  </si>
  <si>
    <t>Stdev</t>
  </si>
  <si>
    <t>Backer Count(Failed)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</si>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</sst>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centerContinuous"/>
    </xf>
    <xf numFmtId="0" fontId="19" fillId="0" borderId="10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7-4C30-9B6C-C8D05A9875DF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6-4F2E-B36B-C2693D86E5C8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6-4F2E-B36B-C2693D86E5C8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96-4F2E-B36B-C2693D86E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558992"/>
        <c:axId val="841566064"/>
      </c:barChart>
      <c:catAx>
        <c:axId val="8415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66064"/>
        <c:crosses val="autoZero"/>
        <c:auto val="1"/>
        <c:lblAlgn val="ctr"/>
        <c:lblOffset val="100"/>
        <c:noMultiLvlLbl val="0"/>
      </c:catAx>
      <c:valAx>
        <c:axId val="8415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5-4AB6-A07F-673F829662A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1-4B73-8AA6-C1246D70FE1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1-4B73-8AA6-C1246D70FE1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1-4B73-8AA6-C1246D70F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7487184"/>
        <c:axId val="847505488"/>
      </c:barChart>
      <c:catAx>
        <c:axId val="8474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05488"/>
        <c:crosses val="autoZero"/>
        <c:auto val="1"/>
        <c:lblAlgn val="ctr"/>
        <c:lblOffset val="100"/>
        <c:noMultiLvlLbl val="0"/>
      </c:catAx>
      <c:valAx>
        <c:axId val="8475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8-47C3-88F1-AC7B50D4BB3D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8-47C3-88F1-AC7B50D4BB3D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38-47C3-88F1-AC7B50D4BB3D}"/>
            </c:ext>
          </c:extLst>
        </c:ser>
        <c:ser>
          <c:idx val="3"/>
          <c:order val="3"/>
          <c:tx>
            <c:strRef>
              <c:f>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38-47C3-88F1-AC7B50D4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78367"/>
        <c:axId val="688577951"/>
      </c:lineChart>
      <c:catAx>
        <c:axId val="68857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7951"/>
        <c:crosses val="autoZero"/>
        <c:auto val="1"/>
        <c:lblAlgn val="ctr"/>
        <c:lblOffset val="100"/>
        <c:noMultiLvlLbl val="0"/>
      </c:catAx>
      <c:valAx>
        <c:axId val="6885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4-43E9-BC6F-A345C22C5AA9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4-43E9-BC6F-A345C22C5AA9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4-43E9-BC6F-A345C22C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925791"/>
        <c:axId val="721940767"/>
      </c:lineChart>
      <c:catAx>
        <c:axId val="7219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40767"/>
        <c:crosses val="autoZero"/>
        <c:auto val="1"/>
        <c:lblAlgn val="ctr"/>
        <c:lblOffset val="100"/>
        <c:noMultiLvlLbl val="0"/>
      </c:catAx>
      <c:valAx>
        <c:axId val="7219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2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176211</xdr:colOff>
      <xdr:row>5</xdr:row>
      <xdr:rowOff>119062</xdr:rowOff>
    </xdr:from>
    <xdr:to>
      <xdr:col>24</xdr:col>
      <xdr:colOff>314325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DA889-B6EC-40E9-D423-B7DD22838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657226</xdr:colOff>
      <xdr:row>13</xdr:row>
      <xdr:rowOff>128587</xdr:rowOff>
    </xdr:from>
    <xdr:to>
      <xdr:col>24</xdr:col>
      <xdr:colOff>295276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32CD6-3C46-36C5-4D73-34A5AEAB7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4</xdr:row>
      <xdr:rowOff>109537</xdr:rowOff>
    </xdr:from>
    <xdr:to>
      <xdr:col>14</xdr:col>
      <xdr:colOff>185737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E7C16-028B-9332-3765-9BDAD4B0A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14</xdr:row>
      <xdr:rowOff>28575</xdr:rowOff>
    </xdr:from>
    <xdr:to>
      <xdr:col>7</xdr:col>
      <xdr:colOff>995362</xdr:colOff>
      <xdr:row>32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8933E-50CC-7B4C-93BF-CB0F3B685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luken" refreshedDate="44983.616880671296" createdVersion="8" refreshedVersion="8" minRefreshableVersion="3" recordCount="1001" xr:uid="{CCF5F4B0-8E82-4678-95AE-9659C077F10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2778A-0191-42A6-88F2-704F4E29E26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A2CB2-29B8-475B-BB5B-CE8D0B76277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2FC58-10DB-405B-BE10-450DC331433C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9" sqref="H1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(((L67/60)/60)/24)+DATE(1970,1,1)</f>
        <v>40570.25</v>
      </c>
      <c r="O67" s="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0">(((L131/60)/60)/24)+DATE(1970,1,1)</f>
        <v>42038.25</v>
      </c>
      <c r="O131" s="7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0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4">(((L195/60)/60)/24)+DATE(1970,1,1)</f>
        <v>43198.208333333328</v>
      </c>
      <c r="O195" s="7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4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8">(((L259/60)/60)/24)+DATE(1970,1,1)</f>
        <v>41338.25</v>
      </c>
      <c r="O259" s="7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8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2">(((L323/60)/60)/24)+DATE(1970,1,1)</f>
        <v>40634.208333333336</v>
      </c>
      <c r="O323" s="7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2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6">(((L387/60)/60)/24)+DATE(1970,1,1)</f>
        <v>43553.208333333328</v>
      </c>
      <c r="O387" s="7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6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30">(((L451/60)/60)/24)+DATE(1970,1,1)</f>
        <v>43530.25</v>
      </c>
      <c r="O451" s="7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0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4">(((L515/60)/60)/24)+DATE(1970,1,1)</f>
        <v>40430.208333333336</v>
      </c>
      <c r="O515" s="7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4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8">(((L579/60)/60)/24)+DATE(1970,1,1)</f>
        <v>40613.25</v>
      </c>
      <c r="O579" s="7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8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2">(((L643/60)/60)/24)+DATE(1970,1,1)</f>
        <v>42786.25</v>
      </c>
      <c r="O643" s="7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2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6">(((L707/60)/60)/24)+DATE(1970,1,1)</f>
        <v>41619.25</v>
      </c>
      <c r="O707" s="7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50">(((L771/60)/60)/24)+DATE(1970,1,1)</f>
        <v>41501.208333333336</v>
      </c>
      <c r="O771" s="7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50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4">(((L835/60)/60)/24)+DATE(1970,1,1)</f>
        <v>40588.25</v>
      </c>
      <c r="O835" s="7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4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8">(((L899/60)/60)/24)+DATE(1970,1,1)</f>
        <v>43583.208333333328</v>
      </c>
      <c r="O899" s="7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8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2">(((L963/60)/60)/24)+DATE(1970,1,1)</f>
        <v>40591.25</v>
      </c>
      <c r="O963" s="7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25E6-E2E4-4100-9FAE-0AFFABB42E73}">
  <dimension ref="A1:F14"/>
  <sheetViews>
    <sheetView tabSelected="1" workbookViewId="0">
      <selection activeCell="B5" sqref="B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2069</v>
      </c>
      <c r="B3" s="5" t="s">
        <v>2068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6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6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6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6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6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6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6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6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6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7EDC-334D-42F5-A35F-259330465908}">
  <dimension ref="A1:F30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2031</v>
      </c>
      <c r="B2" t="s">
        <v>2070</v>
      </c>
    </row>
    <row r="4" spans="1:6" x14ac:dyDescent="0.25">
      <c r="A4" s="5" t="s">
        <v>2069</v>
      </c>
      <c r="B4" s="5" t="s">
        <v>2068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6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6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6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6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6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6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6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6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6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6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6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6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6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6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6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6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6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6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6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6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6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6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6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6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37B6-2C0F-4364-88F3-00AA4435D879}">
  <dimension ref="A1:F26"/>
  <sheetViews>
    <sheetView workbookViewId="0">
      <selection activeCell="E27" sqref="E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2031</v>
      </c>
      <c r="B1" t="s">
        <v>2070</v>
      </c>
    </row>
    <row r="2" spans="1:6" x14ac:dyDescent="0.25">
      <c r="A2" s="5" t="s">
        <v>2085</v>
      </c>
      <c r="B2" t="s">
        <v>2070</v>
      </c>
    </row>
    <row r="4" spans="1:6" x14ac:dyDescent="0.25">
      <c r="A4" s="5" t="s">
        <v>2069</v>
      </c>
      <c r="B4" s="5" t="s">
        <v>2068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5">
      <c r="A7" s="6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5">
      <c r="A8" s="6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5">
      <c r="A9" s="6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5">
      <c r="A10" s="6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5">
      <c r="A11" s="6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5">
      <c r="A12" s="6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5">
      <c r="A13" s="6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5">
      <c r="A14" s="6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5">
      <c r="A15" s="6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5">
      <c r="A16" s="6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5">
      <c r="A17" s="6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5">
      <c r="A18" s="6" t="s">
        <v>2067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  <row r="21" spans="1:6" x14ac:dyDescent="0.25">
      <c r="E21" t="s">
        <v>2086</v>
      </c>
    </row>
    <row r="22" spans="1:6" x14ac:dyDescent="0.25">
      <c r="E22">
        <f>AVERAGE(E6:E17)</f>
        <v>47.083333333333336</v>
      </c>
    </row>
    <row r="23" spans="1:6" x14ac:dyDescent="0.25">
      <c r="E23" t="s">
        <v>2087</v>
      </c>
    </row>
    <row r="24" spans="1:6" x14ac:dyDescent="0.25">
      <c r="E24">
        <f>_xlfn.STDEV.P(E6:E17)</f>
        <v>4.8037890137774459</v>
      </c>
    </row>
    <row r="25" spans="1:6" x14ac:dyDescent="0.25">
      <c r="E25" t="s">
        <v>2088</v>
      </c>
    </row>
    <row r="26" spans="1:6" x14ac:dyDescent="0.25">
      <c r="E26">
        <f>E22+(E24*2)</f>
        <v>56.690911360888229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112E-B073-48B7-BDFF-B3F642052826}">
  <dimension ref="A1:H13"/>
  <sheetViews>
    <sheetView workbookViewId="0">
      <selection activeCell="E49" sqref="E49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25">
      <c r="A2" t="s">
        <v>2097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COUNTIFS(Crowdfunding!$D:$D,"&lt;1000",Crowdfunding!$G:$G,"&lt;&gt;live")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25">
      <c r="A3" t="s">
        <v>2098</v>
      </c>
      <c r="B3">
        <f>COUNTIFS(Crowdfunding!$G:$G,"successful",Crowdfunding!$D:$D,"&gt;999",Crowdfunding!$D:$D,"&lt;5000")</f>
        <v>191</v>
      </c>
      <c r="C3">
        <f>COUNTIFS(Crowdfunding!$G:$G,"failed",Crowdfunding!$D:$D,"&gt;999",Crowdfunding!$D:$D,"&lt;5000")</f>
        <v>38</v>
      </c>
      <c r="D3">
        <f>COUNTIFS(Crowdfunding!$G:$G,"canceled",Crowdfunding!$D:$D,"&gt;999",Crowdfunding!$D:$D,"&lt;5000")</f>
        <v>2</v>
      </c>
      <c r="E3">
        <f>COUNTIFS(Crowdfunding!$D:$D,"&gt;999",Crowdfunding!$D:$D,"&lt;5000",Crowdfunding!$G:$G,"&lt;&gt;live")</f>
        <v>231</v>
      </c>
      <c r="F3" s="4">
        <f t="shared" ref="F3:F13" si="1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25">
      <c r="A4" t="s">
        <v>2099</v>
      </c>
      <c r="B4">
        <f>COUNTIFS(Crowdfunding!$G:$G,"successful",Crowdfunding!$D:$D,"&gt;4999",Crowdfunding!$D:$D,"&lt;10000")</f>
        <v>164</v>
      </c>
      <c r="C4">
        <f>COUNTIFS(Crowdfunding!$G:$G,"failed",Crowdfunding!$D:$D,"&gt;4999",Crowdfunding!$D:$D,"&lt;10000")</f>
        <v>126</v>
      </c>
      <c r="D4">
        <f>COUNTIFS(Crowdfunding!$G:$G,"canceled",Crowdfunding!$D:$D,"&gt;4999",Crowdfunding!$D:$D,"&lt;10000")</f>
        <v>25</v>
      </c>
      <c r="E4">
        <f>COUNTIFS(Crowdfunding!$D:$D,"&gt;4999",Crowdfunding!$D:$D,"&lt;10000",Crowdfunding!$G:$G,"&lt;&gt;live")</f>
        <v>315</v>
      </c>
      <c r="F4" s="4">
        <f t="shared" si="1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25">
      <c r="A5" t="s">
        <v>2100</v>
      </c>
      <c r="B5">
        <f>COUNTIFS(Crowdfunding!$G:$G,"successful",Crowdfunding!$D:$D,"&gt;9999",Crowdfunding!$D:$D,"&lt;15000")</f>
        <v>4</v>
      </c>
      <c r="C5">
        <f>COUNTIFS(Crowdfunding!$G:$G,"failed",Crowdfunding!$D:$D,"&gt;9999",Crowdfunding!$D:$D,"&lt;15000")</f>
        <v>5</v>
      </c>
      <c r="D5">
        <f>COUNTIFS(Crowdfunding!$G:$G,"canceled",Crowdfunding!$D:$D,"&gt;9999",Crowdfunding!$D:$D,"&lt;15000")</f>
        <v>0</v>
      </c>
      <c r="E5">
        <f>COUNTIFS(Crowdfunding!$D:$D,"&gt;9999",Crowdfunding!$D:$D,"&lt;15000",Crowdfunding!$G:$G,"&lt;&gt;live")</f>
        <v>9</v>
      </c>
      <c r="F5" s="4">
        <f t="shared" si="1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25">
      <c r="A6" t="s">
        <v>2101</v>
      </c>
      <c r="B6">
        <f>COUNTIFS(Crowdfunding!$G:$G,"successful",Crowdfunding!$D:$D,"&gt;14999",Crowdfunding!$D:$D,"&lt;20000")</f>
        <v>10</v>
      </c>
      <c r="C6">
        <f>COUNTIFS(Crowdfunding!$G:$G,"failed",Crowdfunding!$D:$D,"&gt;14999",Crowdfunding!$D:$D,"&lt;20000")</f>
        <v>0</v>
      </c>
      <c r="D6">
        <f>COUNTIFS(Crowdfunding!$G:$G,"canceled",Crowdfunding!$D:$D,"&gt;14999",Crowdfunding!$D:$D,"&lt;20000")</f>
        <v>0</v>
      </c>
      <c r="E6">
        <f>COUNTIFS(Crowdfunding!$D:$D,"&gt;14999",Crowdfunding!$D:$D,"&lt;20000",Crowdfunding!$G:$G,"&lt;&gt;live")</f>
        <v>10</v>
      </c>
      <c r="F6" s="4">
        <f t="shared" si="1"/>
        <v>1</v>
      </c>
      <c r="G6" s="4">
        <f t="shared" si="0"/>
        <v>0</v>
      </c>
      <c r="H6" s="4">
        <f t="shared" si="0"/>
        <v>0</v>
      </c>
    </row>
    <row r="7" spans="1:8" x14ac:dyDescent="0.25">
      <c r="A7" t="s">
        <v>2102</v>
      </c>
      <c r="B7">
        <f>COUNTIFS(Crowdfunding!$G:$G,"successful",Crowdfunding!$D:$D,"&gt;19999",Crowdfunding!$D:$D,"&lt;25000")</f>
        <v>7</v>
      </c>
      <c r="C7">
        <f>COUNTIFS(Crowdfunding!$G:$G,"failed",Crowdfunding!$D:$D,"&gt;19999",Crowdfunding!$D:$D,"&lt;25000")</f>
        <v>0</v>
      </c>
      <c r="D7">
        <f>COUNTIFS(Crowdfunding!$G:$G,"canceled",Crowdfunding!$D:$D,"&gt;19999",Crowdfunding!$D:$D,"&lt;25000")</f>
        <v>0</v>
      </c>
      <c r="E7">
        <f>COUNTIFS(Crowdfunding!$D:$D,"&gt;19999",Crowdfunding!$D:$D,"&lt;25000",Crowdfunding!$G:$G,"&lt;&gt;live")</f>
        <v>7</v>
      </c>
      <c r="F7" s="4">
        <f t="shared" si="1"/>
        <v>1</v>
      </c>
      <c r="G7" s="4">
        <f t="shared" si="0"/>
        <v>0</v>
      </c>
      <c r="H7" s="4">
        <f t="shared" si="0"/>
        <v>0</v>
      </c>
    </row>
    <row r="8" spans="1:8" x14ac:dyDescent="0.25">
      <c r="A8" t="s">
        <v>2103</v>
      </c>
      <c r="B8">
        <f>COUNTIFS(Crowdfunding!$G:$G,"successful",Crowdfunding!$D:$D,"&gt;24999",Crowdfunding!$D:$D,"&lt;30000")</f>
        <v>11</v>
      </c>
      <c r="C8">
        <f>COUNTIFS(Crowdfunding!$G:$G,"failed",Crowdfunding!$D:$D,"&gt;24999",Crowdfunding!$D:$D,"&lt;30000")</f>
        <v>3</v>
      </c>
      <c r="D8">
        <f>COUNTIFS(Crowdfunding!$G:$G,"canceled",Crowdfunding!$D:$D,"&gt;24999",Crowdfunding!$D:$D,"&lt;30000")</f>
        <v>0</v>
      </c>
      <c r="E8">
        <f>COUNTIFS(Crowdfunding!$D:$D,"&gt;24999",Crowdfunding!$D:$D,"&lt;30000",Crowdfunding!$G:$G,"&lt;&gt;live")</f>
        <v>14</v>
      </c>
      <c r="F8" s="4">
        <f t="shared" si="1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25">
      <c r="A9" t="s">
        <v>2104</v>
      </c>
      <c r="B9">
        <f>COUNTIFS(Crowdfunding!$G:$G,"successful",Crowdfunding!$D:$D,"&gt;29999",Crowdfunding!$D:$D,"&lt;35000")</f>
        <v>7</v>
      </c>
      <c r="C9">
        <f>COUNTIFS(Crowdfunding!$G:$G,"failed",Crowdfunding!$D:$D,"&gt;29999",Crowdfunding!$D:$D,"&lt;35000")</f>
        <v>0</v>
      </c>
      <c r="D9">
        <f>COUNTIFS(Crowdfunding!$G:$G,"canceled",Crowdfunding!$D:$D,"&gt;29999",Crowdfunding!$D:$D,"&lt;35000")</f>
        <v>0</v>
      </c>
      <c r="E9">
        <f>COUNTIFS(Crowdfunding!$D:$D,"&gt;29999",Crowdfunding!$D:$D,"&lt;35000",Crowdfunding!$G:$G,"&lt;&gt;live")</f>
        <v>7</v>
      </c>
      <c r="F9" s="4">
        <f t="shared" si="1"/>
        <v>1</v>
      </c>
      <c r="G9" s="4">
        <f t="shared" si="0"/>
        <v>0</v>
      </c>
      <c r="H9" s="4">
        <f t="shared" si="0"/>
        <v>0</v>
      </c>
    </row>
    <row r="10" spans="1:8" x14ac:dyDescent="0.25">
      <c r="A10" t="s">
        <v>2105</v>
      </c>
      <c r="B10">
        <f>COUNTIFS(Crowdfunding!$G:$G,"successful",Crowdfunding!$D:$D,"&gt;34999",Crowdfunding!$D:$D,"&lt;40000")</f>
        <v>8</v>
      </c>
      <c r="C10">
        <f>COUNTIFS(Crowdfunding!$G:$G,"failed",Crowdfunding!$D:$D,"&gt;34999",Crowdfunding!$D:$D,"&lt;40000")</f>
        <v>3</v>
      </c>
      <c r="D10">
        <f>COUNTIFS(Crowdfunding!$G:$G,"canceled",Crowdfunding!$D:$D,"&gt;34999",Crowdfunding!$D:$D,"&lt;40000")</f>
        <v>1</v>
      </c>
      <c r="E10">
        <f>COUNTIFS(Crowdfunding!$D:$D,"&gt;34999",Crowdfunding!$D:$D,"&lt;40000",Crowdfunding!$G:$G,"&lt;&gt;live")</f>
        <v>12</v>
      </c>
      <c r="F10" s="4">
        <f t="shared" si="1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25">
      <c r="A11" t="s">
        <v>2106</v>
      </c>
      <c r="B11">
        <f>COUNTIFS(Crowdfunding!$G:$G,"successful",Crowdfunding!$D:$D,"&gt;39999",Crowdfunding!$D:$D,"&lt;45000")</f>
        <v>11</v>
      </c>
      <c r="C11">
        <f>COUNTIFS(Crowdfunding!$G:$G,"failed",Crowdfunding!$D:$D,"&gt;39999",Crowdfunding!$D:$D,"&lt;45000")</f>
        <v>3</v>
      </c>
      <c r="D11">
        <f>COUNTIFS(Crowdfunding!$G:$G,"canceled",Crowdfunding!$D:$D,"&gt;39999",Crowdfunding!$D:$D,"&lt;45000")</f>
        <v>0</v>
      </c>
      <c r="E11">
        <f>COUNTIFS(Crowdfunding!$D:$D,"&gt;39999",Crowdfunding!$D:$D,"&lt;45000",Crowdfunding!$G:$G,"&lt;&gt;live")</f>
        <v>14</v>
      </c>
      <c r="F11" s="4">
        <f t="shared" si="1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25">
      <c r="A12" t="s">
        <v>2107</v>
      </c>
      <c r="B12">
        <f>COUNTIFS(Crowdfunding!$G:$G,"successful",Crowdfunding!$D:$D,"&gt;44999",Crowdfunding!$D:$D,"&lt;50000")</f>
        <v>8</v>
      </c>
      <c r="C12">
        <f>COUNTIFS(Crowdfunding!$G:$G,"failed",Crowdfunding!$D:$D,"&gt;44999",Crowdfunding!$D:$D,"&lt;50000")</f>
        <v>3</v>
      </c>
      <c r="D12">
        <f>COUNTIFS(Crowdfunding!$G:$G,"canceled",Crowdfunding!$D:$D,"&gt;44999",Crowdfunding!$D:$D,"&lt;50000")</f>
        <v>0</v>
      </c>
      <c r="E12">
        <f>COUNTIFS(Crowdfunding!$D:$D,"&gt;44999",Crowdfunding!$D:$D,"&lt;50000",Crowdfunding!$G:$G,"&lt;&gt;live")</f>
        <v>11</v>
      </c>
      <c r="F12" s="4">
        <f t="shared" si="1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25">
      <c r="A13" t="s">
        <v>2108</v>
      </c>
      <c r="B13">
        <f>COUNTIFS(Crowdfunding!$G:$G,"successful",Crowdfunding!$D:$D,"&gt;49999")</f>
        <v>114</v>
      </c>
      <c r="C13">
        <f>COUNTIFS(Crowdfunding!$G:$G,"failed",Crowdfunding!$D:$D,"&gt;49999")</f>
        <v>163</v>
      </c>
      <c r="D13">
        <f>COUNTIFS(Crowdfunding!$G:$G,"canceled",Crowdfunding!$D:$D,"&gt;49999")</f>
        <v>28</v>
      </c>
      <c r="E13">
        <f>COUNTIFS(Crowdfunding!$D:$D,"&gt;49999",Crowdfunding!$G:$G,"&lt;&gt;live")</f>
        <v>305</v>
      </c>
      <c r="F13" s="4">
        <f t="shared" si="1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7AFA-27B3-43F1-ABB8-1F7BFDFE9269}">
  <dimension ref="A1:L566"/>
  <sheetViews>
    <sheetView workbookViewId="0">
      <selection activeCell="M29" sqref="M29"/>
    </sheetView>
  </sheetViews>
  <sheetFormatPr defaultRowHeight="15.75" x14ac:dyDescent="0.25"/>
  <sheetData>
    <row r="1" spans="1:12" x14ac:dyDescent="0.25">
      <c r="A1" t="s">
        <v>2109</v>
      </c>
      <c r="B1" t="s">
        <v>2110</v>
      </c>
      <c r="D1" t="s">
        <v>2109</v>
      </c>
      <c r="E1" t="s">
        <v>2110</v>
      </c>
    </row>
    <row r="2" spans="1:12" ht="16.5" thickBot="1" x14ac:dyDescent="0.3">
      <c r="A2" t="s">
        <v>20</v>
      </c>
      <c r="B2">
        <v>158</v>
      </c>
      <c r="D2" t="s">
        <v>14</v>
      </c>
      <c r="E2">
        <v>0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H3" s="11" t="s">
        <v>2114</v>
      </c>
      <c r="I3" s="10"/>
      <c r="K3" s="11" t="s">
        <v>2117</v>
      </c>
      <c r="L3" s="10"/>
    </row>
    <row r="4" spans="1:12" x14ac:dyDescent="0.25">
      <c r="A4" t="s">
        <v>20</v>
      </c>
      <c r="B4">
        <v>174</v>
      </c>
      <c r="D4" t="s">
        <v>14</v>
      </c>
      <c r="E4">
        <v>53</v>
      </c>
      <c r="H4" s="9"/>
      <c r="I4" s="9"/>
      <c r="K4" s="9"/>
      <c r="L4" s="9"/>
    </row>
    <row r="5" spans="1:12" x14ac:dyDescent="0.25">
      <c r="A5" t="s">
        <v>20</v>
      </c>
      <c r="B5">
        <v>227</v>
      </c>
      <c r="D5" t="s">
        <v>14</v>
      </c>
      <c r="E5">
        <v>18</v>
      </c>
      <c r="H5" s="9" t="s">
        <v>2086</v>
      </c>
      <c r="I5">
        <f>AVERAGE($B$2:$B$566)</f>
        <v>851.14690265486729</v>
      </c>
      <c r="K5" s="9" t="s">
        <v>2086</v>
      </c>
      <c r="L5">
        <f>AVERAGE(E2:E365)</f>
        <v>585.61538461538464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H6" s="9" t="s">
        <v>2111</v>
      </c>
      <c r="I6">
        <f>MEDIAN($B$2:$B$566)</f>
        <v>201</v>
      </c>
      <c r="K6" s="9" t="s">
        <v>2111</v>
      </c>
      <c r="L6">
        <f>MEDIAN(E2:E365)</f>
        <v>114.5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H7" s="9" t="s">
        <v>2112</v>
      </c>
      <c r="I7">
        <f>MIN($B$2:$B$566)</f>
        <v>16</v>
      </c>
      <c r="K7" s="9" t="s">
        <v>2112</v>
      </c>
      <c r="L7">
        <f>MIN(E2:E365)</f>
        <v>0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  <c r="H8" s="9" t="s">
        <v>2113</v>
      </c>
      <c r="I8">
        <f>MAX($B$2:$B$566)</f>
        <v>7295</v>
      </c>
      <c r="K8" s="9" t="s">
        <v>2113</v>
      </c>
      <c r="L8">
        <f>MAX(E2:E365)</f>
        <v>6080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  <c r="H9" s="9" t="s">
        <v>2115</v>
      </c>
      <c r="I9">
        <f>_xlfn.VAR.P($B$2:$B$566)</f>
        <v>1603373.7324019109</v>
      </c>
      <c r="K9" s="9" t="s">
        <v>2115</v>
      </c>
      <c r="L9">
        <f>_xlfn.VAR.P(E2:E365)</f>
        <v>921574.68174133555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  <c r="H10" s="9" t="s">
        <v>2116</v>
      </c>
      <c r="I10">
        <f>_xlfn.STDEV.P($B$2:$B$566)</f>
        <v>1266.2439466397898</v>
      </c>
      <c r="K10" s="9" t="s">
        <v>2116</v>
      </c>
      <c r="L10">
        <f>_xlfn.STDEV.P(E2:E365)</f>
        <v>959.98681331637863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  <c r="H11" s="9"/>
      <c r="I11" s="9"/>
    </row>
    <row r="12" spans="1:12" x14ac:dyDescent="0.25">
      <c r="A12" t="s">
        <v>20</v>
      </c>
      <c r="B12">
        <v>142</v>
      </c>
      <c r="D12" t="s">
        <v>14</v>
      </c>
      <c r="E12">
        <v>558</v>
      </c>
      <c r="H12" s="9" t="s">
        <v>2118</v>
      </c>
      <c r="I12" s="9">
        <f>_xlfn.SKEW.P(B2:B566)</f>
        <v>2.1704154787423571</v>
      </c>
      <c r="K12" t="s">
        <v>2118</v>
      </c>
      <c r="L12">
        <f>_xlfn.SKEW.P(E2:E365)</f>
        <v>2.6937367210730674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  <c r="H13" s="9"/>
      <c r="I13" s="9"/>
    </row>
    <row r="14" spans="1:12" x14ac:dyDescent="0.25">
      <c r="A14" t="s">
        <v>20</v>
      </c>
      <c r="B14">
        <v>163</v>
      </c>
      <c r="D14" t="s">
        <v>14</v>
      </c>
      <c r="E14">
        <v>2307</v>
      </c>
      <c r="H14" s="9"/>
      <c r="I14" s="9"/>
    </row>
    <row r="15" spans="1:12" x14ac:dyDescent="0.25">
      <c r="A15" t="s">
        <v>20</v>
      </c>
      <c r="B15">
        <v>2220</v>
      </c>
      <c r="D15" t="s">
        <v>14</v>
      </c>
      <c r="E15">
        <v>88</v>
      </c>
      <c r="H15" s="9"/>
      <c r="I15" s="9"/>
    </row>
    <row r="16" spans="1:12" x14ac:dyDescent="0.25">
      <c r="A16" t="s">
        <v>20</v>
      </c>
      <c r="B16">
        <v>1606</v>
      </c>
      <c r="D16" t="s">
        <v>14</v>
      </c>
      <c r="E16">
        <v>48</v>
      </c>
      <c r="H16" s="9"/>
      <c r="I16" s="9"/>
    </row>
    <row r="17" spans="1:10" x14ac:dyDescent="0.25">
      <c r="A17" t="s">
        <v>20</v>
      </c>
      <c r="B17">
        <v>129</v>
      </c>
      <c r="D17" t="s">
        <v>14</v>
      </c>
      <c r="E17">
        <v>1</v>
      </c>
    </row>
    <row r="18" spans="1:10" x14ac:dyDescent="0.25">
      <c r="A18" t="s">
        <v>20</v>
      </c>
      <c r="B18">
        <v>226</v>
      </c>
      <c r="D18" t="s">
        <v>14</v>
      </c>
      <c r="E18">
        <v>1467</v>
      </c>
      <c r="J18" s="8"/>
    </row>
    <row r="19" spans="1:10" x14ac:dyDescent="0.25">
      <c r="A19" t="s">
        <v>20</v>
      </c>
      <c r="B19">
        <v>5419</v>
      </c>
      <c r="D19" t="s">
        <v>14</v>
      </c>
      <c r="E19">
        <v>75</v>
      </c>
      <c r="J19" s="8"/>
    </row>
    <row r="20" spans="1:10" x14ac:dyDescent="0.25">
      <c r="A20" t="s">
        <v>20</v>
      </c>
      <c r="B20">
        <v>165</v>
      </c>
      <c r="D20" t="s">
        <v>14</v>
      </c>
      <c r="E20">
        <v>120</v>
      </c>
      <c r="J20" s="8"/>
    </row>
    <row r="21" spans="1:10" x14ac:dyDescent="0.25">
      <c r="A21" t="s">
        <v>20</v>
      </c>
      <c r="B21">
        <v>1965</v>
      </c>
      <c r="D21" t="s">
        <v>14</v>
      </c>
      <c r="E21">
        <v>2253</v>
      </c>
      <c r="J21" s="8"/>
    </row>
    <row r="22" spans="1:10" x14ac:dyDescent="0.25">
      <c r="A22" t="s">
        <v>20</v>
      </c>
      <c r="B22">
        <v>16</v>
      </c>
      <c r="D22" t="s">
        <v>14</v>
      </c>
      <c r="E22">
        <v>5</v>
      </c>
      <c r="J22" s="8"/>
    </row>
    <row r="23" spans="1:10" x14ac:dyDescent="0.25">
      <c r="A23" t="s">
        <v>20</v>
      </c>
      <c r="B23">
        <v>107</v>
      </c>
      <c r="D23" t="s">
        <v>14</v>
      </c>
      <c r="E23">
        <v>38</v>
      </c>
      <c r="J23" s="8"/>
    </row>
    <row r="24" spans="1:10" x14ac:dyDescent="0.25">
      <c r="A24" t="s">
        <v>20</v>
      </c>
      <c r="B24">
        <v>134</v>
      </c>
      <c r="D24" t="s">
        <v>14</v>
      </c>
      <c r="E24">
        <v>12</v>
      </c>
      <c r="J24" s="8"/>
    </row>
    <row r="25" spans="1:10" x14ac:dyDescent="0.25">
      <c r="A25" t="s">
        <v>20</v>
      </c>
      <c r="B25">
        <v>198</v>
      </c>
      <c r="D25" t="s">
        <v>14</v>
      </c>
      <c r="E25">
        <v>1684</v>
      </c>
      <c r="J25" s="8"/>
    </row>
    <row r="26" spans="1:10" x14ac:dyDescent="0.25">
      <c r="A26" t="s">
        <v>20</v>
      </c>
      <c r="B26">
        <v>111</v>
      </c>
      <c r="D26" t="s">
        <v>14</v>
      </c>
      <c r="E26">
        <v>56</v>
      </c>
      <c r="J26" s="8"/>
    </row>
    <row r="27" spans="1:10" x14ac:dyDescent="0.25">
      <c r="A27" t="s">
        <v>20</v>
      </c>
      <c r="B27">
        <v>222</v>
      </c>
      <c r="D27" t="s">
        <v>14</v>
      </c>
      <c r="E27">
        <v>838</v>
      </c>
      <c r="J27" s="8"/>
    </row>
    <row r="28" spans="1:10" x14ac:dyDescent="0.25">
      <c r="A28" t="s">
        <v>20</v>
      </c>
      <c r="B28">
        <v>6212</v>
      </c>
      <c r="D28" t="s">
        <v>14</v>
      </c>
      <c r="E28">
        <v>1000</v>
      </c>
      <c r="J28" s="8"/>
    </row>
    <row r="29" spans="1:10" x14ac:dyDescent="0.25">
      <c r="A29" t="s">
        <v>20</v>
      </c>
      <c r="B29">
        <v>98</v>
      </c>
      <c r="D29" t="s">
        <v>14</v>
      </c>
      <c r="E29">
        <v>1482</v>
      </c>
      <c r="J29" s="8"/>
    </row>
    <row r="30" spans="1:10" x14ac:dyDescent="0.25">
      <c r="A30" t="s">
        <v>20</v>
      </c>
      <c r="B30">
        <v>92</v>
      </c>
      <c r="D30" t="s">
        <v>14</v>
      </c>
      <c r="E30">
        <v>106</v>
      </c>
      <c r="J30" s="8"/>
    </row>
    <row r="31" spans="1:10" x14ac:dyDescent="0.25">
      <c r="A31" t="s">
        <v>20</v>
      </c>
      <c r="B31">
        <v>149</v>
      </c>
      <c r="D31" t="s">
        <v>14</v>
      </c>
      <c r="E31">
        <v>679</v>
      </c>
      <c r="J31" s="8"/>
    </row>
    <row r="32" spans="1:10" x14ac:dyDescent="0.25">
      <c r="A32" t="s">
        <v>20</v>
      </c>
      <c r="B32">
        <v>2431</v>
      </c>
      <c r="D32" t="s">
        <v>14</v>
      </c>
      <c r="E32">
        <v>1220</v>
      </c>
      <c r="J32" s="8"/>
    </row>
    <row r="33" spans="1:10" x14ac:dyDescent="0.25">
      <c r="A33" t="s">
        <v>20</v>
      </c>
      <c r="B33">
        <v>303</v>
      </c>
      <c r="D33" t="s">
        <v>14</v>
      </c>
      <c r="E33">
        <v>1</v>
      </c>
      <c r="J33" s="8"/>
    </row>
    <row r="34" spans="1:10" x14ac:dyDescent="0.25">
      <c r="A34" t="s">
        <v>20</v>
      </c>
      <c r="B34">
        <v>209</v>
      </c>
      <c r="D34" t="s">
        <v>14</v>
      </c>
      <c r="E34">
        <v>37</v>
      </c>
      <c r="J34" s="8"/>
    </row>
    <row r="35" spans="1:10" x14ac:dyDescent="0.25">
      <c r="A35" t="s">
        <v>20</v>
      </c>
      <c r="B35">
        <v>131</v>
      </c>
      <c r="D35" t="s">
        <v>14</v>
      </c>
      <c r="E35">
        <v>60</v>
      </c>
      <c r="J35" s="8"/>
    </row>
    <row r="36" spans="1:10" x14ac:dyDescent="0.25">
      <c r="A36" t="s">
        <v>20</v>
      </c>
      <c r="B36">
        <v>164</v>
      </c>
      <c r="D36" t="s">
        <v>14</v>
      </c>
      <c r="E36">
        <v>296</v>
      </c>
      <c r="J36" s="8"/>
    </row>
    <row r="37" spans="1:10" x14ac:dyDescent="0.25">
      <c r="A37" t="s">
        <v>20</v>
      </c>
      <c r="B37">
        <v>201</v>
      </c>
      <c r="D37" t="s">
        <v>14</v>
      </c>
      <c r="E37">
        <v>3304</v>
      </c>
      <c r="J37" s="8"/>
    </row>
    <row r="38" spans="1:10" x14ac:dyDescent="0.25">
      <c r="A38" t="s">
        <v>20</v>
      </c>
      <c r="B38">
        <v>211</v>
      </c>
      <c r="D38" t="s">
        <v>14</v>
      </c>
      <c r="E38">
        <v>73</v>
      </c>
      <c r="J38" s="8"/>
    </row>
    <row r="39" spans="1:10" x14ac:dyDescent="0.25">
      <c r="A39" t="s">
        <v>20</v>
      </c>
      <c r="B39">
        <v>128</v>
      </c>
      <c r="D39" t="s">
        <v>14</v>
      </c>
      <c r="E39">
        <v>3387</v>
      </c>
      <c r="J39" s="8"/>
    </row>
    <row r="40" spans="1:10" x14ac:dyDescent="0.25">
      <c r="A40" t="s">
        <v>20</v>
      </c>
      <c r="B40">
        <v>1600</v>
      </c>
      <c r="D40" t="s">
        <v>14</v>
      </c>
      <c r="E40">
        <v>662</v>
      </c>
      <c r="J40" s="8"/>
    </row>
    <row r="41" spans="1:10" x14ac:dyDescent="0.25">
      <c r="A41" t="s">
        <v>20</v>
      </c>
      <c r="B41">
        <v>249</v>
      </c>
      <c r="D41" t="s">
        <v>14</v>
      </c>
      <c r="E41">
        <v>774</v>
      </c>
      <c r="J41" s="8"/>
    </row>
    <row r="42" spans="1:10" x14ac:dyDescent="0.25">
      <c r="A42" t="s">
        <v>20</v>
      </c>
      <c r="B42">
        <v>236</v>
      </c>
      <c r="D42" t="s">
        <v>14</v>
      </c>
      <c r="E42">
        <v>672</v>
      </c>
    </row>
    <row r="43" spans="1:10" x14ac:dyDescent="0.25">
      <c r="A43" t="s">
        <v>20</v>
      </c>
      <c r="B43">
        <v>4065</v>
      </c>
      <c r="D43" t="s">
        <v>14</v>
      </c>
      <c r="E43">
        <v>940</v>
      </c>
    </row>
    <row r="44" spans="1:10" x14ac:dyDescent="0.25">
      <c r="A44" t="s">
        <v>20</v>
      </c>
      <c r="B44">
        <v>246</v>
      </c>
      <c r="D44" t="s">
        <v>14</v>
      </c>
      <c r="E44">
        <v>117</v>
      </c>
    </row>
    <row r="45" spans="1:10" x14ac:dyDescent="0.25">
      <c r="A45" t="s">
        <v>20</v>
      </c>
      <c r="B45">
        <v>2475</v>
      </c>
      <c r="D45" t="s">
        <v>14</v>
      </c>
      <c r="E45">
        <v>115</v>
      </c>
    </row>
    <row r="46" spans="1:10" x14ac:dyDescent="0.25">
      <c r="A46" t="s">
        <v>20</v>
      </c>
      <c r="B46">
        <v>76</v>
      </c>
      <c r="D46" t="s">
        <v>14</v>
      </c>
      <c r="E46">
        <v>326</v>
      </c>
    </row>
    <row r="47" spans="1:10" x14ac:dyDescent="0.25">
      <c r="A47" t="s">
        <v>20</v>
      </c>
      <c r="B47">
        <v>54</v>
      </c>
      <c r="D47" t="s">
        <v>14</v>
      </c>
      <c r="E47">
        <v>1</v>
      </c>
    </row>
    <row r="48" spans="1:10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J18:K41">
    <sortCondition descending="1" ref="K18"/>
  </sortState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canceled">
      <formula>NOT(ISERROR(SEARCH("canceled",D2)))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Outcome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henry luken</cp:lastModifiedBy>
  <dcterms:created xsi:type="dcterms:W3CDTF">2021-09-29T18:52:28Z</dcterms:created>
  <dcterms:modified xsi:type="dcterms:W3CDTF">2023-02-27T00:10:51Z</dcterms:modified>
</cp:coreProperties>
</file>