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D:\DA\Project\"/>
    </mc:Choice>
  </mc:AlternateContent>
  <xr:revisionPtr revIDLastSave="0" documentId="8_{0F3FB758-EC7C-4F0B-ABE2-EEA153549706}" xr6:coauthVersionLast="47" xr6:coauthVersionMax="47" xr10:uidLastSave="{00000000-0000-0000-0000-000000000000}"/>
  <bookViews>
    <workbookView xWindow="-108" yWindow="-108" windowWidth="23256" windowHeight="12456" firstSheet="2" activeTab="7" xr2:uid="{26D4546B-D2A1-4444-8EAF-A6228F96F0C1}"/>
  </bookViews>
  <sheets>
    <sheet name="Data" sheetId="1" r:id="rId1"/>
    <sheet name="India Staff" sheetId="2" r:id="rId2"/>
    <sheet name="All_Staffs" sheetId="3" r:id="rId3"/>
    <sheet name="Male vs Female" sheetId="4" r:id="rId4"/>
    <sheet name="Salary Spread" sheetId="8" r:id="rId5"/>
    <sheet name="Salary vs Rating" sheetId="7" r:id="rId6"/>
    <sheet name="Company Growth" sheetId="9" r:id="rId7"/>
    <sheet name="Report" sheetId="10" r:id="rId8"/>
    <sheet name="Sheet2" sheetId="11" r:id="rId9"/>
  </sheets>
  <definedNames>
    <definedName name="_xlnm._FilterDatabase" localSheetId="0" hidden="1">Data!$C$5:$I$105</definedName>
    <definedName name="_xlnm._FilterDatabase" localSheetId="1" hidden="1">'India Staff'!$B$2:$H$114</definedName>
    <definedName name="_xlchart.v1.0" hidden="1">All_Staffs!$G$1</definedName>
    <definedName name="_xlchart.v1.1" hidden="1">All_Staffs!$G$2:$G$184</definedName>
    <definedName name="_xlchart.v1.2" hidden="1">All_Staffs!$G$1</definedName>
    <definedName name="_xlchart.v1.3" hidden="1">All_Staffs!$G$2:$G$184</definedName>
    <definedName name="_xlcn.WorksheetConnection_blankdatafile.xlsxStaffs1" hidden="1">Staffs[]</definedName>
    <definedName name="ExternalData_1" localSheetId="2" hidden="1">All_Staffs!$A$1:$H$184</definedName>
    <definedName name="Slicer_Country">#N/A</definedName>
  </definedNames>
  <calcPr calcId="191029"/>
  <pivotCaches>
    <pivotCache cacheId="0" r:id="rId10"/>
    <pivotCache cacheId="1" r:id="rId11"/>
    <pivotCache cacheId="2" r:id="rId12"/>
    <pivotCache cacheId="24" r:id="rId13"/>
    <pivotCache cacheId="27" r:id="rId14"/>
  </pivotCaches>
  <extLst>
    <ext xmlns:x14="http://schemas.microsoft.com/office/spreadsheetml/2009/9/main" uri="{876F7934-8845-4945-9796-88D515C7AA90}">
      <x14:pivotCaches>
        <pivotCache cacheId="3"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s" name="Staffs" connection="WorksheetConnection_blank-data-file.xlsx!Staffs"/>
        </x15:modelTables>
        <x15:extLst>
          <ext xmlns:x16="http://schemas.microsoft.com/office/spreadsheetml/2014/11/main" uri="{9835A34E-60A6-4A7C-AAB8-D5F71C897F49}">
            <x16:modelTimeGroupings>
              <x16:modelTimeGrouping tableName="Staffs"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10" l="1"/>
  <c r="J3" i="10"/>
  <c r="L3" i="10" s="1"/>
  <c r="G3" i="10"/>
  <c r="C3" i="10"/>
  <c r="E3" i="10" s="1"/>
  <c r="X10" i="9"/>
  <c r="X11" i="9"/>
  <c r="X12" i="9"/>
  <c r="X13" i="9"/>
  <c r="X14" i="9"/>
  <c r="X15" i="9"/>
  <c r="X16" i="9"/>
  <c r="X17" i="9"/>
  <c r="X18" i="9"/>
  <c r="X19" i="9"/>
  <c r="X20" i="9"/>
  <c r="X21" i="9"/>
  <c r="X22" i="9"/>
  <c r="X23" i="9"/>
  <c r="X24" i="9"/>
  <c r="X25" i="9"/>
  <c r="X26" i="9"/>
  <c r="X27" i="9"/>
  <c r="X28" i="9"/>
  <c r="X29" i="9"/>
  <c r="X30" i="9"/>
  <c r="X31" i="9"/>
  <c r="X32" i="9"/>
  <c r="X33" i="9"/>
  <c r="X34" i="9"/>
  <c r="X35" i="9"/>
  <c r="X36" i="9"/>
  <c r="X37" i="9"/>
  <c r="X38" i="9"/>
  <c r="X39" i="9"/>
  <c r="X40" i="9"/>
  <c r="X41" i="9"/>
  <c r="X42" i="9"/>
  <c r="X43" i="9"/>
  <c r="X44" i="9"/>
  <c r="X9" i="9"/>
  <c r="W10" i="9"/>
  <c r="W11" i="9"/>
  <c r="W12" i="9"/>
  <c r="W13" i="9"/>
  <c r="W14" i="9"/>
  <c r="W15" i="9"/>
  <c r="W16" i="9"/>
  <c r="W17" i="9"/>
  <c r="W18" i="9"/>
  <c r="W19" i="9"/>
  <c r="W20" i="9"/>
  <c r="W21" i="9"/>
  <c r="W22" i="9"/>
  <c r="W23" i="9"/>
  <c r="W24" i="9"/>
  <c r="W25" i="9"/>
  <c r="W26" i="9"/>
  <c r="W27" i="9"/>
  <c r="W28" i="9"/>
  <c r="W29" i="9"/>
  <c r="W30" i="9"/>
  <c r="W31" i="9"/>
  <c r="W32" i="9"/>
  <c r="W33" i="9"/>
  <c r="W34" i="9"/>
  <c r="W35" i="9"/>
  <c r="W36" i="9"/>
  <c r="W37" i="9"/>
  <c r="W38" i="9"/>
  <c r="W39" i="9"/>
  <c r="W40" i="9"/>
  <c r="W41" i="9"/>
  <c r="W42" i="9"/>
  <c r="W43" i="9"/>
  <c r="W44" i="9"/>
  <c r="W9" i="9"/>
  <c r="U9" i="9" a="1"/>
  <c r="U9" i="9" s="1"/>
  <c r="V9" i="9" s="1" a="1"/>
  <c r="V9" i="9" s="1"/>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O12" i="3"/>
  <c r="O7" i="3"/>
  <c r="P5" i="3"/>
  <c r="P4" i="3"/>
  <c r="O5" i="3"/>
  <c r="O4" i="3"/>
  <c r="O3" i="3"/>
  <c r="I2" i="3"/>
  <c r="J2" i="3" s="1"/>
  <c r="I3" i="3"/>
  <c r="J3" i="3" s="1"/>
  <c r="I4" i="3"/>
  <c r="J4" i="3" s="1"/>
  <c r="I5" i="3"/>
  <c r="J5" i="3" s="1"/>
  <c r="I6" i="3"/>
  <c r="J6" i="3" s="1"/>
  <c r="I7" i="3"/>
  <c r="J7" i="3" s="1"/>
  <c r="I8" i="3"/>
  <c r="J8" i="3" s="1"/>
  <c r="I9" i="3"/>
  <c r="J9" i="3" s="1"/>
  <c r="I10" i="3"/>
  <c r="J10" i="3" s="1"/>
  <c r="I11" i="3"/>
  <c r="J11" i="3" s="1"/>
  <c r="I12" i="3"/>
  <c r="J12" i="3" s="1"/>
  <c r="I13" i="3"/>
  <c r="J13" i="3" s="1"/>
  <c r="I14" i="3"/>
  <c r="J14" i="3" s="1"/>
  <c r="I15" i="3"/>
  <c r="J15" i="3" s="1"/>
  <c r="I16" i="3"/>
  <c r="J16" i="3" s="1"/>
  <c r="I17" i="3"/>
  <c r="J17" i="3" s="1"/>
  <c r="I18" i="3"/>
  <c r="J18" i="3" s="1"/>
  <c r="I19" i="3"/>
  <c r="J19" i="3" s="1"/>
  <c r="I20" i="3"/>
  <c r="J20" i="3" s="1"/>
  <c r="I21" i="3"/>
  <c r="J21" i="3" s="1"/>
  <c r="I22" i="3"/>
  <c r="J22" i="3" s="1"/>
  <c r="I23" i="3"/>
  <c r="J23" i="3" s="1"/>
  <c r="I24" i="3"/>
  <c r="J24" i="3" s="1"/>
  <c r="I25" i="3"/>
  <c r="J25" i="3" s="1"/>
  <c r="I26" i="3"/>
  <c r="J26" i="3" s="1"/>
  <c r="I27" i="3"/>
  <c r="J27" i="3" s="1"/>
  <c r="I28" i="3"/>
  <c r="J28" i="3" s="1"/>
  <c r="I29" i="3"/>
  <c r="J29" i="3" s="1"/>
  <c r="I30" i="3"/>
  <c r="J30" i="3" s="1"/>
  <c r="I31" i="3"/>
  <c r="J31" i="3" s="1"/>
  <c r="I32" i="3"/>
  <c r="J32" i="3" s="1"/>
  <c r="I33" i="3"/>
  <c r="J33" i="3" s="1"/>
  <c r="I34" i="3"/>
  <c r="J34" i="3" s="1"/>
  <c r="I35" i="3"/>
  <c r="J35" i="3" s="1"/>
  <c r="I36" i="3"/>
  <c r="J36" i="3" s="1"/>
  <c r="I37" i="3"/>
  <c r="J37" i="3" s="1"/>
  <c r="I38" i="3"/>
  <c r="J38" i="3" s="1"/>
  <c r="I39" i="3"/>
  <c r="J39" i="3" s="1"/>
  <c r="I40" i="3"/>
  <c r="J40" i="3" s="1"/>
  <c r="I41" i="3"/>
  <c r="J41" i="3" s="1"/>
  <c r="I42" i="3"/>
  <c r="J42" i="3" s="1"/>
  <c r="I43" i="3"/>
  <c r="J43" i="3" s="1"/>
  <c r="I44" i="3"/>
  <c r="J44" i="3" s="1"/>
  <c r="I45" i="3"/>
  <c r="J45" i="3" s="1"/>
  <c r="I46" i="3"/>
  <c r="J46" i="3" s="1"/>
  <c r="I47" i="3"/>
  <c r="J47" i="3" s="1"/>
  <c r="I48" i="3"/>
  <c r="J48" i="3" s="1"/>
  <c r="I49" i="3"/>
  <c r="J49" i="3" s="1"/>
  <c r="I50" i="3"/>
  <c r="J50" i="3" s="1"/>
  <c r="I51" i="3"/>
  <c r="J51" i="3" s="1"/>
  <c r="I52" i="3"/>
  <c r="J52" i="3" s="1"/>
  <c r="I53" i="3"/>
  <c r="J53" i="3" s="1"/>
  <c r="I54" i="3"/>
  <c r="J54" i="3" s="1"/>
  <c r="I55" i="3"/>
  <c r="J55" i="3" s="1"/>
  <c r="I56" i="3"/>
  <c r="J56" i="3" s="1"/>
  <c r="I57" i="3"/>
  <c r="J57" i="3" s="1"/>
  <c r="I58" i="3"/>
  <c r="J58" i="3" s="1"/>
  <c r="I59" i="3"/>
  <c r="J59" i="3" s="1"/>
  <c r="I60" i="3"/>
  <c r="J60" i="3" s="1"/>
  <c r="I61" i="3"/>
  <c r="J61" i="3" s="1"/>
  <c r="I62" i="3"/>
  <c r="J62" i="3" s="1"/>
  <c r="I63" i="3"/>
  <c r="J63" i="3" s="1"/>
  <c r="I64" i="3"/>
  <c r="J64" i="3" s="1"/>
  <c r="I65" i="3"/>
  <c r="J65" i="3" s="1"/>
  <c r="I66" i="3"/>
  <c r="J66" i="3" s="1"/>
  <c r="I67" i="3"/>
  <c r="J67" i="3" s="1"/>
  <c r="I68" i="3"/>
  <c r="J68" i="3" s="1"/>
  <c r="I69" i="3"/>
  <c r="J69" i="3" s="1"/>
  <c r="I70" i="3"/>
  <c r="J70" i="3" s="1"/>
  <c r="I71" i="3"/>
  <c r="J71" i="3" s="1"/>
  <c r="I72" i="3"/>
  <c r="J72" i="3" s="1"/>
  <c r="I73" i="3"/>
  <c r="J73" i="3" s="1"/>
  <c r="I74" i="3"/>
  <c r="J74" i="3" s="1"/>
  <c r="I75" i="3"/>
  <c r="J75" i="3" s="1"/>
  <c r="I76" i="3"/>
  <c r="J76" i="3" s="1"/>
  <c r="I77" i="3"/>
  <c r="J77" i="3" s="1"/>
  <c r="I78" i="3"/>
  <c r="J78" i="3" s="1"/>
  <c r="I79" i="3"/>
  <c r="J79" i="3" s="1"/>
  <c r="I80" i="3"/>
  <c r="J80" i="3" s="1"/>
  <c r="I81" i="3"/>
  <c r="J81" i="3" s="1"/>
  <c r="I82" i="3"/>
  <c r="J82" i="3" s="1"/>
  <c r="I83" i="3"/>
  <c r="J83" i="3" s="1"/>
  <c r="I84" i="3"/>
  <c r="J84" i="3" s="1"/>
  <c r="I85" i="3"/>
  <c r="J85" i="3" s="1"/>
  <c r="I86" i="3"/>
  <c r="J86" i="3" s="1"/>
  <c r="I87" i="3"/>
  <c r="J87" i="3" s="1"/>
  <c r="I88" i="3"/>
  <c r="J88" i="3" s="1"/>
  <c r="I89" i="3"/>
  <c r="J89" i="3" s="1"/>
  <c r="I90" i="3"/>
  <c r="J90" i="3" s="1"/>
  <c r="I91" i="3"/>
  <c r="J91" i="3" s="1"/>
  <c r="I92" i="3"/>
  <c r="J92" i="3" s="1"/>
  <c r="I93" i="3"/>
  <c r="J93" i="3" s="1"/>
  <c r="I94" i="3"/>
  <c r="J94" i="3" s="1"/>
  <c r="I95" i="3"/>
  <c r="J95" i="3" s="1"/>
  <c r="I96" i="3"/>
  <c r="J96" i="3" s="1"/>
  <c r="I97" i="3"/>
  <c r="J97" i="3" s="1"/>
  <c r="I98" i="3"/>
  <c r="J98" i="3" s="1"/>
  <c r="I99" i="3"/>
  <c r="J99" i="3" s="1"/>
  <c r="I100" i="3"/>
  <c r="J100" i="3" s="1"/>
  <c r="I101" i="3"/>
  <c r="J101" i="3" s="1"/>
  <c r="I102" i="3"/>
  <c r="J102" i="3" s="1"/>
  <c r="I103" i="3"/>
  <c r="J103" i="3" s="1"/>
  <c r="I104" i="3"/>
  <c r="J104" i="3" s="1"/>
  <c r="I105" i="3"/>
  <c r="J105" i="3" s="1"/>
  <c r="I106" i="3"/>
  <c r="J106" i="3" s="1"/>
  <c r="I107" i="3"/>
  <c r="J107" i="3" s="1"/>
  <c r="I108" i="3"/>
  <c r="J108" i="3" s="1"/>
  <c r="I109" i="3"/>
  <c r="J109" i="3" s="1"/>
  <c r="I110" i="3"/>
  <c r="J110" i="3" s="1"/>
  <c r="I111" i="3"/>
  <c r="J111" i="3" s="1"/>
  <c r="I112" i="3"/>
  <c r="J112" i="3" s="1"/>
  <c r="I113" i="3"/>
  <c r="J113" i="3" s="1"/>
  <c r="I114" i="3"/>
  <c r="J114" i="3" s="1"/>
  <c r="I115" i="3"/>
  <c r="J115" i="3" s="1"/>
  <c r="I116" i="3"/>
  <c r="J116" i="3" s="1"/>
  <c r="I117" i="3"/>
  <c r="J117" i="3" s="1"/>
  <c r="I118" i="3"/>
  <c r="J118" i="3" s="1"/>
  <c r="I119" i="3"/>
  <c r="J119" i="3" s="1"/>
  <c r="I120" i="3"/>
  <c r="J120" i="3" s="1"/>
  <c r="I121" i="3"/>
  <c r="J121" i="3" s="1"/>
  <c r="I122" i="3"/>
  <c r="J122" i="3" s="1"/>
  <c r="I123" i="3"/>
  <c r="J123" i="3" s="1"/>
  <c r="I124" i="3"/>
  <c r="J124" i="3" s="1"/>
  <c r="I125" i="3"/>
  <c r="J125" i="3" s="1"/>
  <c r="I126" i="3"/>
  <c r="J126" i="3" s="1"/>
  <c r="I127" i="3"/>
  <c r="J127" i="3" s="1"/>
  <c r="I128" i="3"/>
  <c r="J128" i="3" s="1"/>
  <c r="I129" i="3"/>
  <c r="J129" i="3" s="1"/>
  <c r="I130" i="3"/>
  <c r="J130" i="3" s="1"/>
  <c r="I131" i="3"/>
  <c r="J131" i="3" s="1"/>
  <c r="I132" i="3"/>
  <c r="J132" i="3" s="1"/>
  <c r="I133" i="3"/>
  <c r="J133" i="3" s="1"/>
  <c r="I134" i="3"/>
  <c r="J134" i="3" s="1"/>
  <c r="I135" i="3"/>
  <c r="J135" i="3" s="1"/>
  <c r="I136" i="3"/>
  <c r="J136" i="3" s="1"/>
  <c r="I137" i="3"/>
  <c r="J137" i="3" s="1"/>
  <c r="I138" i="3"/>
  <c r="J138" i="3" s="1"/>
  <c r="I139" i="3"/>
  <c r="J139" i="3" s="1"/>
  <c r="I140" i="3"/>
  <c r="J140" i="3" s="1"/>
  <c r="I141" i="3"/>
  <c r="J141" i="3" s="1"/>
  <c r="I142" i="3"/>
  <c r="J142" i="3" s="1"/>
  <c r="I143" i="3"/>
  <c r="J143" i="3" s="1"/>
  <c r="I144" i="3"/>
  <c r="J144" i="3" s="1"/>
  <c r="I145" i="3"/>
  <c r="J145" i="3" s="1"/>
  <c r="I146" i="3"/>
  <c r="J146" i="3" s="1"/>
  <c r="I147" i="3"/>
  <c r="J147" i="3" s="1"/>
  <c r="I148" i="3"/>
  <c r="J148" i="3" s="1"/>
  <c r="I149" i="3"/>
  <c r="J149" i="3" s="1"/>
  <c r="I150" i="3"/>
  <c r="J150" i="3" s="1"/>
  <c r="I151" i="3"/>
  <c r="J151" i="3" s="1"/>
  <c r="I152" i="3"/>
  <c r="J152" i="3" s="1"/>
  <c r="I153" i="3"/>
  <c r="J153" i="3" s="1"/>
  <c r="I154" i="3"/>
  <c r="J154" i="3" s="1"/>
  <c r="I155" i="3"/>
  <c r="J155" i="3" s="1"/>
  <c r="I156" i="3"/>
  <c r="J156" i="3" s="1"/>
  <c r="I157" i="3"/>
  <c r="J157" i="3" s="1"/>
  <c r="I158" i="3"/>
  <c r="J158" i="3" s="1"/>
  <c r="I159" i="3"/>
  <c r="J159" i="3" s="1"/>
  <c r="I160" i="3"/>
  <c r="J160" i="3" s="1"/>
  <c r="I161" i="3"/>
  <c r="J161" i="3" s="1"/>
  <c r="I162" i="3"/>
  <c r="J162" i="3" s="1"/>
  <c r="I163" i="3"/>
  <c r="J163" i="3" s="1"/>
  <c r="I164" i="3"/>
  <c r="J164" i="3" s="1"/>
  <c r="I165" i="3"/>
  <c r="J165" i="3" s="1"/>
  <c r="I166" i="3"/>
  <c r="J166" i="3" s="1"/>
  <c r="I167" i="3"/>
  <c r="J167" i="3" s="1"/>
  <c r="I168" i="3"/>
  <c r="J168" i="3" s="1"/>
  <c r="I169" i="3"/>
  <c r="J169" i="3" s="1"/>
  <c r="I170" i="3"/>
  <c r="J170" i="3" s="1"/>
  <c r="I171" i="3"/>
  <c r="J171" i="3" s="1"/>
  <c r="I172" i="3"/>
  <c r="J172" i="3" s="1"/>
  <c r="I173" i="3"/>
  <c r="J173" i="3" s="1"/>
  <c r="I174" i="3"/>
  <c r="J174" i="3" s="1"/>
  <c r="I175" i="3"/>
  <c r="J175" i="3" s="1"/>
  <c r="I176" i="3"/>
  <c r="J176" i="3" s="1"/>
  <c r="I177" i="3"/>
  <c r="J177" i="3" s="1"/>
  <c r="I178" i="3"/>
  <c r="J178" i="3" s="1"/>
  <c r="I179" i="3"/>
  <c r="J179" i="3" s="1"/>
  <c r="I180" i="3"/>
  <c r="J180" i="3" s="1"/>
  <c r="I181" i="3"/>
  <c r="J181" i="3" s="1"/>
  <c r="I182" i="3"/>
  <c r="J182" i="3" s="1"/>
  <c r="I183" i="3"/>
  <c r="J183" i="3" s="1"/>
  <c r="I184" i="3"/>
  <c r="J184" i="3" s="1"/>
  <c r="H106" i="1"/>
  <c r="F106" i="1"/>
  <c r="O13" i="3" l="1"/>
  <c r="O8" i="3"/>
  <c r="S4" i="3" a="1"/>
  <c r="S4" i="3" s="1"/>
  <c r="O17" i="3" a="1"/>
  <c r="O17" i="3" s="1"/>
  <c r="P6" i="3"/>
  <c r="O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0A7A98-2B20-48F1-B047-269394472F8C}"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4F6C9133-675E-4AD8-8C29-7B0E24CB0DC0}"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06694168-2763-443C-A7ED-7DAC2BF44CE3}" keepAlive="1" name="Query - Staffs" description="Connection to the 'Staffs' query in the workbook." type="5" refreshedVersion="8" background="1" saveData="1">
    <dbPr connection="Provider=Microsoft.Mashup.OleDb.1;Data Source=$Workbook$;Location=Staffs;Extended Properties=&quot;&quot;" command="SELECT * FROM [Staffs]"/>
  </connection>
  <connection id="4" xr16:uid="{1196E315-B896-4585-A88E-976F7209A4D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6F5DA0C0-A421-4EF8-8912-CF316862AA42}" name="WorksheetConnection_blank-data-file.xlsx!Staffs" type="102" refreshedVersion="8" minRefreshableVersion="5">
    <extLst>
      <ext xmlns:x15="http://schemas.microsoft.com/office/spreadsheetml/2010/11/main" uri="{DE250136-89BD-433C-8126-D09CA5730AF9}">
        <x15:connection id="Staffs" autoDelete="1">
          <x15:rangePr sourceName="_xlcn.WorksheetConnection_blankdatafile.xlsxStaffs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s].[Country].&amp;[IND]}"/>
    <s v="{[Staffs].[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<sst xmlns="http://schemas.openxmlformats.org/spreadsheetml/2006/main" count="1883" uniqueCount="252">
  <si>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</si>
  <si>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</si>
  <si>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</si>
  <si>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</si>
  <si>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</si>
  <si>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</si>
  <si>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</si>
  <si>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</si>
  <si>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</si>
  <si>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</si>
  <si>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</si>
  <si>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</si>
  <si>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</si>
  <si>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</si>
  <si>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</si>
  <si>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</si>
  <si>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</si>
  <si>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</si>
  <si>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</si>
  <si>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</si>
  <si>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</si>
  <si>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</si>
  <si>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</si>
  <si>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</si>
  <si>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</si>
  <si>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</si>
  <si>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</si>
  <si>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</si>
  <si>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</si>
  <si>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</si>
  <si>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</si>
  <si>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</si>
  <si>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</si>
  <si>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</si>
  <si>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</si>
  <si>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</si>
  <si>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</si>
  <si>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</si>
  <si>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</si>
  <si>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</si>
  <si>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</si>
  <si>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</si>
  <si>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</si>
  <si>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</si>
  <si>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</si>
  <si>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</si>
  <si>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</si>
  <si>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</si>
  <si>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</si>
  <si>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</si>
  <si>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</si>
  <si>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</si>
  <si>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</si>
  <si>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</si>
  <si>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</si>
  <si>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</si>
  <si>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</si>
  <si>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</si>
  <si>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</si>
  <si>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</si>
  <si>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</si>
  <si>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</si>
  <si>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</si>
  <si>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</si>
  <si>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</si>
  <si>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</si>
  <si>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</si>
  <si>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</si>
  <si>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</si>
  <si>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</si>
  <si>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</si>
  <si>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</si>
  <si>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</si>
  <si>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</si>
  <si>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</si>
  <si>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</si>
  <si>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</si>
  <si>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</si>
  <si>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</si>
  <si>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</si>
  <si>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</si>
  <si>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</si>
  <si>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</si>
  <si>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</si>
  <si>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</si>
  <si>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</si>
  <si>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</si>
  <si>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</si>
  <si>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</si>
  <si>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</si>
  <si>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</si>
  <si>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</si>
  <si>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</si>
  <si>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</si>
  <si>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</si>
  <si>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</si>
  <si>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</si>
  <si>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</si>
  <si>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</si>
  <si>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</si>
  <si>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</si>
  <si>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</si>
  <si>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</si>
  <si>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</si>
  <si>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</si>
  <si>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</si>
  <si>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</si>
  <si>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</si>
  <si>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</si>
  <si>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</si>
  <si>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</si>
  <si>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</si>
  <si>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</si>
  <si>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</si>
  <si>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</si>
  <si>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</si>
  <si>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</si>
  <si>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</si>
  <si>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</si>
  <si>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</si>
  <si>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</si>
  <si>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</si>
  <si>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</si>
  <si>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</si>
  <si>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</si>
  <si>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</si>
  <si>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</si>
  <si>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</si>
  <si>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</si>
  <si>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</si>
  <si>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</si>
  <si>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</si>
  <si>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</si>
  <si>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</si>
  <si>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</si>
  <si>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</si>
  <si>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</si>
  <si>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</si>
  <si>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</si>
  <si>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</si>
  <si>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</si>
  <si>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</si>
  <si>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</si>
  <si>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</si>
  <si>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</si>
  <si>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</si>
  <si>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</si>
  <si>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</si>
  <si>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</si>
  <si>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</si>
  <si>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</si>
  <si>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</si>
  <si>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</si>
  <si>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</si>
  <si>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</si>
  <si>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</si>
  <si>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</si>
  <si>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</si>
  <si>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</si>
  <si>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</si>
  <si>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</si>
  <si>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</si>
  <si>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</si>
  <si>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</si>
  <si>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</si>
  <si>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</si>
  <si>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</si>
  <si>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</si>
  <si>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</si>
  <si>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</si>
  <si>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</si>
  <si>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</si>
  <si>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</si>
  <si>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</si>
  <si>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</si>
  <si>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</si>
  <si>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</si>
  <si>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</si>
  <si>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</si>
  <si>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</si>
  <si>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</si>
  <si>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</si>
  <si>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</si>
  <si>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</si>
  <si>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</si>
  <si>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</si>
  <si>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</si>
  <si>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</si>
  <si>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</si>
  <si>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</si>
  <si>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</si>
  <si>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</si>
  <si>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</si>
  <si>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</si>
  <si>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</si>
  <si>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</si>
  <si>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</si>
  <si>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</si>
  <si>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</si>
  <si>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</si>
  <si>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</si>
  <si>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</si>
  <si>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</si>
  <si>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</si>
  <si>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</si>
  <si>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</si>
  <si>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</si>
  <si>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</si>
  <si>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Tenure</t>
  </si>
  <si>
    <t>No of employees</t>
  </si>
  <si>
    <t>Avg Salary</t>
  </si>
  <si>
    <t>Avg Age</t>
  </si>
  <si>
    <t>Female ratio</t>
  </si>
  <si>
    <t>Avg tenure</t>
  </si>
  <si>
    <t>Female count</t>
  </si>
  <si>
    <t>Salary &gt; 90000</t>
  </si>
  <si>
    <t>Ratio</t>
  </si>
  <si>
    <t>Performance</t>
  </si>
  <si>
    <t>Date of joining</t>
  </si>
  <si>
    <t>Column Labels</t>
  </si>
  <si>
    <t>Grand Total</t>
  </si>
  <si>
    <t>Count of Name</t>
  </si>
  <si>
    <t>Average of Age</t>
  </si>
  <si>
    <t>Average of Salary</t>
  </si>
  <si>
    <t>Average of Tenure</t>
  </si>
  <si>
    <t>Values</t>
  </si>
  <si>
    <t>Bonus</t>
  </si>
  <si>
    <t>Row Labels</t>
  </si>
  <si>
    <t>Rating By Num</t>
  </si>
  <si>
    <t>2020</t>
  </si>
  <si>
    <t>May</t>
  </si>
  <si>
    <t>Jun</t>
  </si>
  <si>
    <t>Jul</t>
  </si>
  <si>
    <t>Aug</t>
  </si>
  <si>
    <t>Sep</t>
  </si>
  <si>
    <t>Oct</t>
  </si>
  <si>
    <t>Nov</t>
  </si>
  <si>
    <t>Dec</t>
  </si>
  <si>
    <t>2021</t>
  </si>
  <si>
    <t>Jan</t>
  </si>
  <si>
    <t>Feb</t>
  </si>
  <si>
    <t>Mar</t>
  </si>
  <si>
    <t>Apr</t>
  </si>
  <si>
    <t>2022</t>
  </si>
  <si>
    <t>2023</t>
  </si>
  <si>
    <t>Count of Gender</t>
  </si>
  <si>
    <t>Months</t>
  </si>
  <si>
    <t>Running Total</t>
  </si>
  <si>
    <t>Headcount</t>
  </si>
  <si>
    <t>HEADCOUNT BY DEPARTMENT</t>
  </si>
  <si>
    <t>INDIA</t>
  </si>
  <si>
    <t>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</si>
</sst>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1409]#,##0"/>
    <numFmt numFmtId="165" formatCode="0.0"/>
    <numFmt numFmtId="166" formatCode="#,##0.0"/>
    <numFmt numFmtId="167" formatCode="\ mmmm\ yyyy;@"/>
  </numFmts>
  <fonts count="11" x14ac:knownFonts="1">
    <font>
      <sz val="11"/>
      <color theme="1"/>
      <name val="Calibri"/>
      <family val="2"/>
      <scheme val="minor"/>
    </font>
    <font>
      <sz val="28"/>
      <color theme="1"/>
      <name val="Segoe UI Light"/>
      <family val="2"/>
    </font>
    <font>
      <sz val="11"/>
      <color theme="1"/>
      <name val="Calibri"/>
      <family val="2"/>
      <scheme val="minor"/>
    </font>
    <font>
      <b/>
      <sz val="11"/>
      <color theme="1"/>
      <name val="Calibri"/>
      <family val="2"/>
      <scheme val="minor"/>
    </font>
    <font>
      <sz val="11"/>
      <color theme="0"/>
      <name val="Calibri"/>
      <family val="2"/>
      <scheme val="minor"/>
    </font>
    <font>
      <sz val="36"/>
      <color theme="0"/>
      <name val="Segoe UI Black"/>
      <family val="2"/>
    </font>
    <font>
      <sz val="22"/>
      <color theme="0"/>
      <name val="Segoe UI Black"/>
      <family val="2"/>
    </font>
    <font>
      <sz val="36"/>
      <color theme="1"/>
      <name val="Segoe UI Black"/>
      <family val="2"/>
    </font>
    <font>
      <sz val="22"/>
      <color theme="1"/>
      <name val="Segoe UI Black"/>
      <family val="2"/>
    </font>
    <font>
      <sz val="12"/>
      <color theme="1"/>
      <name val="Segoe UI Light"/>
      <family val="2"/>
    </font>
    <font>
      <sz val="11"/>
      <color theme="1"/>
      <name val="Segoe UI Semibold"/>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bgColor indexed="64"/>
      </patternFill>
    </fill>
    <fill>
      <patternFill patternType="solid">
        <fgColor rgb="FFFF671F"/>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2" fillId="0" borderId="0" applyFont="0" applyFill="0" applyBorder="0" applyAlignment="0" applyProtection="0"/>
  </cellStyleXfs>
  <cellXfs count="40">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4" fontId="0" fillId="0" borderId="0" xfId="0" applyNumberFormat="1"/>
    <xf numFmtId="14" fontId="0" fillId="0" borderId="0" xfId="0" applyNumberFormat="1"/>
    <xf numFmtId="165" fontId="0" fillId="0" borderId="0" xfId="0" applyNumberFormat="1"/>
    <xf numFmtId="9" fontId="0" fillId="0" borderId="0" xfId="0" applyNumberFormat="1"/>
    <xf numFmtId="0" fontId="3" fillId="0" borderId="1" xfId="0" applyFont="1" applyBorder="1"/>
    <xf numFmtId="0" fontId="0" fillId="0" borderId="1" xfId="0" applyBorder="1"/>
    <xf numFmtId="165" fontId="0" fillId="0" borderId="1" xfId="0" applyNumberFormat="1" applyBorder="1"/>
    <xf numFmtId="0" fontId="0" fillId="0" borderId="1" xfId="0" applyBorder="1" applyAlignment="1">
      <alignment horizontal="left"/>
    </xf>
    <xf numFmtId="1" fontId="0" fillId="0" borderId="1" xfId="0" applyNumberFormat="1" applyBorder="1" applyAlignment="1">
      <alignment horizontal="left"/>
    </xf>
    <xf numFmtId="14" fontId="0" fillId="0" borderId="1" xfId="0" applyNumberFormat="1" applyBorder="1" applyAlignment="1">
      <alignment horizontal="left"/>
    </xf>
    <xf numFmtId="165" fontId="0" fillId="0" borderId="1" xfId="0" applyNumberFormat="1" applyBorder="1" applyAlignment="1">
      <alignment horizontal="left"/>
    </xf>
    <xf numFmtId="164" fontId="0" fillId="0" borderId="1" xfId="1" applyNumberFormat="1" applyFont="1" applyBorder="1" applyAlignment="1">
      <alignment horizontal="left"/>
    </xf>
    <xf numFmtId="9" fontId="0" fillId="0" borderId="1" xfId="0" applyNumberFormat="1" applyBorder="1"/>
    <xf numFmtId="0" fontId="0" fillId="0" borderId="0" xfId="0" pivotButton="1"/>
    <xf numFmtId="0" fontId="0" fillId="0" borderId="0" xfId="0" applyAlignment="1">
      <alignment horizontal="left"/>
    </xf>
    <xf numFmtId="166" fontId="0" fillId="0" borderId="0" xfId="0" applyNumberFormat="1"/>
    <xf numFmtId="164" fontId="0" fillId="0" borderId="0" xfId="0" applyNumberFormat="1" applyAlignment="1">
      <alignment horizontal="left"/>
    </xf>
    <xf numFmtId="14" fontId="0" fillId="0" borderId="0" xfId="0" applyNumberFormat="1" applyAlignment="1">
      <alignment horizontal="left"/>
    </xf>
    <xf numFmtId="165" fontId="0" fillId="0" borderId="0" xfId="0" applyNumberFormat="1" applyAlignment="1">
      <alignment horizontal="left"/>
    </xf>
    <xf numFmtId="1" fontId="0" fillId="0" borderId="1" xfId="0" applyNumberFormat="1" applyBorder="1"/>
    <xf numFmtId="0" fontId="0" fillId="0" borderId="0" xfId="0" applyAlignment="1">
      <alignment horizontal="left" indent="1"/>
    </xf>
    <xf numFmtId="167" fontId="0" fillId="0" borderId="0" xfId="0" applyNumberFormat="1"/>
    <xf numFmtId="0" fontId="3" fillId="0" borderId="0" xfId="0" applyFont="1"/>
    <xf numFmtId="0" fontId="0" fillId="0" borderId="0" xfId="0" applyBorder="1"/>
    <xf numFmtId="0" fontId="5" fillId="4" borderId="0" xfId="0" applyFont="1" applyFill="1" applyAlignment="1">
      <alignment horizontal="center" vertical="center"/>
    </xf>
    <xf numFmtId="9" fontId="5" fillId="4" borderId="0" xfId="0" applyNumberFormat="1" applyFont="1" applyFill="1" applyAlignment="1">
      <alignment horizontal="center" vertical="center"/>
    </xf>
    <xf numFmtId="164" fontId="6" fillId="4" borderId="0" xfId="0" applyNumberFormat="1" applyFont="1" applyFill="1" applyAlignment="1">
      <alignment horizontal="center" vertical="center"/>
    </xf>
    <xf numFmtId="0" fontId="7" fillId="5" borderId="0" xfId="0" applyFont="1" applyFill="1" applyAlignment="1">
      <alignment horizontal="center" vertical="center"/>
    </xf>
    <xf numFmtId="9" fontId="7" fillId="5" borderId="0" xfId="0" applyNumberFormat="1" applyFont="1" applyFill="1" applyAlignment="1">
      <alignment horizontal="center" vertical="center"/>
    </xf>
    <xf numFmtId="164" fontId="8" fillId="5" borderId="0" xfId="0" applyNumberFormat="1" applyFont="1" applyFill="1" applyAlignment="1">
      <alignment horizontal="center" vertical="center"/>
    </xf>
    <xf numFmtId="0" fontId="0" fillId="0" borderId="0" xfId="0" applyNumberFormat="1"/>
    <xf numFmtId="9" fontId="0" fillId="0" borderId="0" xfId="0" applyNumberFormat="1" applyBorder="1"/>
    <xf numFmtId="0" fontId="4" fillId="0" borderId="0" xfId="0" applyFont="1" applyBorder="1"/>
    <xf numFmtId="0" fontId="9" fillId="6" borderId="0" xfId="0" applyFont="1" applyFill="1" applyBorder="1" applyAlignment="1">
      <alignment horizontal="center" vertical="center"/>
    </xf>
    <xf numFmtId="0" fontId="10" fillId="0" borderId="0" xfId="0" applyFont="1" applyAlignment="1">
      <alignment horizontal="center" vertical="center"/>
    </xf>
  </cellXfs>
  <cellStyles count="2">
    <cellStyle name="Comma" xfId="1" builtinId="3"/>
    <cellStyle name="Normal" xfId="0" builtinId="0"/>
  </cellStyles>
  <dxfs count="18">
    <dxf>
      <font>
        <color rgb="FF9C0006"/>
      </font>
      <fill>
        <patternFill>
          <bgColor rgb="FFFFC7CE"/>
        </patternFill>
      </fill>
    </dxf>
    <dxf>
      <font>
        <color rgb="FF9C0006"/>
      </font>
      <fill>
        <patternFill>
          <bgColor rgb="FFFFC7CE"/>
        </patternFill>
      </fill>
    </dxf>
    <dxf>
      <numFmt numFmtId="0" formatCode="General"/>
      <alignment horizontal="left" vertical="bottom" textRotation="0" wrapText="0" indent="0" justifyLastLine="0" shrinkToFit="0" readingOrder="0"/>
    </dxf>
    <dxf>
      <numFmt numFmtId="164" formatCode="[$$-1409]#,##0"/>
      <alignment horizontal="left" vertical="bottom" textRotation="0" wrapText="0" indent="0" justifyLastLine="0" shrinkToFit="0" readingOrder="0"/>
    </dxf>
    <dxf>
      <numFmt numFmtId="165" formatCode="0.0"/>
      <alignment horizontal="left" vertical="bottom" textRotation="0" wrapText="0" indent="0" justifyLastLine="0" shrinkToFit="0" readingOrder="0"/>
    </dxf>
    <dxf>
      <alignment horizontal="left" vertical="bottom" textRotation="0" wrapText="0" indent="0" justifyLastLine="0" shrinkToFit="0" readingOrder="0"/>
    </dxf>
    <dxf>
      <numFmt numFmtId="164" formatCode="[$$-1409]#,##0"/>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20" formatCode="dd/mmm/yy"/>
    </dxf>
    <dxf>
      <numFmt numFmtId="164" formatCode="[$$-1409]#,##0"/>
    </dxf>
    <dxf>
      <numFmt numFmtId="164" formatCode="[$$-1409]#,##0"/>
    </dxf>
  </dxfs>
  <tableStyles count="0" defaultTableStyle="TableStyleMedium2" defaultPivotStyle="PivotStyleLight16"/>
  <colors>
    <mruColors>
      <color rgb="FFFF671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calcChain" Target="calcChain.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All_Staffs!$K$1</c:f>
              <c:strCache>
                <c:ptCount val="1"/>
                <c:pt idx="0">
                  <c:v>Rating By Num</c:v>
                </c:pt>
              </c:strCache>
            </c:strRef>
          </c:tx>
          <c:spPr>
            <a:ln w="19050" cap="rnd">
              <a:noFill/>
              <a:round/>
            </a:ln>
            <a:effectLst/>
          </c:spPr>
          <c:marker>
            <c:symbol val="circle"/>
            <c:size val="5"/>
            <c:spPr>
              <a:solidFill>
                <a:schemeClr val="accent1"/>
              </a:solidFill>
              <a:ln w="9525">
                <a:solidFill>
                  <a:schemeClr val="accent1"/>
                </a:solidFill>
              </a:ln>
              <a:effectLst/>
            </c:spPr>
          </c:marker>
          <c:xVal>
            <c:numRef>
              <c:f>All_Staffs!$G$2:$G$184</c:f>
              <c:numCache>
                <c:formatCode>[$$-1409]#,##0</c:formatCode>
                <c:ptCount val="183"/>
                <c:pt idx="0">
                  <c:v>112650</c:v>
                </c:pt>
                <c:pt idx="1">
                  <c:v>43840</c:v>
                </c:pt>
                <c:pt idx="2">
                  <c:v>103550</c:v>
                </c:pt>
                <c:pt idx="3">
                  <c:v>45510</c:v>
                </c:pt>
                <c:pt idx="4">
                  <c:v>115440</c:v>
                </c:pt>
                <c:pt idx="5">
                  <c:v>56870</c:v>
                </c:pt>
                <c:pt idx="6">
                  <c:v>92700</c:v>
                </c:pt>
                <c:pt idx="7">
                  <c:v>91310</c:v>
                </c:pt>
                <c:pt idx="8">
                  <c:v>74550</c:v>
                </c:pt>
                <c:pt idx="9">
                  <c:v>109190</c:v>
                </c:pt>
                <c:pt idx="10">
                  <c:v>104410</c:v>
                </c:pt>
                <c:pt idx="11">
                  <c:v>96800</c:v>
                </c:pt>
                <c:pt idx="12">
                  <c:v>48170</c:v>
                </c:pt>
                <c:pt idx="13">
                  <c:v>37920</c:v>
                </c:pt>
                <c:pt idx="14">
                  <c:v>112650</c:v>
                </c:pt>
                <c:pt idx="15">
                  <c:v>49630</c:v>
                </c:pt>
                <c:pt idx="16">
                  <c:v>118840</c:v>
                </c:pt>
                <c:pt idx="17">
                  <c:v>69710</c:v>
                </c:pt>
                <c:pt idx="18">
                  <c:v>79570</c:v>
                </c:pt>
                <c:pt idx="19">
                  <c:v>76900</c:v>
                </c:pt>
                <c:pt idx="20">
                  <c:v>54970</c:v>
                </c:pt>
                <c:pt idx="21">
                  <c:v>88050</c:v>
                </c:pt>
                <c:pt idx="22">
                  <c:v>36040</c:v>
                </c:pt>
                <c:pt idx="23">
                  <c:v>75000</c:v>
                </c:pt>
                <c:pt idx="24">
                  <c:v>40400</c:v>
                </c:pt>
                <c:pt idx="25">
                  <c:v>100420</c:v>
                </c:pt>
                <c:pt idx="26">
                  <c:v>58100</c:v>
                </c:pt>
                <c:pt idx="27">
                  <c:v>114870</c:v>
                </c:pt>
                <c:pt idx="28">
                  <c:v>41570</c:v>
                </c:pt>
                <c:pt idx="29">
                  <c:v>112570</c:v>
                </c:pt>
                <c:pt idx="30">
                  <c:v>47360</c:v>
                </c:pt>
                <c:pt idx="31">
                  <c:v>65920</c:v>
                </c:pt>
                <c:pt idx="32">
                  <c:v>99970</c:v>
                </c:pt>
                <c:pt idx="33">
                  <c:v>80700</c:v>
                </c:pt>
                <c:pt idx="34">
                  <c:v>52610</c:v>
                </c:pt>
                <c:pt idx="35">
                  <c:v>112110</c:v>
                </c:pt>
                <c:pt idx="36">
                  <c:v>119110</c:v>
                </c:pt>
                <c:pt idx="37">
                  <c:v>112780</c:v>
                </c:pt>
                <c:pt idx="38">
                  <c:v>114890</c:v>
                </c:pt>
                <c:pt idx="39">
                  <c:v>48980</c:v>
                </c:pt>
                <c:pt idx="40">
                  <c:v>75880</c:v>
                </c:pt>
                <c:pt idx="41">
                  <c:v>53240</c:v>
                </c:pt>
                <c:pt idx="42">
                  <c:v>85000</c:v>
                </c:pt>
                <c:pt idx="43">
                  <c:v>33920</c:v>
                </c:pt>
                <c:pt idx="44">
                  <c:v>75280</c:v>
                </c:pt>
                <c:pt idx="45">
                  <c:v>58940</c:v>
                </c:pt>
                <c:pt idx="46">
                  <c:v>104770</c:v>
                </c:pt>
                <c:pt idx="47">
                  <c:v>57090</c:v>
                </c:pt>
                <c:pt idx="48">
                  <c:v>91650</c:v>
                </c:pt>
                <c:pt idx="49">
                  <c:v>70270</c:v>
                </c:pt>
                <c:pt idx="50">
                  <c:v>75970</c:v>
                </c:pt>
                <c:pt idx="51">
                  <c:v>90700</c:v>
                </c:pt>
                <c:pt idx="52">
                  <c:v>60570</c:v>
                </c:pt>
                <c:pt idx="53">
                  <c:v>115920</c:v>
                </c:pt>
                <c:pt idx="54">
                  <c:v>65360</c:v>
                </c:pt>
                <c:pt idx="55">
                  <c:v>64000</c:v>
                </c:pt>
                <c:pt idx="56">
                  <c:v>92450</c:v>
                </c:pt>
                <c:pt idx="57">
                  <c:v>48950</c:v>
                </c:pt>
                <c:pt idx="58">
                  <c:v>83750</c:v>
                </c:pt>
                <c:pt idx="59">
                  <c:v>87620</c:v>
                </c:pt>
                <c:pt idx="60">
                  <c:v>68900</c:v>
                </c:pt>
                <c:pt idx="61">
                  <c:v>53540</c:v>
                </c:pt>
                <c:pt idx="62">
                  <c:v>43510</c:v>
                </c:pt>
                <c:pt idx="63">
                  <c:v>109160</c:v>
                </c:pt>
                <c:pt idx="64">
                  <c:v>99750</c:v>
                </c:pt>
                <c:pt idx="65">
                  <c:v>41980</c:v>
                </c:pt>
                <c:pt idx="66">
                  <c:v>71380</c:v>
                </c:pt>
                <c:pt idx="67">
                  <c:v>113280</c:v>
                </c:pt>
                <c:pt idx="68">
                  <c:v>86570</c:v>
                </c:pt>
                <c:pt idx="69">
                  <c:v>53540</c:v>
                </c:pt>
                <c:pt idx="70">
                  <c:v>69070</c:v>
                </c:pt>
                <c:pt idx="71">
                  <c:v>67910</c:v>
                </c:pt>
                <c:pt idx="72">
                  <c:v>69120</c:v>
                </c:pt>
                <c:pt idx="73">
                  <c:v>60130</c:v>
                </c:pt>
                <c:pt idx="74">
                  <c:v>106460</c:v>
                </c:pt>
                <c:pt idx="75">
                  <c:v>118100</c:v>
                </c:pt>
                <c:pt idx="76">
                  <c:v>78390</c:v>
                </c:pt>
                <c:pt idx="77">
                  <c:v>114180</c:v>
                </c:pt>
                <c:pt idx="78">
                  <c:v>104120</c:v>
                </c:pt>
                <c:pt idx="79">
                  <c:v>67950</c:v>
                </c:pt>
                <c:pt idx="80">
                  <c:v>34980</c:v>
                </c:pt>
                <c:pt idx="81">
                  <c:v>62780</c:v>
                </c:pt>
                <c:pt idx="82">
                  <c:v>107700</c:v>
                </c:pt>
                <c:pt idx="83">
                  <c:v>65700</c:v>
                </c:pt>
                <c:pt idx="84">
                  <c:v>75480</c:v>
                </c:pt>
                <c:pt idx="85">
                  <c:v>53870</c:v>
                </c:pt>
                <c:pt idx="86">
                  <c:v>78540</c:v>
                </c:pt>
                <c:pt idx="87">
                  <c:v>58960</c:v>
                </c:pt>
                <c:pt idx="88">
                  <c:v>70610</c:v>
                </c:pt>
                <c:pt idx="89">
                  <c:v>59430</c:v>
                </c:pt>
                <c:pt idx="90">
                  <c:v>48530</c:v>
                </c:pt>
                <c:pt idx="91">
                  <c:v>96140</c:v>
                </c:pt>
                <c:pt idx="92">
                  <c:v>112780</c:v>
                </c:pt>
                <c:pt idx="93">
                  <c:v>70610</c:v>
                </c:pt>
                <c:pt idx="94">
                  <c:v>53240</c:v>
                </c:pt>
                <c:pt idx="95">
                  <c:v>115440</c:v>
                </c:pt>
                <c:pt idx="96">
                  <c:v>53540</c:v>
                </c:pt>
                <c:pt idx="97">
                  <c:v>112570</c:v>
                </c:pt>
                <c:pt idx="98">
                  <c:v>48530</c:v>
                </c:pt>
                <c:pt idx="99">
                  <c:v>62780</c:v>
                </c:pt>
                <c:pt idx="100">
                  <c:v>53870</c:v>
                </c:pt>
                <c:pt idx="101">
                  <c:v>119110</c:v>
                </c:pt>
                <c:pt idx="102">
                  <c:v>112110</c:v>
                </c:pt>
                <c:pt idx="103">
                  <c:v>65700</c:v>
                </c:pt>
                <c:pt idx="104">
                  <c:v>69070</c:v>
                </c:pt>
                <c:pt idx="105">
                  <c:v>107700</c:v>
                </c:pt>
                <c:pt idx="106">
                  <c:v>43840</c:v>
                </c:pt>
                <c:pt idx="107">
                  <c:v>99750</c:v>
                </c:pt>
                <c:pt idx="108">
                  <c:v>37920</c:v>
                </c:pt>
                <c:pt idx="109">
                  <c:v>57090</c:v>
                </c:pt>
                <c:pt idx="110">
                  <c:v>41980</c:v>
                </c:pt>
                <c:pt idx="111">
                  <c:v>75880</c:v>
                </c:pt>
                <c:pt idx="112">
                  <c:v>58940</c:v>
                </c:pt>
                <c:pt idx="113">
                  <c:v>67910</c:v>
                </c:pt>
                <c:pt idx="114">
                  <c:v>58100</c:v>
                </c:pt>
                <c:pt idx="115">
                  <c:v>48980</c:v>
                </c:pt>
                <c:pt idx="116">
                  <c:v>64000</c:v>
                </c:pt>
                <c:pt idx="117">
                  <c:v>75000</c:v>
                </c:pt>
                <c:pt idx="118">
                  <c:v>87620</c:v>
                </c:pt>
                <c:pt idx="119">
                  <c:v>34980</c:v>
                </c:pt>
                <c:pt idx="120">
                  <c:v>75970</c:v>
                </c:pt>
                <c:pt idx="121">
                  <c:v>60130</c:v>
                </c:pt>
                <c:pt idx="122">
                  <c:v>75480</c:v>
                </c:pt>
                <c:pt idx="123">
                  <c:v>115920</c:v>
                </c:pt>
                <c:pt idx="124">
                  <c:v>78540</c:v>
                </c:pt>
                <c:pt idx="125">
                  <c:v>109190</c:v>
                </c:pt>
                <c:pt idx="126">
                  <c:v>49630</c:v>
                </c:pt>
                <c:pt idx="127">
                  <c:v>99970</c:v>
                </c:pt>
                <c:pt idx="128">
                  <c:v>96140</c:v>
                </c:pt>
                <c:pt idx="129">
                  <c:v>103550</c:v>
                </c:pt>
                <c:pt idx="130">
                  <c:v>48950</c:v>
                </c:pt>
                <c:pt idx="131">
                  <c:v>52610</c:v>
                </c:pt>
                <c:pt idx="132">
                  <c:v>78390</c:v>
                </c:pt>
                <c:pt idx="133">
                  <c:v>86570</c:v>
                </c:pt>
                <c:pt idx="134">
                  <c:v>83750</c:v>
                </c:pt>
                <c:pt idx="135">
                  <c:v>92450</c:v>
                </c:pt>
                <c:pt idx="136">
                  <c:v>112650</c:v>
                </c:pt>
                <c:pt idx="137">
                  <c:v>79570</c:v>
                </c:pt>
                <c:pt idx="138">
                  <c:v>68900</c:v>
                </c:pt>
                <c:pt idx="139">
                  <c:v>80700</c:v>
                </c:pt>
                <c:pt idx="140">
                  <c:v>58960</c:v>
                </c:pt>
                <c:pt idx="141">
                  <c:v>118840</c:v>
                </c:pt>
                <c:pt idx="142">
                  <c:v>48170</c:v>
                </c:pt>
                <c:pt idx="143">
                  <c:v>45510</c:v>
                </c:pt>
                <c:pt idx="144">
                  <c:v>114890</c:v>
                </c:pt>
                <c:pt idx="145">
                  <c:v>69710</c:v>
                </c:pt>
                <c:pt idx="146">
                  <c:v>71380</c:v>
                </c:pt>
                <c:pt idx="147">
                  <c:v>109160</c:v>
                </c:pt>
                <c:pt idx="148">
                  <c:v>113280</c:v>
                </c:pt>
                <c:pt idx="149">
                  <c:v>69120</c:v>
                </c:pt>
                <c:pt idx="150">
                  <c:v>118100</c:v>
                </c:pt>
                <c:pt idx="151">
                  <c:v>76900</c:v>
                </c:pt>
                <c:pt idx="152">
                  <c:v>114870</c:v>
                </c:pt>
                <c:pt idx="153">
                  <c:v>91310</c:v>
                </c:pt>
                <c:pt idx="154">
                  <c:v>104770</c:v>
                </c:pt>
                <c:pt idx="155">
                  <c:v>54970</c:v>
                </c:pt>
                <c:pt idx="156">
                  <c:v>90700</c:v>
                </c:pt>
                <c:pt idx="157">
                  <c:v>56870</c:v>
                </c:pt>
                <c:pt idx="158">
                  <c:v>92700</c:v>
                </c:pt>
                <c:pt idx="159">
                  <c:v>65920</c:v>
                </c:pt>
                <c:pt idx="160">
                  <c:v>47360</c:v>
                </c:pt>
                <c:pt idx="161">
                  <c:v>60570</c:v>
                </c:pt>
                <c:pt idx="162">
                  <c:v>104120</c:v>
                </c:pt>
                <c:pt idx="163">
                  <c:v>88050</c:v>
                </c:pt>
                <c:pt idx="164">
                  <c:v>100420</c:v>
                </c:pt>
                <c:pt idx="165">
                  <c:v>114180</c:v>
                </c:pt>
                <c:pt idx="166">
                  <c:v>33920</c:v>
                </c:pt>
                <c:pt idx="167">
                  <c:v>106460</c:v>
                </c:pt>
                <c:pt idx="168">
                  <c:v>40400</c:v>
                </c:pt>
                <c:pt idx="169">
                  <c:v>91650</c:v>
                </c:pt>
                <c:pt idx="170">
                  <c:v>36040</c:v>
                </c:pt>
                <c:pt idx="171">
                  <c:v>104410</c:v>
                </c:pt>
                <c:pt idx="172">
                  <c:v>96800</c:v>
                </c:pt>
                <c:pt idx="173">
                  <c:v>85000</c:v>
                </c:pt>
                <c:pt idx="174">
                  <c:v>43510</c:v>
                </c:pt>
                <c:pt idx="175">
                  <c:v>59430</c:v>
                </c:pt>
                <c:pt idx="176">
                  <c:v>65360</c:v>
                </c:pt>
                <c:pt idx="177">
                  <c:v>41570</c:v>
                </c:pt>
                <c:pt idx="178">
                  <c:v>75280</c:v>
                </c:pt>
                <c:pt idx="179">
                  <c:v>74550</c:v>
                </c:pt>
                <c:pt idx="180">
                  <c:v>67950</c:v>
                </c:pt>
                <c:pt idx="181">
                  <c:v>70270</c:v>
                </c:pt>
                <c:pt idx="182">
                  <c:v>53540</c:v>
                </c:pt>
              </c:numCache>
            </c:numRef>
          </c:xVal>
          <c:yVal>
            <c:numRef>
              <c:f>All_Staffs!$K$2:$K$184</c:f>
              <c:numCache>
                <c:formatCode>General</c:formatCode>
                <c:ptCount val="183"/>
                <c:pt idx="0">
                  <c:v>3</c:v>
                </c:pt>
                <c:pt idx="1">
                  <c:v>4</c:v>
                </c:pt>
                <c:pt idx="2">
                  <c:v>3</c:v>
                </c:pt>
                <c:pt idx="3">
                  <c:v>3</c:v>
                </c:pt>
                <c:pt idx="4">
                  <c:v>2</c:v>
                </c:pt>
                <c:pt idx="5">
                  <c:v>4</c:v>
                </c:pt>
                <c:pt idx="6">
                  <c:v>3</c:v>
                </c:pt>
                <c:pt idx="7">
                  <c:v>3</c:v>
                </c:pt>
                <c:pt idx="8">
                  <c:v>3</c:v>
                </c:pt>
                <c:pt idx="9">
                  <c:v>4</c:v>
                </c:pt>
                <c:pt idx="10">
                  <c:v>3</c:v>
                </c:pt>
                <c:pt idx="11">
                  <c:v>3</c:v>
                </c:pt>
                <c:pt idx="12">
                  <c:v>4</c:v>
                </c:pt>
                <c:pt idx="13">
                  <c:v>3</c:v>
                </c:pt>
                <c:pt idx="14">
                  <c:v>3</c:v>
                </c:pt>
                <c:pt idx="15">
                  <c:v>2</c:v>
                </c:pt>
                <c:pt idx="16">
                  <c:v>3</c:v>
                </c:pt>
                <c:pt idx="17">
                  <c:v>3</c:v>
                </c:pt>
                <c:pt idx="18">
                  <c:v>3</c:v>
                </c:pt>
                <c:pt idx="19">
                  <c:v>4</c:v>
                </c:pt>
                <c:pt idx="20">
                  <c:v>3</c:v>
                </c:pt>
                <c:pt idx="21">
                  <c:v>2</c:v>
                </c:pt>
                <c:pt idx="22">
                  <c:v>3</c:v>
                </c:pt>
                <c:pt idx="23">
                  <c:v>5</c:v>
                </c:pt>
                <c:pt idx="24">
                  <c:v>3</c:v>
                </c:pt>
                <c:pt idx="25">
                  <c:v>3</c:v>
                </c:pt>
                <c:pt idx="26">
                  <c:v>3</c:v>
                </c:pt>
                <c:pt idx="27">
                  <c:v>3</c:v>
                </c:pt>
                <c:pt idx="28">
                  <c:v>3</c:v>
                </c:pt>
                <c:pt idx="29">
                  <c:v>3</c:v>
                </c:pt>
                <c:pt idx="30">
                  <c:v>3</c:v>
                </c:pt>
                <c:pt idx="31">
                  <c:v>3</c:v>
                </c:pt>
                <c:pt idx="32">
                  <c:v>3</c:v>
                </c:pt>
                <c:pt idx="33">
                  <c:v>4</c:v>
                </c:pt>
                <c:pt idx="34">
                  <c:v>2</c:v>
                </c:pt>
                <c:pt idx="35">
                  <c:v>2</c:v>
                </c:pt>
                <c:pt idx="36">
                  <c:v>3</c:v>
                </c:pt>
                <c:pt idx="37">
                  <c:v>4</c:v>
                </c:pt>
                <c:pt idx="38">
                  <c:v>3</c:v>
                </c:pt>
                <c:pt idx="39">
                  <c:v>3</c:v>
                </c:pt>
                <c:pt idx="40">
                  <c:v>3</c:v>
                </c:pt>
                <c:pt idx="41">
                  <c:v>3</c:v>
                </c:pt>
                <c:pt idx="42">
                  <c:v>3</c:v>
                </c:pt>
                <c:pt idx="43">
                  <c:v>3</c:v>
                </c:pt>
                <c:pt idx="44">
                  <c:v>3</c:v>
                </c:pt>
                <c:pt idx="45">
                  <c:v>3</c:v>
                </c:pt>
                <c:pt idx="46">
                  <c:v>3</c:v>
                </c:pt>
                <c:pt idx="47">
                  <c:v>3</c:v>
                </c:pt>
                <c:pt idx="48">
                  <c:v>4</c:v>
                </c:pt>
                <c:pt idx="49">
                  <c:v>2</c:v>
                </c:pt>
                <c:pt idx="50">
                  <c:v>3</c:v>
                </c:pt>
                <c:pt idx="51">
                  <c:v>4</c:v>
                </c:pt>
                <c:pt idx="52">
                  <c:v>3</c:v>
                </c:pt>
                <c:pt idx="53">
                  <c:v>3</c:v>
                </c:pt>
                <c:pt idx="54">
                  <c:v>3</c:v>
                </c:pt>
                <c:pt idx="55">
                  <c:v>3</c:v>
                </c:pt>
                <c:pt idx="56">
                  <c:v>3</c:v>
                </c:pt>
                <c:pt idx="57">
                  <c:v>3</c:v>
                </c:pt>
                <c:pt idx="58">
                  <c:v>3</c:v>
                </c:pt>
                <c:pt idx="59">
                  <c:v>3</c:v>
                </c:pt>
                <c:pt idx="60">
                  <c:v>2</c:v>
                </c:pt>
                <c:pt idx="61">
                  <c:v>3</c:v>
                </c:pt>
                <c:pt idx="62">
                  <c:v>1</c:v>
                </c:pt>
                <c:pt idx="63">
                  <c:v>5</c:v>
                </c:pt>
                <c:pt idx="64">
                  <c:v>3</c:v>
                </c:pt>
                <c:pt idx="65">
                  <c:v>3</c:v>
                </c:pt>
                <c:pt idx="66">
                  <c:v>3</c:v>
                </c:pt>
                <c:pt idx="67">
                  <c:v>1</c:v>
                </c:pt>
                <c:pt idx="68">
                  <c:v>3</c:v>
                </c:pt>
                <c:pt idx="69">
                  <c:v>3</c:v>
                </c:pt>
                <c:pt idx="70">
                  <c:v>3</c:v>
                </c:pt>
                <c:pt idx="71">
                  <c:v>2</c:v>
                </c:pt>
                <c:pt idx="72">
                  <c:v>3</c:v>
                </c:pt>
                <c:pt idx="73">
                  <c:v>3</c:v>
                </c:pt>
                <c:pt idx="74">
                  <c:v>3</c:v>
                </c:pt>
                <c:pt idx="75">
                  <c:v>3</c:v>
                </c:pt>
                <c:pt idx="76">
                  <c:v>3</c:v>
                </c:pt>
                <c:pt idx="77">
                  <c:v>3</c:v>
                </c:pt>
                <c:pt idx="78">
                  <c:v>3</c:v>
                </c:pt>
                <c:pt idx="79">
                  <c:v>3</c:v>
                </c:pt>
                <c:pt idx="80">
                  <c:v>3</c:v>
                </c:pt>
                <c:pt idx="81">
                  <c:v>3</c:v>
                </c:pt>
                <c:pt idx="82">
                  <c:v>3</c:v>
                </c:pt>
                <c:pt idx="83">
                  <c:v>3</c:v>
                </c:pt>
                <c:pt idx="84">
                  <c:v>1</c:v>
                </c:pt>
                <c:pt idx="85">
                  <c:v>3</c:v>
                </c:pt>
                <c:pt idx="86">
                  <c:v>3</c:v>
                </c:pt>
                <c:pt idx="87">
                  <c:v>3</c:v>
                </c:pt>
                <c:pt idx="88">
                  <c:v>3</c:v>
                </c:pt>
                <c:pt idx="89">
                  <c:v>3</c:v>
                </c:pt>
                <c:pt idx="90">
                  <c:v>4</c:v>
                </c:pt>
                <c:pt idx="91">
                  <c:v>3</c:v>
                </c:pt>
                <c:pt idx="92">
                  <c:v>4</c:v>
                </c:pt>
                <c:pt idx="93">
                  <c:v>3</c:v>
                </c:pt>
                <c:pt idx="94">
                  <c:v>3</c:v>
                </c:pt>
                <c:pt idx="95">
                  <c:v>2</c:v>
                </c:pt>
                <c:pt idx="96">
                  <c:v>3</c:v>
                </c:pt>
                <c:pt idx="97">
                  <c:v>3</c:v>
                </c:pt>
                <c:pt idx="98">
                  <c:v>4</c:v>
                </c:pt>
                <c:pt idx="99">
                  <c:v>3</c:v>
                </c:pt>
                <c:pt idx="100">
                  <c:v>3</c:v>
                </c:pt>
                <c:pt idx="101">
                  <c:v>3</c:v>
                </c:pt>
                <c:pt idx="102">
                  <c:v>2</c:v>
                </c:pt>
                <c:pt idx="103">
                  <c:v>3</c:v>
                </c:pt>
                <c:pt idx="104">
                  <c:v>3</c:v>
                </c:pt>
                <c:pt idx="105">
                  <c:v>3</c:v>
                </c:pt>
                <c:pt idx="106">
                  <c:v>4</c:v>
                </c:pt>
                <c:pt idx="107">
                  <c:v>3</c:v>
                </c:pt>
                <c:pt idx="108">
                  <c:v>3</c:v>
                </c:pt>
                <c:pt idx="109">
                  <c:v>3</c:v>
                </c:pt>
                <c:pt idx="110">
                  <c:v>3</c:v>
                </c:pt>
                <c:pt idx="111">
                  <c:v>3</c:v>
                </c:pt>
                <c:pt idx="112">
                  <c:v>3</c:v>
                </c:pt>
                <c:pt idx="113">
                  <c:v>2</c:v>
                </c:pt>
                <c:pt idx="114">
                  <c:v>3</c:v>
                </c:pt>
                <c:pt idx="115">
                  <c:v>3</c:v>
                </c:pt>
                <c:pt idx="116">
                  <c:v>3</c:v>
                </c:pt>
                <c:pt idx="117">
                  <c:v>5</c:v>
                </c:pt>
                <c:pt idx="118">
                  <c:v>3</c:v>
                </c:pt>
                <c:pt idx="119">
                  <c:v>3</c:v>
                </c:pt>
                <c:pt idx="120">
                  <c:v>3</c:v>
                </c:pt>
                <c:pt idx="121">
                  <c:v>3</c:v>
                </c:pt>
                <c:pt idx="122">
                  <c:v>1</c:v>
                </c:pt>
                <c:pt idx="123">
                  <c:v>3</c:v>
                </c:pt>
                <c:pt idx="124">
                  <c:v>3</c:v>
                </c:pt>
                <c:pt idx="125">
                  <c:v>4</c:v>
                </c:pt>
                <c:pt idx="126">
                  <c:v>2</c:v>
                </c:pt>
                <c:pt idx="127">
                  <c:v>3</c:v>
                </c:pt>
                <c:pt idx="128">
                  <c:v>3</c:v>
                </c:pt>
                <c:pt idx="129">
                  <c:v>3</c:v>
                </c:pt>
                <c:pt idx="130">
                  <c:v>3</c:v>
                </c:pt>
                <c:pt idx="131">
                  <c:v>2</c:v>
                </c:pt>
                <c:pt idx="132">
                  <c:v>3</c:v>
                </c:pt>
                <c:pt idx="133">
                  <c:v>3</c:v>
                </c:pt>
                <c:pt idx="134">
                  <c:v>3</c:v>
                </c:pt>
                <c:pt idx="135">
                  <c:v>3</c:v>
                </c:pt>
                <c:pt idx="136">
                  <c:v>3</c:v>
                </c:pt>
                <c:pt idx="137">
                  <c:v>3</c:v>
                </c:pt>
                <c:pt idx="138">
                  <c:v>2</c:v>
                </c:pt>
                <c:pt idx="139">
                  <c:v>4</c:v>
                </c:pt>
                <c:pt idx="140">
                  <c:v>3</c:v>
                </c:pt>
                <c:pt idx="141">
                  <c:v>3</c:v>
                </c:pt>
                <c:pt idx="142">
                  <c:v>4</c:v>
                </c:pt>
                <c:pt idx="143">
                  <c:v>3</c:v>
                </c:pt>
                <c:pt idx="144">
                  <c:v>3</c:v>
                </c:pt>
                <c:pt idx="145">
                  <c:v>3</c:v>
                </c:pt>
                <c:pt idx="146">
                  <c:v>3</c:v>
                </c:pt>
                <c:pt idx="147">
                  <c:v>5</c:v>
                </c:pt>
                <c:pt idx="148">
                  <c:v>1</c:v>
                </c:pt>
                <c:pt idx="149">
                  <c:v>3</c:v>
                </c:pt>
                <c:pt idx="150">
                  <c:v>3</c:v>
                </c:pt>
                <c:pt idx="151">
                  <c:v>4</c:v>
                </c:pt>
                <c:pt idx="152">
                  <c:v>3</c:v>
                </c:pt>
                <c:pt idx="153">
                  <c:v>3</c:v>
                </c:pt>
                <c:pt idx="154">
                  <c:v>3</c:v>
                </c:pt>
                <c:pt idx="155">
                  <c:v>3</c:v>
                </c:pt>
                <c:pt idx="156">
                  <c:v>4</c:v>
                </c:pt>
                <c:pt idx="157">
                  <c:v>4</c:v>
                </c:pt>
                <c:pt idx="158">
                  <c:v>3</c:v>
                </c:pt>
                <c:pt idx="159">
                  <c:v>3</c:v>
                </c:pt>
                <c:pt idx="160">
                  <c:v>3</c:v>
                </c:pt>
                <c:pt idx="161">
                  <c:v>3</c:v>
                </c:pt>
                <c:pt idx="162">
                  <c:v>3</c:v>
                </c:pt>
                <c:pt idx="163">
                  <c:v>2</c:v>
                </c:pt>
                <c:pt idx="164">
                  <c:v>3</c:v>
                </c:pt>
                <c:pt idx="165">
                  <c:v>3</c:v>
                </c:pt>
                <c:pt idx="166">
                  <c:v>3</c:v>
                </c:pt>
                <c:pt idx="167">
                  <c:v>3</c:v>
                </c:pt>
                <c:pt idx="168">
                  <c:v>3</c:v>
                </c:pt>
                <c:pt idx="169">
                  <c:v>4</c:v>
                </c:pt>
                <c:pt idx="170">
                  <c:v>3</c:v>
                </c:pt>
                <c:pt idx="171">
                  <c:v>3</c:v>
                </c:pt>
                <c:pt idx="172">
                  <c:v>3</c:v>
                </c:pt>
                <c:pt idx="173">
                  <c:v>3</c:v>
                </c:pt>
                <c:pt idx="174">
                  <c:v>1</c:v>
                </c:pt>
                <c:pt idx="175">
                  <c:v>3</c:v>
                </c:pt>
                <c:pt idx="176">
                  <c:v>3</c:v>
                </c:pt>
                <c:pt idx="177">
                  <c:v>3</c:v>
                </c:pt>
                <c:pt idx="178">
                  <c:v>3</c:v>
                </c:pt>
                <c:pt idx="179">
                  <c:v>3</c:v>
                </c:pt>
                <c:pt idx="180">
                  <c:v>3</c:v>
                </c:pt>
                <c:pt idx="181">
                  <c:v>2</c:v>
                </c:pt>
                <c:pt idx="182">
                  <c:v>3</c:v>
                </c:pt>
              </c:numCache>
            </c:numRef>
          </c:yVal>
          <c:smooth val="0"/>
          <c:extLst>
            <c:ext xmlns:c16="http://schemas.microsoft.com/office/drawing/2014/chart" uri="{C3380CC4-5D6E-409C-BE32-E72D297353CC}">
              <c16:uniqueId val="{00000000-4488-4655-863D-7083A80ACD38}"/>
            </c:ext>
          </c:extLst>
        </c:ser>
        <c:dLbls>
          <c:showLegendKey val="0"/>
          <c:showVal val="0"/>
          <c:showCatName val="0"/>
          <c:showSerName val="0"/>
          <c:showPercent val="0"/>
          <c:showBubbleSize val="0"/>
        </c:dLbls>
        <c:axId val="1185535263"/>
        <c:axId val="1185532863"/>
      </c:scatterChart>
      <c:valAx>
        <c:axId val="1185535263"/>
        <c:scaling>
          <c:orientation val="minMax"/>
        </c:scaling>
        <c:delete val="0"/>
        <c:axPos val="b"/>
        <c:majorGridlines>
          <c:spPr>
            <a:ln w="9525" cap="flat" cmpd="sng" algn="ctr">
              <a:solidFill>
                <a:schemeClr val="tx1">
                  <a:lumMod val="15000"/>
                  <a:lumOff val="85000"/>
                </a:schemeClr>
              </a:solidFill>
              <a:round/>
            </a:ln>
            <a:effectLst/>
          </c:spPr>
        </c:majorGridlines>
        <c:numFmt formatCode="[$$-1409]#,##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532863"/>
        <c:crosses val="autoZero"/>
        <c:crossBetween val="midCat"/>
      </c:valAx>
      <c:valAx>
        <c:axId val="1185532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5352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[Chandoo Business Excel Project.xlsx]Company Growth!PivotTable4</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'Company Growth'!$C$4</c:f>
              <c:strCache>
                <c:ptCount val="1"/>
                <c:pt idx="0">
                  <c:v>Total</c:v>
                </c:pt>
              </c:strCache>
            </c:strRef>
          </c:tx>
          <c:spPr>
            <a:ln w="28575" cap="rnd">
              <a:solidFill>
                <a:schemeClr val="accent1"/>
              </a:solidFill>
              <a:round/>
            </a:ln>
            <a:effectLst/>
          </c:spPr>
          <c:marker>
            <c:symbol val="none"/>
          </c:marker>
          <c:cat>
            <c:multiLvlStrRef>
              <c:f>'Company Growth'!$B$5:$B$41</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'Company Growth'!$C$5:$C$41</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3FFB-4968-8983-099427050739}"/>
            </c:ext>
          </c:extLst>
        </c:ser>
        <c:dLbls>
          <c:showLegendKey val="0"/>
          <c:showVal val="0"/>
          <c:showCatName val="0"/>
          <c:showSerName val="0"/>
          <c:showPercent val="0"/>
          <c:showBubbleSize val="0"/>
        </c:dLbls>
        <c:smooth val="0"/>
        <c:axId val="1086555279"/>
        <c:axId val="1086553839"/>
      </c:lineChart>
      <c:catAx>
        <c:axId val="1086555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553839"/>
        <c:crosses val="autoZero"/>
        <c:auto val="1"/>
        <c:lblAlgn val="ctr"/>
        <c:lblOffset val="100"/>
        <c:noMultiLvlLbl val="0"/>
      </c:catAx>
      <c:valAx>
        <c:axId val="1086553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555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'Company Growth'!$X$8</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'Company Growth'!$V$9:$V$44</c:f>
              <c:numCache>
                <c:formatCode>\ mmmm\ yyyy;@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'Company Growth'!$X$9:$X$44</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A852-4C2B-8AB6-9A6452E59AA9}"/>
            </c:ext>
          </c:extLst>
        </c:ser>
        <c:dLbls>
          <c:showLegendKey val="0"/>
          <c:showVal val="0"/>
          <c:showCatName val="0"/>
          <c:showSerName val="0"/>
          <c:showPercent val="0"/>
          <c:showBubbleSize val="0"/>
        </c:dLbls>
        <c:marker val="1"/>
        <c:smooth val="0"/>
        <c:axId val="188510031"/>
        <c:axId val="194232015"/>
      </c:lineChart>
      <c:dateAx>
        <c:axId val="188510031"/>
        <c:scaling>
          <c:orientation val="minMax"/>
        </c:scaling>
        <c:delete val="0"/>
        <c:axPos val="b"/>
        <c:numFmt formatCode="\ mmmm\ 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32015"/>
        <c:crosses val="autoZero"/>
        <c:auto val="1"/>
        <c:lblOffset val="100"/>
        <c:baseTimeUnit val="months"/>
      </c:dateAx>
      <c:valAx>
        <c:axId val="194232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10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[Chandoo Business Excel Project.xlsx]Sheet2!PivotTable1</c:name>
    <c:fmtId val="11"/>
  </c:pivotSource>
  <c:chart>
    <c:autoTitleDeleted val="1"/>
    <c:pivotFmts>
      <c:pivotFmt>
        <c:idx val="0"/>
        <c:spPr>
          <a:solidFill>
            <a:srgbClr val="FF671F"/>
          </a:solidFill>
          <a:ln>
            <a:noFill/>
          </a:ln>
          <a:effectLst>
            <a:outerShdw blurRad="57150" dist="19050" dir="5400000" algn="ctr" rotWithShape="0">
              <a:srgbClr val="000000">
                <a:alpha val="63000"/>
              </a:srgbClr>
            </a:outerShdw>
          </a:effectLst>
        </c:spPr>
        <c:marker>
          <c:symbol val="diamond"/>
          <c:size val="5"/>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671F"/>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671F"/>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615801886792453"/>
          <c:y val="0.10304020467836257"/>
          <c:w val="0.73869732704402513"/>
          <c:h val="0.84125804093567247"/>
        </c:manualLayout>
      </c:layout>
      <c:barChart>
        <c:barDir val="bar"/>
        <c:grouping val="clustered"/>
        <c:varyColors val="0"/>
        <c:ser>
          <c:idx val="0"/>
          <c:order val="0"/>
          <c:tx>
            <c:strRef>
              <c:f>Sheet2!$C$6</c:f>
              <c:strCache>
                <c:ptCount val="1"/>
                <c:pt idx="0">
                  <c:v>Total</c:v>
                </c:pt>
              </c:strCache>
            </c:strRef>
          </c:tx>
          <c:spPr>
            <a:solidFill>
              <a:srgbClr val="FF671F"/>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Sheet2!$B$7:$B$12</c:f>
              <c:strCache>
                <c:ptCount val="5"/>
                <c:pt idx="0">
                  <c:v>Procurement</c:v>
                </c:pt>
                <c:pt idx="1">
                  <c:v>Website</c:v>
                </c:pt>
                <c:pt idx="2">
                  <c:v>Finance</c:v>
                </c:pt>
                <c:pt idx="3">
                  <c:v>Sales</c:v>
                </c:pt>
                <c:pt idx="4">
                  <c:v>HR</c:v>
                </c:pt>
              </c:strCache>
            </c:strRef>
          </c:cat>
          <c:val>
            <c:numRef>
              <c:f>Sheet2!$C$7:$C$12</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05CC-40BB-B7C6-7F08839A11F7}"/>
            </c:ext>
          </c:extLst>
        </c:ser>
        <c:dLbls>
          <c:dLblPos val="inEnd"/>
          <c:showLegendKey val="0"/>
          <c:showVal val="1"/>
          <c:showCatName val="0"/>
          <c:showSerName val="0"/>
          <c:showPercent val="0"/>
          <c:showBubbleSize val="0"/>
        </c:dLbls>
        <c:gapWidth val="25"/>
        <c:overlap val="-20"/>
        <c:axId val="245866783"/>
        <c:axId val="245867743"/>
      </c:barChart>
      <c:catAx>
        <c:axId val="245866783"/>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867743"/>
        <c:crosses val="autoZero"/>
        <c:auto val="1"/>
        <c:lblAlgn val="ctr"/>
        <c:lblOffset val="100"/>
        <c:noMultiLvlLbl val="0"/>
      </c:catAx>
      <c:valAx>
        <c:axId val="245867743"/>
        <c:scaling>
          <c:orientation val="minMax"/>
        </c:scaling>
        <c:delete val="0"/>
        <c:axPos val="t"/>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866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[Chandoo Business Excel Project.xlsx]Sheet2!PivotTable2</c:name>
    <c:fmtId val="10"/>
  </c:pivotSource>
  <c:chart>
    <c:autoTitleDeleted val="1"/>
    <c:pivotFmts>
      <c:pivotFmt>
        <c:idx val="0"/>
        <c:spPr>
          <a:solidFill>
            <a:schemeClr val="tx1">
              <a:lumMod val="95000"/>
              <a:lumOff val="5000"/>
            </a:schemeClr>
          </a:soli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95000"/>
              <a:lumOff val="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lumMod val="95000"/>
              <a:lumOff val="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Sheet2!$H$6</c:f>
              <c:strCache>
                <c:ptCount val="1"/>
                <c:pt idx="0">
                  <c:v>Total</c:v>
                </c:pt>
              </c:strCache>
            </c:strRef>
          </c:tx>
          <c:spPr>
            <a:solidFill>
              <a:schemeClr val="tx1">
                <a:lumMod val="95000"/>
                <a:lumOff val="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Sheet2!$G$7:$G$12</c:f>
              <c:strCache>
                <c:ptCount val="5"/>
                <c:pt idx="0">
                  <c:v>Website</c:v>
                </c:pt>
                <c:pt idx="1">
                  <c:v>Procurement</c:v>
                </c:pt>
                <c:pt idx="2">
                  <c:v>Finance</c:v>
                </c:pt>
                <c:pt idx="3">
                  <c:v>Sales</c:v>
                </c:pt>
                <c:pt idx="4">
                  <c:v>HR</c:v>
                </c:pt>
              </c:strCache>
            </c:strRef>
          </c:cat>
          <c:val>
            <c:numRef>
              <c:f>Sheet2!$H$7:$H$12</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5C45-42FA-A9C8-8FA3E31F346C}"/>
            </c:ext>
          </c:extLst>
        </c:ser>
        <c:dLbls>
          <c:dLblPos val="inEnd"/>
          <c:showLegendKey val="0"/>
          <c:showVal val="1"/>
          <c:showCatName val="0"/>
          <c:showSerName val="0"/>
          <c:showPercent val="0"/>
          <c:showBubbleSize val="0"/>
        </c:dLbls>
        <c:gapWidth val="25"/>
        <c:overlap val="-20"/>
        <c:axId val="56073743"/>
        <c:axId val="56074223"/>
      </c:barChart>
      <c:catAx>
        <c:axId val="56073743"/>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74223"/>
        <c:crosses val="autoZero"/>
        <c:auto val="1"/>
        <c:lblAlgn val="ctr"/>
        <c:lblOffset val="100"/>
        <c:noMultiLvlLbl val="0"/>
      </c:catAx>
      <c:valAx>
        <c:axId val="56074223"/>
        <c:scaling>
          <c:orientation val="minMax"/>
        </c:scaling>
        <c:delete val="0"/>
        <c:axPos val="t"/>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73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Salaty Spread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Salaty Spread By 10K</a:t>
          </a:r>
        </a:p>
      </cx:txPr>
    </cx:title>
    <cx:plotArea>
      <cx:plotAreaRegion>
        <cx:series layoutId="clusteredColumn" uniqueId="{69D966E1-165D-42F5-B68F-2A1F90CCA79A}">
          <cx:tx>
            <cx:txData>
              <cx:f>_xlchart.v1.0</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 Boxplot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Boxplot</a:t>
          </a:r>
        </a:p>
      </cx:txPr>
    </cx:title>
    <cx:plotArea>
      <cx:plotAreaRegion>
        <cx:series layoutId="boxWhisker" uniqueId="{157E9786-473B-4A55-A87F-B727193387F4}">
          <cx:tx>
            <cx:txData>
              <cx:f>_xlchart.v1.2</cx:f>
              <cx:v>Salary</cx:v>
            </cx:txData>
          </cx:tx>
          <cx:dataId val="0"/>
          <cx:layoutPr>
            <cx:visibility meanLine="0" meanMarker="1" nonoutliers="0" outliers="1"/>
            <cx:statistics quartileMethod="inclusive"/>
          </cx:layoutPr>
        </cx:series>
      </cx:plotAreaRegion>
      <cx:axis id="0">
        <cx:catScaling gapWidth="5"/>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3</xdr:col>
      <xdr:colOff>91440</xdr:colOff>
      <xdr:row>1</xdr:row>
      <xdr:rowOff>167640</xdr:rowOff>
    </xdr:from>
    <xdr:to>
      <xdr:col>5</xdr:col>
      <xdr:colOff>45720</xdr:colOff>
      <xdr:row>7</xdr:row>
      <xdr:rowOff>60959</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04841A88-782A-84EE-FEF8-FC59B5DC42A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766060" y="350520"/>
              <a:ext cx="1828800" cy="990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xdr:row>
      <xdr:rowOff>0</xdr:rowOff>
    </xdr:from>
    <xdr:to>
      <xdr:col>11</xdr:col>
      <xdr:colOff>160020</xdr:colOff>
      <xdr:row>27</xdr:row>
      <xdr:rowOff>106680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747FA79-654F-4F47-B03B-0312A685189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28800" y="1097280"/>
              <a:ext cx="5036820" cy="39471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358140</xdr:colOff>
      <xdr:row>5</xdr:row>
      <xdr:rowOff>144780</xdr:rowOff>
    </xdr:from>
    <xdr:to>
      <xdr:col>19</xdr:col>
      <xdr:colOff>320040</xdr:colOff>
      <xdr:row>27</xdr:row>
      <xdr:rowOff>121920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A58E14F8-F9DC-41E5-B040-7BADD5AB78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892540" y="1059180"/>
              <a:ext cx="3009900" cy="4000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7620</xdr:colOff>
      <xdr:row>2</xdr:row>
      <xdr:rowOff>175260</xdr:rowOff>
    </xdr:from>
    <xdr:to>
      <xdr:col>12</xdr:col>
      <xdr:colOff>304800</xdr:colOff>
      <xdr:row>22</xdr:row>
      <xdr:rowOff>0</xdr:rowOff>
    </xdr:to>
    <xdr:graphicFrame macro="">
      <xdr:nvGraphicFramePr>
        <xdr:cNvPr id="2" name="Chart 1">
          <a:extLst>
            <a:ext uri="{FF2B5EF4-FFF2-40B4-BE49-F238E27FC236}">
              <a16:creationId xmlns:a16="http://schemas.microsoft.com/office/drawing/2014/main" id="{2F61F39F-14CE-427D-B721-296341023D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22860</xdr:colOff>
      <xdr:row>8</xdr:row>
      <xdr:rowOff>152400</xdr:rowOff>
    </xdr:from>
    <xdr:to>
      <xdr:col>13</xdr:col>
      <xdr:colOff>0</xdr:colOff>
      <xdr:row>23</xdr:row>
      <xdr:rowOff>148590</xdr:rowOff>
    </xdr:to>
    <xdr:graphicFrame macro="">
      <xdr:nvGraphicFramePr>
        <xdr:cNvPr id="2" name="Chart 1">
          <a:extLst>
            <a:ext uri="{FF2B5EF4-FFF2-40B4-BE49-F238E27FC236}">
              <a16:creationId xmlns:a16="http://schemas.microsoft.com/office/drawing/2014/main" id="{3B1403FB-113A-3A64-7B0D-BF14B7B21B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601980</xdr:colOff>
      <xdr:row>24</xdr:row>
      <xdr:rowOff>163830</xdr:rowOff>
    </xdr:from>
    <xdr:to>
      <xdr:col>13</xdr:col>
      <xdr:colOff>15240</xdr:colOff>
      <xdr:row>41</xdr:row>
      <xdr:rowOff>175260</xdr:rowOff>
    </xdr:to>
    <xdr:graphicFrame macro="">
      <xdr:nvGraphicFramePr>
        <xdr:cNvPr id="3" name="Chart 2">
          <a:extLst>
            <a:ext uri="{FF2B5EF4-FFF2-40B4-BE49-F238E27FC236}">
              <a16:creationId xmlns:a16="http://schemas.microsoft.com/office/drawing/2014/main" id="{F61C4AAE-F234-1C08-01EF-2E0BB37C1B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601980</xdr:colOff>
      <xdr:row>5</xdr:row>
      <xdr:rowOff>15240</xdr:rowOff>
    </xdr:from>
    <xdr:to>
      <xdr:col>13</xdr:col>
      <xdr:colOff>1187100</xdr:colOff>
      <xdr:row>20</xdr:row>
      <xdr:rowOff>8040</xdr:rowOff>
    </xdr:to>
    <xdr:graphicFrame macro="">
      <xdr:nvGraphicFramePr>
        <xdr:cNvPr id="2" name="Chart 1">
          <a:extLst>
            <a:ext uri="{FF2B5EF4-FFF2-40B4-BE49-F238E27FC236}">
              <a16:creationId xmlns:a16="http://schemas.microsoft.com/office/drawing/2014/main" id="{0B5F7615-C0B4-42B1-B0A9-08E27726A8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5</xdr:row>
      <xdr:rowOff>22860</xdr:rowOff>
    </xdr:from>
    <xdr:to>
      <xdr:col>6</xdr:col>
      <xdr:colOff>1194720</xdr:colOff>
      <xdr:row>20</xdr:row>
      <xdr:rowOff>15660</xdr:rowOff>
    </xdr:to>
    <xdr:graphicFrame macro="">
      <xdr:nvGraphicFramePr>
        <xdr:cNvPr id="3" name="Chart 2">
          <a:extLst>
            <a:ext uri="{FF2B5EF4-FFF2-40B4-BE49-F238E27FC236}">
              <a16:creationId xmlns:a16="http://schemas.microsoft.com/office/drawing/2014/main" id="{4C5B91F9-4424-4631-B1DD-10D55C2298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1</xdr:row>
      <xdr:rowOff>160020</xdr:rowOff>
    </xdr:from>
    <xdr:to>
      <xdr:col>8</xdr:col>
      <xdr:colOff>0</xdr:colOff>
      <xdr:row>20</xdr:row>
      <xdr:rowOff>30480</xdr:rowOff>
    </xdr:to>
    <xdr:cxnSp macro="">
      <xdr:nvCxnSpPr>
        <xdr:cNvPr id="5" name="Straight Connector 4">
          <a:extLst>
            <a:ext uri="{FF2B5EF4-FFF2-40B4-BE49-F238E27FC236}">
              <a16:creationId xmlns:a16="http://schemas.microsoft.com/office/drawing/2014/main" id="{BAF544C9-8555-C5FF-71D3-A7640CE832F5}"/>
            </a:ext>
          </a:extLst>
        </xdr:cNvPr>
        <xdr:cNvCxnSpPr/>
      </xdr:nvCxnSpPr>
      <xdr:spPr>
        <a:xfrm>
          <a:off x="5654040" y="342900"/>
          <a:ext cx="0" cy="4297680"/>
        </a:xfrm>
        <a:prstGeom prst="line">
          <a:avLst/>
        </a:prstGeom>
        <a:ln w="3175" cap="flat" cmpd="sng" algn="ctr">
          <a:solidFill>
            <a:schemeClr val="bg1">
              <a:lumMod val="8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i Bharathi" refreshedDate="45362.678532407408" backgroundQuery="1" createdVersion="8" refreshedVersion="8" minRefreshableVersion="3" recordCount="0" supportSubquery="1" supportAdvancedDrill="1" xr:uid="{E7916A1B-C82E-4343-AA90-FA7FE50C7DD3}">
  <cacheSource type="external" connectionId="4"/>
  <cacheFields count="6">
    <cacheField name="[Staffs].[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s].[Country].[Country]" caption="Country" numFmtId="0" hierarchy="7" level="1">
      <sharedItems containsSemiMixedTypes="0" containsNonDate="0" containsString="0"/>
    </cacheField>
  </cacheFields>
  <cacheHierarchies count="23">
    <cacheHierarchy uniqueName="[Staffs].[Name]" caption="Name" attribute="1" defaultMemberUniqueName="[Staffs].[Name].[All]" allUniqueName="[Staffs].[Name].[All]" dimensionUniqueName="[Staffs]" displayFolder="" count="0" memberValueDatatype="130" unbalanced="0"/>
    <cacheHierarchy uniqueName="[Staffs].[Gender]" caption="Gender" attribute="1" defaultMemberUniqueName="[Staffs].[Gender].[All]" allUniqueName="[Staffs].[Gender].[All]" dimensionUniqueName="[Staffs]" displayFolder="" count="2" memberValueDatatype="130" unbalanced="0">
      <fieldsUsage count="2">
        <fieldUsage x="-1"/>
        <fieldUsage x="0"/>
      </fieldsUsage>
    </cacheHierarchy>
    <cacheHierarchy uniqueName="[Staffs].[Age]" caption="Age" attribute="1" defaultMemberUniqueName="[Staffs].[Age].[All]" allUniqueName="[Staffs].[Age].[All]" dimensionUniqueName="[Staffs]" displayFolder="" count="0" memberValueDatatype="20" unbalanced="0"/>
    <cacheHierarchy uniqueName="[Staffs].[Rating]" caption="Rating" attribute="1" defaultMemberUniqueName="[Staffs].[Rating].[All]" allUniqueName="[Staffs].[Rating].[All]" dimensionUniqueName="[Staffs]" displayFolder="" count="0" memberValueDatatype="130" unbalanced="0"/>
    <cacheHierarchy uniqueName="[Staffs].[Date Joined]" caption="Date Joined" attribute="1" time="1" defaultMemberUniqueName="[Staffs].[Date Joined].[All]" allUniqueName="[Staffs].[Date Joined].[All]" dimensionUniqueName="[Staffs]" displayFolder="" count="0" memberValueDatatype="7" unbalanced="0"/>
    <cacheHierarchy uniqueName="[Staffs].[Department]" caption="Department" attribute="1" defaultMemberUniqueName="[Staffs].[Department].[All]" allUniqueName="[Staffs].[Department].[All]" dimensionUniqueName="[Staffs]" displayFolder="" count="0" memberValueDatatype="130" unbalanced="0"/>
    <cacheHierarchy uniqueName="[Staffs].[Salary]" caption="Salary" attribute="1" defaultMemberUniqueName="[Staffs].[Salary].[All]" allUniqueName="[Staffs].[Salary].[All]" dimensionUniqueName="[Staffs]" displayFolder="" count="0" memberValueDatatype="20" unbalanced="0"/>
    <cacheHierarchy uniqueName="[Staffs].[Country]" caption="Country" attribute="1" defaultMemberUniqueName="[Staffs].[Country].[All]" allUniqueName="[Staffs].[Country].[All]" dimensionUniqueName="[Staffs]" displayFolder="" count="2" memberValueDatatype="130" unbalanced="0">
      <fieldsUsage count="2">
        <fieldUsage x="-1"/>
        <fieldUsage x="5"/>
      </fieldsUsage>
    </cacheHierarchy>
    <cacheHierarchy uniqueName="[Staffs].[Tenure]" caption="Tenure" attribute="1" defaultMemberUniqueName="[Staffs].[Tenure].[All]" allUniqueName="[Staffs].[Tenure].[All]" dimensionUniqueName="[Staffs]" displayFolder="" count="0" memberValueDatatype="5" unbalanced="0"/>
    <cacheHierarchy uniqueName="[Staffs].[Date Joined (Year)]" caption="Date Joined (Year)" attribute="1" defaultMemberUniqueName="[Staffs].[Date Joined (Year)].[All]" allUniqueName="[Staffs].[Date Joined (Year)].[All]" dimensionUniqueName="[Staffs]" displayFolder="" count="0" memberValueDatatype="130" unbalanced="0"/>
    <cacheHierarchy uniqueName="[Staffs].[Date Joined (Quarter)]" caption="Date Joined (Quarter)" attribute="1" defaultMemberUniqueName="[Staffs].[Date Joined (Quarter)].[All]" allUniqueName="[Staffs].[Date Joined (Quarter)].[All]" dimensionUniqueName="[Staffs]" displayFolder="" count="0" memberValueDatatype="130" unbalanced="0"/>
    <cacheHierarchy uniqueName="[Staffs].[Date Joined (Month)]" caption="Date Joined (Month)" attribute="1" defaultMemberUniqueName="[Staffs].[Date Joined (Month)].[All]" allUniqueName="[Staffs].[Date Joined (Month)].[All]" dimensionUniqueName="[Staffs]" displayFolder="" count="0" memberValueDatatype="130" unbalanced="0"/>
    <cacheHierarchy uniqueName="[Staffs].[Date Joined (Month Index)]" caption="Date Joined (Month Index)" attribute="1" defaultMemberUniqueName="[Staffs].[Date Joined (Month Index)].[All]" allUniqueName="[Staffs].[Date Joined (Month Index)].[All]" dimensionUniqueName="[Staffs]" displayFolder="" count="0" memberValueDatatype="20" unbalanced="0" hidden="1"/>
    <cacheHierarchy uniqueName="[Measures].[__XL_Count Staffs]" caption="__XL_Count Staffs" measure="1" displayFolder="" measureGroup="Staffs" count="0" hidden="1"/>
    <cacheHierarchy uniqueName="[Measures].[__No measures defined]" caption="__No measures defined" measure="1" displayFolder="" count="0" hidden="1"/>
    <cacheHierarchy uniqueName="[Measures].[Count of Name]" caption="Count of Name" measure="1" displayFolder="" measureGroup="Staffs"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s"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s"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s"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s"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s"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s" count="0" oneField="1" hidden="1">
      <fieldsUsage count="1">
        <fieldUsage x="4"/>
      </fieldsUsage>
      <extLst>
        <ext xmlns:x15="http://schemas.microsoft.com/office/spreadsheetml/2010/11/main" uri="{B97F6D7D-B522-45F9-BDA1-12C45D357490}">
          <x15:cacheHierarchy aggregatedColumn="8"/>
        </ext>
      </extLst>
    </cacheHierarchy>
    <cacheHierarchy uniqueName="[Measures].[Count of Gender]" caption="Count of Gender" measure="1" displayFolder="" measureGroup="Staffs"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Staffs" uniqueName="[Staffs]" caption="Staffs"/>
  </dimensions>
  <measureGroups count="1">
    <measureGroup name="Staffs" caption="Staff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i Bharathi" refreshedDate="45362.678528356482" backgroundQuery="1" createdVersion="8" refreshedVersion="8" minRefreshableVersion="3" recordCount="0" supportSubquery="1" supportAdvancedDrill="1" xr:uid="{61085161-2AB4-4C12-B327-04B16561F4A9}">
  <cacheSource type="external" connectionId="4"/>
  <cacheFields count="2">
    <cacheField name="[Staffs].[Rating].[Rating]" caption="Rating" numFmtId="0" hierarchy="3" level="1">
      <sharedItems count="5">
        <s v="Above average"/>
        <s v="Average"/>
        <s v="Exceptional"/>
        <s v="Poor"/>
        <s v="Very poor"/>
      </sharedItems>
    </cacheField>
    <cacheField name="[Measures].[Average of Salary]" caption="Average of Salary" numFmtId="0" hierarchy="19" level="32767"/>
  </cacheFields>
  <cacheHierarchies count="23">
    <cacheHierarchy uniqueName="[Staffs].[Name]" caption="Name" attribute="1" defaultMemberUniqueName="[Staffs].[Name].[All]" allUniqueName="[Staffs].[Name].[All]" dimensionUniqueName="[Staffs]" displayFolder="" count="0" memberValueDatatype="130" unbalanced="0"/>
    <cacheHierarchy uniqueName="[Staffs].[Gender]" caption="Gender" attribute="1" defaultMemberUniqueName="[Staffs].[Gender].[All]" allUniqueName="[Staffs].[Gender].[All]" dimensionUniqueName="[Staffs]" displayFolder="" count="0" memberValueDatatype="130" unbalanced="0"/>
    <cacheHierarchy uniqueName="[Staffs].[Age]" caption="Age" attribute="1" defaultMemberUniqueName="[Staffs].[Age].[All]" allUniqueName="[Staffs].[Age].[All]" dimensionUniqueName="[Staffs]" displayFolder="" count="0" memberValueDatatype="20" unbalanced="0"/>
    <cacheHierarchy uniqueName="[Staffs].[Rating]" caption="Rating" attribute="1" defaultMemberUniqueName="[Staffs].[Rating].[All]" allUniqueName="[Staffs].[Rating].[All]" dimensionUniqueName="[Staffs]" displayFolder="" count="2" memberValueDatatype="130" unbalanced="0">
      <fieldsUsage count="2">
        <fieldUsage x="-1"/>
        <fieldUsage x="0"/>
      </fieldsUsage>
    </cacheHierarchy>
    <cacheHierarchy uniqueName="[Staffs].[Date Joined]" caption="Date Joined" attribute="1" time="1" defaultMemberUniqueName="[Staffs].[Date Joined].[All]" allUniqueName="[Staffs].[Date Joined].[All]" dimensionUniqueName="[Staffs]" displayFolder="" count="0" memberValueDatatype="7" unbalanced="0"/>
    <cacheHierarchy uniqueName="[Staffs].[Department]" caption="Department" attribute="1" defaultMemberUniqueName="[Staffs].[Department].[All]" allUniqueName="[Staffs].[Department].[All]" dimensionUniqueName="[Staffs]" displayFolder="" count="0" memberValueDatatype="130" unbalanced="0"/>
    <cacheHierarchy uniqueName="[Staffs].[Salary]" caption="Salary" attribute="1" defaultMemberUniqueName="[Staffs].[Salary].[All]" allUniqueName="[Staffs].[Salary].[All]" dimensionUniqueName="[Staffs]" displayFolder="" count="0" memberValueDatatype="20" unbalanced="0"/>
    <cacheHierarchy uniqueName="[Staffs].[Country]" caption="Country" attribute="1" defaultMemberUniqueName="[Staffs].[Country].[All]" allUniqueName="[Staffs].[Country].[All]" dimensionUniqueName="[Staffs]" displayFolder="" count="0" memberValueDatatype="130" unbalanced="0"/>
    <cacheHierarchy uniqueName="[Staffs].[Tenure]" caption="Tenure" attribute="1" defaultMemberUniqueName="[Staffs].[Tenure].[All]" allUniqueName="[Staffs].[Tenure].[All]" dimensionUniqueName="[Staffs]" displayFolder="" count="0" memberValueDatatype="5" unbalanced="0"/>
    <cacheHierarchy uniqueName="[Staffs].[Date Joined (Year)]" caption="Date Joined (Year)" attribute="1" defaultMemberUniqueName="[Staffs].[Date Joined (Year)].[All]" allUniqueName="[Staffs].[Date Joined (Year)].[All]" dimensionUniqueName="[Staffs]" displayFolder="" count="0" memberValueDatatype="130" unbalanced="0"/>
    <cacheHierarchy uniqueName="[Staffs].[Date Joined (Quarter)]" caption="Date Joined (Quarter)" attribute="1" defaultMemberUniqueName="[Staffs].[Date Joined (Quarter)].[All]" allUniqueName="[Staffs].[Date Joined (Quarter)].[All]" dimensionUniqueName="[Staffs]" displayFolder="" count="0" memberValueDatatype="130" unbalanced="0"/>
    <cacheHierarchy uniqueName="[Staffs].[Date Joined (Month)]" caption="Date Joined (Month)" attribute="1" defaultMemberUniqueName="[Staffs].[Date Joined (Month)].[All]" allUniqueName="[Staffs].[Date Joined (Month)].[All]" dimensionUniqueName="[Staffs]" displayFolder="" count="0" memberValueDatatype="130" unbalanced="0"/>
    <cacheHierarchy uniqueName="[Staffs].[Date Joined (Month Index)]" caption="Date Joined (Month Index)" attribute="1" defaultMemberUniqueName="[Staffs].[Date Joined (Month Index)].[All]" allUniqueName="[Staffs].[Date Joined (Month Index)].[All]" dimensionUniqueName="[Staffs]" displayFolder="" count="0" memberValueDatatype="20" unbalanced="0" hidden="1"/>
    <cacheHierarchy uniqueName="[Measures].[__XL_Count Staffs]" caption="__XL_Count Staffs" measure="1" displayFolder="" measureGroup="Staffs" count="0" hidden="1"/>
    <cacheHierarchy uniqueName="[Measures].[__No measures defined]" caption="__No measures defined" measure="1" displayFolder="" count="0" hidden="1"/>
    <cacheHierarchy uniqueName="[Measures].[Count of Name]" caption="Count of Name" measure="1" displayFolder="" measureGroup="Staffs"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s"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s"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s"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s"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s"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s" count="0" hidden="1">
      <extLst>
        <ext xmlns:x15="http://schemas.microsoft.com/office/spreadsheetml/2010/11/main" uri="{B97F6D7D-B522-45F9-BDA1-12C45D357490}">
          <x15:cacheHierarchy aggregatedColumn="8"/>
        </ext>
      </extLst>
    </cacheHierarchy>
    <cacheHierarchy uniqueName="[Measures].[Count of Gender]" caption="Count of Gender" measure="1" displayFolder="" measureGroup="Staffs"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Staffs" uniqueName="[Staffs]" caption="Staffs"/>
  </dimensions>
  <measureGroups count="1">
    <measureGroup name="Staffs" caption="Staff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i Bharathi" refreshedDate="45362.682448842592" backgroundQuery="1" createdVersion="8" refreshedVersion="8" minRefreshableVersion="3" recordCount="0" supportSubquery="1" supportAdvancedDrill="1" xr:uid="{BD430F48-81F0-4C66-8E7A-78E8E0A0B3AF}">
  <cacheSource type="external" connectionId="4"/>
  <cacheFields count="3">
    <cacheField name="[Staffs].[Date Joined (Month)].[Date Joined (Month)]" caption="Date Joined (Month)" numFmtId="0" hierarchy="11" level="1">
      <sharedItems count="12">
        <s v="May"/>
        <s v="Jun"/>
        <s v="Jul"/>
        <s v="Aug"/>
        <s v="Sep"/>
        <s v="Oct"/>
        <s v="Nov"/>
        <s v="Dec"/>
        <s v="Jan"/>
        <s v="Feb"/>
        <s v="Mar"/>
        <s v="Apr"/>
      </sharedItems>
    </cacheField>
    <cacheField name="[Staffs].[Date Joined (Year)].[Date Joined (Year)]" caption="Date Joined (Year)" numFmtId="0" hierarchy="9" level="1">
      <sharedItems count="4">
        <s v="2020"/>
        <s v="2021"/>
        <s v="2022"/>
        <s v="2023"/>
      </sharedItems>
    </cacheField>
    <cacheField name="[Measures].[Count of Gender]" caption="Count of Gender" numFmtId="0" hierarchy="22" level="32767"/>
  </cacheFields>
  <cacheHierarchies count="23">
    <cacheHierarchy uniqueName="[Staffs].[Name]" caption="Name" attribute="1" defaultMemberUniqueName="[Staffs].[Name].[All]" allUniqueName="[Staffs].[Name].[All]" dimensionUniqueName="[Staffs]" displayFolder="" count="0" memberValueDatatype="130" unbalanced="0"/>
    <cacheHierarchy uniqueName="[Staffs].[Gender]" caption="Gender" attribute="1" defaultMemberUniqueName="[Staffs].[Gender].[All]" allUniqueName="[Staffs].[Gender].[All]" dimensionUniqueName="[Staffs]" displayFolder="" count="0" memberValueDatatype="130" unbalanced="0"/>
    <cacheHierarchy uniqueName="[Staffs].[Age]" caption="Age" attribute="1" defaultMemberUniqueName="[Staffs].[Age].[All]" allUniqueName="[Staffs].[Age].[All]" dimensionUniqueName="[Staffs]" displayFolder="" count="0" memberValueDatatype="20" unbalanced="0"/>
    <cacheHierarchy uniqueName="[Staffs].[Rating]" caption="Rating" attribute="1" defaultMemberUniqueName="[Staffs].[Rating].[All]" allUniqueName="[Staffs].[Rating].[All]" dimensionUniqueName="[Staffs]" displayFolder="" count="0" memberValueDatatype="130" unbalanced="0"/>
    <cacheHierarchy uniqueName="[Staffs].[Date Joined]" caption="Date Joined" attribute="1" time="1" defaultMemberUniqueName="[Staffs].[Date Joined].[All]" allUniqueName="[Staffs].[Date Joined].[All]" dimensionUniqueName="[Staffs]" displayFolder="" count="0" memberValueDatatype="7" unbalanced="0"/>
    <cacheHierarchy uniqueName="[Staffs].[Department]" caption="Department" attribute="1" defaultMemberUniqueName="[Staffs].[Department].[All]" allUniqueName="[Staffs].[Department].[All]" dimensionUniqueName="[Staffs]" displayFolder="" count="0" memberValueDatatype="130" unbalanced="0"/>
    <cacheHierarchy uniqueName="[Staffs].[Salary]" caption="Salary" attribute="1" defaultMemberUniqueName="[Staffs].[Salary].[All]" allUniqueName="[Staffs].[Salary].[All]" dimensionUniqueName="[Staffs]" displayFolder="" count="0" memberValueDatatype="20" unbalanced="0"/>
    <cacheHierarchy uniqueName="[Staffs].[Country]" caption="Country" attribute="1" defaultMemberUniqueName="[Staffs].[Country].[All]" allUniqueName="[Staffs].[Country].[All]" dimensionUniqueName="[Staffs]" displayFolder="" count="0" memberValueDatatype="130" unbalanced="0"/>
    <cacheHierarchy uniqueName="[Staffs].[Tenure]" caption="Tenure" attribute="1" defaultMemberUniqueName="[Staffs].[Tenure].[All]" allUniqueName="[Staffs].[Tenure].[All]" dimensionUniqueName="[Staffs]" displayFolder="" count="0" memberValueDatatype="5" unbalanced="0"/>
    <cacheHierarchy uniqueName="[Staffs].[Date Joined (Year)]" caption="Date Joined (Year)" attribute="1" defaultMemberUniqueName="[Staffs].[Date Joined (Year)].[All]" allUniqueName="[Staffs].[Date Joined (Year)].[All]" dimensionUniqueName="[Staffs]" displayFolder="" count="2" memberValueDatatype="130" unbalanced="0">
      <fieldsUsage count="2">
        <fieldUsage x="-1"/>
        <fieldUsage x="1"/>
      </fieldsUsage>
    </cacheHierarchy>
    <cacheHierarchy uniqueName="[Staffs].[Date Joined (Quarter)]" caption="Date Joined (Quarter)" attribute="1" defaultMemberUniqueName="[Staffs].[Date Joined (Quarter)].[All]" allUniqueName="[Staffs].[Date Joined (Quarter)].[All]" dimensionUniqueName="[Staffs]" displayFolder="" count="0" memberValueDatatype="130" unbalanced="0"/>
    <cacheHierarchy uniqueName="[Staffs].[Date Joined (Month)]" caption="Date Joined (Month)" attribute="1" defaultMemberUniqueName="[Staffs].[Date Joined (Month)].[All]" allUniqueName="[Staffs].[Date Joined (Month)].[All]" dimensionUniqueName="[Staffs]" displayFolder="" count="2" memberValueDatatype="130" unbalanced="0">
      <fieldsUsage count="2">
        <fieldUsage x="-1"/>
        <fieldUsage x="0"/>
      </fieldsUsage>
    </cacheHierarchy>
    <cacheHierarchy uniqueName="[Staffs].[Date Joined (Month Index)]" caption="Date Joined (Month Index)" attribute="1" defaultMemberUniqueName="[Staffs].[Date Joined (Month Index)].[All]" allUniqueName="[Staffs].[Date Joined (Month Index)].[All]" dimensionUniqueName="[Staffs]" displayFolder="" count="0" memberValueDatatype="20" unbalanced="0" hidden="1"/>
    <cacheHierarchy uniqueName="[Measures].[__XL_Count Staffs]" caption="__XL_Count Staffs" measure="1" displayFolder="" measureGroup="Staffs" count="0" hidden="1"/>
    <cacheHierarchy uniqueName="[Measures].[__No measures defined]" caption="__No measures defined" measure="1" displayFolder="" count="0" hidden="1"/>
    <cacheHierarchy uniqueName="[Measures].[Count of Name]" caption="Count of Name" measure="1" displayFolder="" measureGroup="Staffs"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s"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s"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s"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s"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s"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s" count="0" hidden="1">
      <extLst>
        <ext xmlns:x15="http://schemas.microsoft.com/office/spreadsheetml/2010/11/main" uri="{B97F6D7D-B522-45F9-BDA1-12C45D357490}">
          <x15:cacheHierarchy aggregatedColumn="8"/>
        </ext>
      </extLst>
    </cacheHierarchy>
    <cacheHierarchy uniqueName="[Measures].[Count of Gender]" caption="Count of Gender" measure="1" displayFolder="" measureGroup="Staffs" count="0" oneField="1" hidden="1">
      <fieldsUsage count="1">
        <fieldUsage x="2"/>
      </fieldsUsage>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Staffs" uniqueName="[Staffs]" caption="Staffs"/>
  </dimensions>
  <measureGroups count="1">
    <measureGroup name="Staffs" caption="Staff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i Bharathi" refreshedDate="45363.535191319446" backgroundQuery="1" createdVersion="8" refreshedVersion="8" minRefreshableVersion="3" recordCount="0" supportSubquery="1" supportAdvancedDrill="1" xr:uid="{BE039323-0FAC-4C7C-88F4-585318E441C4}">
  <cacheSource type="external" connectionId="4"/>
  <cacheFields count="3">
    <cacheField name="[Staffs].[Department].[Department]" caption="Department" numFmtId="0" hierarchy="5" level="1">
      <sharedItems count="5">
        <s v="Finance"/>
        <s v="HR"/>
        <s v="Procurement"/>
        <s v="Sales"/>
        <s v="Website"/>
      </sharedItems>
    </cacheField>
    <cacheField name="[Staffs].[Country].[Country]" caption="Country" numFmtId="0" hierarchy="7" level="1">
      <sharedItems containsSemiMixedTypes="0" containsNonDate="0" containsString="0"/>
    </cacheField>
    <cacheField name="[Measures].[Count of Name]" caption="Count of Name" numFmtId="0" hierarchy="15" level="32767"/>
  </cacheFields>
  <cacheHierarchies count="23">
    <cacheHierarchy uniqueName="[Staffs].[Name]" caption="Name" attribute="1" defaultMemberUniqueName="[Staffs].[Name].[All]" allUniqueName="[Staffs].[Name].[All]" dimensionUniqueName="[Staffs]" displayFolder="" count="0" memberValueDatatype="130" unbalanced="0"/>
    <cacheHierarchy uniqueName="[Staffs].[Gender]" caption="Gender" attribute="1" defaultMemberUniqueName="[Staffs].[Gender].[All]" allUniqueName="[Staffs].[Gender].[All]" dimensionUniqueName="[Staffs]" displayFolder="" count="0" memberValueDatatype="130" unbalanced="0"/>
    <cacheHierarchy uniqueName="[Staffs].[Age]" caption="Age" attribute="1" defaultMemberUniqueName="[Staffs].[Age].[All]" allUniqueName="[Staffs].[Age].[All]" dimensionUniqueName="[Staffs]" displayFolder="" count="0" memberValueDatatype="20" unbalanced="0"/>
    <cacheHierarchy uniqueName="[Staffs].[Rating]" caption="Rating" attribute="1" defaultMemberUniqueName="[Staffs].[Rating].[All]" allUniqueName="[Staffs].[Rating].[All]" dimensionUniqueName="[Staffs]" displayFolder="" count="0" memberValueDatatype="130" unbalanced="0"/>
    <cacheHierarchy uniqueName="[Staffs].[Date Joined]" caption="Date Joined" attribute="1" time="1" defaultMemberUniqueName="[Staffs].[Date Joined].[All]" allUniqueName="[Staffs].[Date Joined].[All]" dimensionUniqueName="[Staffs]" displayFolder="" count="0" memberValueDatatype="7" unbalanced="0"/>
    <cacheHierarchy uniqueName="[Staffs].[Department]" caption="Department" attribute="1" defaultMemberUniqueName="[Staffs].[Department].[All]" allUniqueName="[Staffs].[Department].[All]" dimensionUniqueName="[Staffs]" displayFolder="" count="2" memberValueDatatype="130" unbalanced="0">
      <fieldsUsage count="2">
        <fieldUsage x="-1"/>
        <fieldUsage x="0"/>
      </fieldsUsage>
    </cacheHierarchy>
    <cacheHierarchy uniqueName="[Staffs].[Salary]" caption="Salary" attribute="1" defaultMemberUniqueName="[Staffs].[Salary].[All]" allUniqueName="[Staffs].[Salary].[All]" dimensionUniqueName="[Staffs]" displayFolder="" count="0" memberValueDatatype="20" unbalanced="0"/>
    <cacheHierarchy uniqueName="[Staffs].[Country]" caption="Country" attribute="1" defaultMemberUniqueName="[Staffs].[Country].[All]" allUniqueName="[Staffs].[Country].[All]" dimensionUniqueName="[Staffs]" displayFolder="" count="2" memberValueDatatype="130" unbalanced="0">
      <fieldsUsage count="2">
        <fieldUsage x="-1"/>
        <fieldUsage x="1"/>
      </fieldsUsage>
    </cacheHierarchy>
    <cacheHierarchy uniqueName="[Staffs].[Tenure]" caption="Tenure" attribute="1" defaultMemberUniqueName="[Staffs].[Tenure].[All]" allUniqueName="[Staffs].[Tenure].[All]" dimensionUniqueName="[Staffs]" displayFolder="" count="0" memberValueDatatype="5" unbalanced="0"/>
    <cacheHierarchy uniqueName="[Staffs].[Date Joined (Year)]" caption="Date Joined (Year)" attribute="1" defaultMemberUniqueName="[Staffs].[Date Joined (Year)].[All]" allUniqueName="[Staffs].[Date Joined (Year)].[All]" dimensionUniqueName="[Staffs]" displayFolder="" count="0" memberValueDatatype="130" unbalanced="0"/>
    <cacheHierarchy uniqueName="[Staffs].[Date Joined (Quarter)]" caption="Date Joined (Quarter)" attribute="1" defaultMemberUniqueName="[Staffs].[Date Joined (Quarter)].[All]" allUniqueName="[Staffs].[Date Joined (Quarter)].[All]" dimensionUniqueName="[Staffs]" displayFolder="" count="0" memberValueDatatype="130" unbalanced="0"/>
    <cacheHierarchy uniqueName="[Staffs].[Date Joined (Month)]" caption="Date Joined (Month)" attribute="1" defaultMemberUniqueName="[Staffs].[Date Joined (Month)].[All]" allUniqueName="[Staffs].[Date Joined (Month)].[All]" dimensionUniqueName="[Staffs]" displayFolder="" count="0" memberValueDatatype="130" unbalanced="0"/>
    <cacheHierarchy uniqueName="[Staffs].[Date Joined (Month Index)]" caption="Date Joined (Month Index)" attribute="1" defaultMemberUniqueName="[Staffs].[Date Joined (Month Index)].[All]" allUniqueName="[Staffs].[Date Joined (Month Index)].[All]" dimensionUniqueName="[Staffs]" displayFolder="" count="0" memberValueDatatype="20" unbalanced="0" hidden="1"/>
    <cacheHierarchy uniqueName="[Measures].[__XL_Count Staffs]" caption="__XL_Count Staffs" measure="1" displayFolder="" measureGroup="Staffs" count="0" hidden="1"/>
    <cacheHierarchy uniqueName="[Measures].[__No measures defined]" caption="__No measures defined" measure="1" displayFolder="" count="0" hidden="1"/>
    <cacheHierarchy uniqueName="[Measures].[Count of Name]" caption="Count of Name" measure="1" displayFolder="" measureGroup="Staffs"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s"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s"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s"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s"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s"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s" count="0" hidden="1">
      <extLst>
        <ext xmlns:x15="http://schemas.microsoft.com/office/spreadsheetml/2010/11/main" uri="{B97F6D7D-B522-45F9-BDA1-12C45D357490}">
          <x15:cacheHierarchy aggregatedColumn="8"/>
        </ext>
      </extLst>
    </cacheHierarchy>
    <cacheHierarchy uniqueName="[Measures].[Count of Gender]" caption="Count of Gender" measure="1" displayFolder="" measureGroup="Staffs"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Staffs" uniqueName="[Staffs]" caption="Staffs"/>
  </dimensions>
  <measureGroups count="1">
    <measureGroup name="Staffs" caption="Staff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i Bharathi" refreshedDate="45363.537429282405" backgroundQuery="1" createdVersion="8" refreshedVersion="8" minRefreshableVersion="3" recordCount="0" supportSubquery="1" supportAdvancedDrill="1" xr:uid="{53B12F53-6D45-4717-AD16-38DE8A5C42CF}">
  <cacheSource type="external" connectionId="4"/>
  <cacheFields count="3">
    <cacheField name="[Staffs].[Department].[Department]" caption="Department" numFmtId="0" hierarchy="5" level="1">
      <sharedItems count="5">
        <s v="Finance"/>
        <s v="HR"/>
        <s v="Procurement"/>
        <s v="Sales"/>
        <s v="Website"/>
      </sharedItems>
    </cacheField>
    <cacheField name="[Staffs].[Country].[Country]" caption="Country" numFmtId="0" hierarchy="7" level="1">
      <sharedItems containsSemiMixedTypes="0" containsNonDate="0" containsString="0"/>
    </cacheField>
    <cacheField name="[Measures].[Count of Name]" caption="Count of Name" numFmtId="0" hierarchy="15" level="32767"/>
  </cacheFields>
  <cacheHierarchies count="23">
    <cacheHierarchy uniqueName="[Staffs].[Name]" caption="Name" attribute="1" defaultMemberUniqueName="[Staffs].[Name].[All]" allUniqueName="[Staffs].[Name].[All]" dimensionUniqueName="[Staffs]" displayFolder="" count="0" memberValueDatatype="130" unbalanced="0"/>
    <cacheHierarchy uniqueName="[Staffs].[Gender]" caption="Gender" attribute="1" defaultMemberUniqueName="[Staffs].[Gender].[All]" allUniqueName="[Staffs].[Gender].[All]" dimensionUniqueName="[Staffs]" displayFolder="" count="0" memberValueDatatype="130" unbalanced="0"/>
    <cacheHierarchy uniqueName="[Staffs].[Age]" caption="Age" attribute="1" defaultMemberUniqueName="[Staffs].[Age].[All]" allUniqueName="[Staffs].[Age].[All]" dimensionUniqueName="[Staffs]" displayFolder="" count="0" memberValueDatatype="20" unbalanced="0"/>
    <cacheHierarchy uniqueName="[Staffs].[Rating]" caption="Rating" attribute="1" defaultMemberUniqueName="[Staffs].[Rating].[All]" allUniqueName="[Staffs].[Rating].[All]" dimensionUniqueName="[Staffs]" displayFolder="" count="0" memberValueDatatype="130" unbalanced="0"/>
    <cacheHierarchy uniqueName="[Staffs].[Date Joined]" caption="Date Joined" attribute="1" time="1" defaultMemberUniqueName="[Staffs].[Date Joined].[All]" allUniqueName="[Staffs].[Date Joined].[All]" dimensionUniqueName="[Staffs]" displayFolder="" count="0" memberValueDatatype="7" unbalanced="0"/>
    <cacheHierarchy uniqueName="[Staffs].[Department]" caption="Department" attribute="1" defaultMemberUniqueName="[Staffs].[Department].[All]" allUniqueName="[Staffs].[Department].[All]" dimensionUniqueName="[Staffs]" displayFolder="" count="2" memberValueDatatype="130" unbalanced="0">
      <fieldsUsage count="2">
        <fieldUsage x="-1"/>
        <fieldUsage x="0"/>
      </fieldsUsage>
    </cacheHierarchy>
    <cacheHierarchy uniqueName="[Staffs].[Salary]" caption="Salary" attribute="1" defaultMemberUniqueName="[Staffs].[Salary].[All]" allUniqueName="[Staffs].[Salary].[All]" dimensionUniqueName="[Staffs]" displayFolder="" count="0" memberValueDatatype="20" unbalanced="0"/>
    <cacheHierarchy uniqueName="[Staffs].[Country]" caption="Country" attribute="1" defaultMemberUniqueName="[Staffs].[Country].[All]" allUniqueName="[Staffs].[Country].[All]" dimensionUniqueName="[Staffs]" displayFolder="" count="2" memberValueDatatype="130" unbalanced="0">
      <fieldsUsage count="2">
        <fieldUsage x="-1"/>
        <fieldUsage x="1"/>
      </fieldsUsage>
    </cacheHierarchy>
    <cacheHierarchy uniqueName="[Staffs].[Tenure]" caption="Tenure" attribute="1" defaultMemberUniqueName="[Staffs].[Tenure].[All]" allUniqueName="[Staffs].[Tenure].[All]" dimensionUniqueName="[Staffs]" displayFolder="" count="0" memberValueDatatype="5" unbalanced="0"/>
    <cacheHierarchy uniqueName="[Staffs].[Date Joined (Year)]" caption="Date Joined (Year)" attribute="1" defaultMemberUniqueName="[Staffs].[Date Joined (Year)].[All]" allUniqueName="[Staffs].[Date Joined (Year)].[All]" dimensionUniqueName="[Staffs]" displayFolder="" count="0" memberValueDatatype="130" unbalanced="0"/>
    <cacheHierarchy uniqueName="[Staffs].[Date Joined (Quarter)]" caption="Date Joined (Quarter)" attribute="1" defaultMemberUniqueName="[Staffs].[Date Joined (Quarter)].[All]" allUniqueName="[Staffs].[Date Joined (Quarter)].[All]" dimensionUniqueName="[Staffs]" displayFolder="" count="0" memberValueDatatype="130" unbalanced="0"/>
    <cacheHierarchy uniqueName="[Staffs].[Date Joined (Month)]" caption="Date Joined (Month)" attribute="1" defaultMemberUniqueName="[Staffs].[Date Joined (Month)].[All]" allUniqueName="[Staffs].[Date Joined (Month)].[All]" dimensionUniqueName="[Staffs]" displayFolder="" count="0" memberValueDatatype="130" unbalanced="0"/>
    <cacheHierarchy uniqueName="[Staffs].[Date Joined (Month Index)]" caption="Date Joined (Month Index)" attribute="1" defaultMemberUniqueName="[Staffs].[Date Joined (Month Index)].[All]" allUniqueName="[Staffs].[Date Joined (Month Index)].[All]" dimensionUniqueName="[Staffs]" displayFolder="" count="0" memberValueDatatype="20" unbalanced="0" hidden="1"/>
    <cacheHierarchy uniqueName="[Measures].[__XL_Count Staffs]" caption="__XL_Count Staffs" measure="1" displayFolder="" measureGroup="Staffs" count="0" hidden="1"/>
    <cacheHierarchy uniqueName="[Measures].[__No measures defined]" caption="__No measures defined" measure="1" displayFolder="" count="0" hidden="1"/>
    <cacheHierarchy uniqueName="[Measures].[Count of Name]" caption="Count of Name" measure="1" displayFolder="" measureGroup="Staffs"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s"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s"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s"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s"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s"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s" count="0" hidden="1">
      <extLst>
        <ext xmlns:x15="http://schemas.microsoft.com/office/spreadsheetml/2010/11/main" uri="{B97F6D7D-B522-45F9-BDA1-12C45D357490}">
          <x15:cacheHierarchy aggregatedColumn="8"/>
        </ext>
      </extLst>
    </cacheHierarchy>
    <cacheHierarchy uniqueName="[Measures].[Count of Gender]" caption="Count of Gender" measure="1" displayFolder="" measureGroup="Staffs"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Staffs" uniqueName="[Staffs]" caption="Staffs"/>
  </dimensions>
  <measureGroups count="1">
    <measureGroup name="Staffs" caption="Staff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i Bharathi" refreshedDate="45362.678529513891" backgroundQuery="1" createdVersion="3" refreshedVersion="8" minRefreshableVersion="3" recordCount="0" supportSubquery="1" supportAdvancedDrill="1" xr:uid="{A0AE6C54-1CB9-4FD5-B37E-79A88F215692}">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s].[Name]" caption="Name" attribute="1" defaultMemberUniqueName="[Staffs].[Name].[All]" allUniqueName="[Staffs].[Name].[All]" dimensionUniqueName="[Staffs]" displayFolder="" count="0" memberValueDatatype="130" unbalanced="0"/>
    <cacheHierarchy uniqueName="[Staffs].[Gender]" caption="Gender" attribute="1" defaultMemberUniqueName="[Staffs].[Gender].[All]" allUniqueName="[Staffs].[Gender].[All]" dimensionUniqueName="[Staffs]" displayFolder="" count="0" memberValueDatatype="130" unbalanced="0"/>
    <cacheHierarchy uniqueName="[Staffs].[Age]" caption="Age" attribute="1" defaultMemberUniqueName="[Staffs].[Age].[All]" allUniqueName="[Staffs].[Age].[All]" dimensionUniqueName="[Staffs]" displayFolder="" count="0" memberValueDatatype="20" unbalanced="0"/>
    <cacheHierarchy uniqueName="[Staffs].[Rating]" caption="Rating" attribute="1" defaultMemberUniqueName="[Staffs].[Rating].[All]" allUniqueName="[Staffs].[Rating].[All]" dimensionUniqueName="[Staffs]" displayFolder="" count="0" memberValueDatatype="130" unbalanced="0"/>
    <cacheHierarchy uniqueName="[Staffs].[Date Joined]" caption="Date Joined" attribute="1" time="1" defaultMemberUniqueName="[Staffs].[Date Joined].[All]" allUniqueName="[Staffs].[Date Joined].[All]" dimensionUniqueName="[Staffs]" displayFolder="" count="0" memberValueDatatype="7" unbalanced="0"/>
    <cacheHierarchy uniqueName="[Staffs].[Department]" caption="Department" attribute="1" defaultMemberUniqueName="[Staffs].[Department].[All]" allUniqueName="[Staffs].[Department].[All]" dimensionUniqueName="[Staffs]" displayFolder="" count="0" memberValueDatatype="130" unbalanced="0"/>
    <cacheHierarchy uniqueName="[Staffs].[Salary]" caption="Salary" attribute="1" defaultMemberUniqueName="[Staffs].[Salary].[All]" allUniqueName="[Staffs].[Salary].[All]" dimensionUniqueName="[Staffs]" displayFolder="" count="0" memberValueDatatype="20" unbalanced="0"/>
    <cacheHierarchy uniqueName="[Staffs].[Country]" caption="Country" attribute="1" defaultMemberUniqueName="[Staffs].[Country].[All]" allUniqueName="[Staffs].[Country].[All]" dimensionUniqueName="[Staffs]" displayFolder="" count="2" memberValueDatatype="130" unbalanced="0"/>
    <cacheHierarchy uniqueName="[Staffs].[Tenure]" caption="Tenure" attribute="1" defaultMemberUniqueName="[Staffs].[Tenure].[All]" allUniqueName="[Staffs].[Tenure].[All]" dimensionUniqueName="[Staffs]" displayFolder="" count="0" memberValueDatatype="5" unbalanced="0"/>
    <cacheHierarchy uniqueName="[Staffs].[Date Joined (Year)]" caption="Date Joined (Year)" attribute="1" defaultMemberUniqueName="[Staffs].[Date Joined (Year)].[All]" allUniqueName="[Staffs].[Date Joined (Year)].[All]" dimensionUniqueName="[Staffs]" displayFolder="" count="0" memberValueDatatype="130" unbalanced="0"/>
    <cacheHierarchy uniqueName="[Staffs].[Date Joined (Quarter)]" caption="Date Joined (Quarter)" attribute="1" defaultMemberUniqueName="[Staffs].[Date Joined (Quarter)].[All]" allUniqueName="[Staffs].[Date Joined (Quarter)].[All]" dimensionUniqueName="[Staffs]" displayFolder="" count="0" memberValueDatatype="130" unbalanced="0"/>
    <cacheHierarchy uniqueName="[Staffs].[Date Joined (Month)]" caption="Date Joined (Month)" attribute="1" defaultMemberUniqueName="[Staffs].[Date Joined (Month)].[All]" allUniqueName="[Staffs].[Date Joined (Month)].[All]" dimensionUniqueName="[Staffs]" displayFolder="" count="0" memberValueDatatype="130" unbalanced="0"/>
    <cacheHierarchy uniqueName="[Staffs].[Date Joined (Month Index)]" caption="Date Joined (Month Index)" attribute="1" defaultMemberUniqueName="[Staffs].[Date Joined (Month Index)].[All]" allUniqueName="[Staffs].[Date Joined (Month Index)].[All]" dimensionUniqueName="[Staffs]" displayFolder="" count="0" memberValueDatatype="20" unbalanced="0" hidden="1"/>
    <cacheHierarchy uniqueName="[Measures].[__XL_Count Staffs]" caption="__XL_Count Staffs" measure="1" displayFolder="" measureGroup="Staffs" count="0" hidden="1"/>
    <cacheHierarchy uniqueName="[Measures].[__No measures defined]" caption="__No measures defined" measure="1" displayFolder="" count="0" hidden="1"/>
    <cacheHierarchy uniqueName="[Measures].[Count of Name]" caption="Count of Name" measure="1" displayFolder="" measureGroup="Staffs"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s"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s"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s"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s"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s"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s"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8487409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967E74-4C46-4ADA-ABDB-04F0D9D15B12}" name="PivotTable1" cacheId="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8"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5"/>
    <dataField name="Average of Salary" fld="3" subtotal="average" baseField="0" baseItem="0" numFmtId="164"/>
    <dataField name="Average of Tenure" fld="4" subtotal="average" baseField="0" baseItem="0" numFmtId="166"/>
  </dataFields>
  <pivotHierarchies count="23">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Ag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s">
        <x15:activeTabTopLevelEntity name="[Staff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EC4A89-8D27-49ED-B976-6792879AD10C}"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7"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name="Average of Salary" fld="1" subtotal="average" baseField="0" baseItem="0" numFmtId="164"/>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90AAF3-6528-4E54-AC17-298DEA6207BC}"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B4:C41"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Gender" fld="2" subtotal="count" showDataAs="runTotal" baseField="0" baseItem="0"/>
  </dataFields>
  <chartFormats count="1">
    <chartFormat chart="14" format="0"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12CD49-DB2C-4EBB-970B-4F90E3B4C733}"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G6:H12"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s].[Country].&amp;[NZ]" cap="NZ"/>
  </pageFields>
  <dataFields count="1">
    <dataField name="Count of Name" fld="2" subtotal="count" baseField="0" baseItem="0"/>
  </dataFields>
  <chartFormats count="1">
    <chartFormat chart="10"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E72F552-AF41-48F5-A6B7-D1C7D522E578}" name="PivotTable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B6:C12"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s].[Country].&amp;[IND]" cap="IND"/>
  </pageFields>
  <dataFields count="1">
    <dataField name="Count of Name" fld="2" subtotal="count" baseField="0" baseItem="0"/>
  </dataFields>
  <chartFormats count="1">
    <chartFormat chart="11"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849E0C89-B6BA-4F1A-B8B1-0D1659A87AD9}"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D2E14F2-E86D-4191-BAA7-94DB46EC7241}" sourceName="[Staffs].[Country]">
  <pivotTables>
    <pivotTable tabId="4" name="PivotTable1"/>
  </pivotTables>
  <data>
    <olap pivotCacheId="184874093">
      <levels count="2">
        <level uniqueName="[Staffs].[Country].[(All)]" sourceCaption="(All)" count="0"/>
        <level uniqueName="[Staffs].[Country].[Country]" sourceCaption="Country" count="2">
          <ranges>
            <range startItem="0">
              <i n="[Staffs].[Country].&amp;[IND]" c="IND"/>
              <i n="[Staffs].[Country].&amp;[NZ]" c="NZ"/>
            </range>
          </ranges>
        </level>
      </levels>
      <selections count="1">
        <selection n="[Staffs].[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EEACC9D8-A9C8-4B6C-A9FC-BB10B527C9F3}" cache="Slicer_Country" caption="Country" level="1"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D29A2F-2B88-495D-8694-8AE1DCA785C3}" name="NZ_Staff" displayName="NZ_Staff" ref="C5:I106" totalsRowCount="1">
  <autoFilter ref="C5:I105" xr:uid="{A0D29A2F-2B88-495D-8694-8AE1DCA785C3}"/>
  <tableColumns count="7">
    <tableColumn id="1" xr3:uid="{F31DB0F7-3C2C-4C8A-867E-72B78CBF393F}" name="Name" totalsRowLabel="Total"/>
    <tableColumn id="2" xr3:uid="{69C0BE14-44D6-4C10-9E1B-4A4549F4C759}" name="Gender"/>
    <tableColumn id="3" xr3:uid="{9567AADA-9E1D-4D47-A730-70C610727D9A}" name="Department"/>
    <tableColumn id="4" xr3:uid="{5B24F2AE-BFC0-4D2D-B113-0BEE7A3EA3D4}" name="Age" totalsRowFunction="average"/>
    <tableColumn id="5" xr3:uid="{B64BE9CB-83E3-40F7-89AC-8ACD3BF5DDEB}" name="Date Joined"/>
    <tableColumn id="6" xr3:uid="{67863ACE-F3A4-433B-87AE-0505905B0B5E}" name="Salary" totalsRowFunction="average" dataDxfId="17" totalsRowDxfId="16"/>
    <tableColumn id="7" xr3:uid="{5C982F27-EA9A-4672-8232-3A086347938A}" name="Rat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D50658-269E-450D-BE03-ED66375D3292}" name="India_Staff" displayName="India_Staff" ref="B2:H114" totalsRowShown="0">
  <autoFilter ref="B2:H114" xr:uid="{A9D50658-269E-450D-BE03-ED66375D3292}"/>
  <tableColumns count="7">
    <tableColumn id="1" xr3:uid="{6FE17E5E-E3EA-452A-B3AC-E4E4CCE02E53}" name="Name"/>
    <tableColumn id="2" xr3:uid="{278803A2-E2A0-4885-AD62-5E480B9E1A71}" name="Gender"/>
    <tableColumn id="3" xr3:uid="{5A3CD9A9-C7B7-4897-87DD-13BDEEF0143A}" name="Age"/>
    <tableColumn id="4" xr3:uid="{52B3A87C-421D-4236-ACA0-3654D02B97A8}" name="Rating"/>
    <tableColumn id="5" xr3:uid="{48E3AD04-5081-4FEA-AEEA-67E72489BC09}" name="Date Joined" dataDxfId="15"/>
    <tableColumn id="6" xr3:uid="{D4A031C1-21D6-4A8D-92A0-94470244ADC9}" name="Department"/>
    <tableColumn id="7" xr3:uid="{B92758B5-BE00-429A-9117-CC5B23805C60}"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22A8A7-E355-4F8E-8A54-3994BB822E4B}" name="Staffs" displayName="Staffs" ref="A1:K184" tableType="queryTable" totalsRowShown="0" headerRowDxfId="14" dataDxfId="13">
  <autoFilter ref="A1:K184" xr:uid="{9E22A8A7-E355-4F8E-8A54-3994BB822E4B}"/>
  <tableColumns count="11">
    <tableColumn id="1" xr3:uid="{00B8EE34-AA6C-4F1A-B3AD-E491E628A32B}" uniqueName="1" name="Name" queryTableFieldId="1" dataDxfId="12"/>
    <tableColumn id="2" xr3:uid="{855C4DB2-A26F-44EC-A2E1-A0EA74135D3E}" uniqueName="2" name="Gender" queryTableFieldId="2" dataDxfId="11"/>
    <tableColumn id="3" xr3:uid="{346CA9EA-56E2-414E-AC4A-A0D4B654205C}" uniqueName="3" name="Age" queryTableFieldId="3" dataDxfId="10"/>
    <tableColumn id="4" xr3:uid="{2C8E91AA-54A3-491C-9A39-D20557DB2B72}" uniqueName="4" name="Rating" queryTableFieldId="4" dataDxfId="9"/>
    <tableColumn id="5" xr3:uid="{65048DDB-A0AF-45EF-8E83-37FFB4723318}" uniqueName="5" name="Date Joined" queryTableFieldId="5" dataDxfId="8"/>
    <tableColumn id="6" xr3:uid="{C432BFD2-064F-4045-B1F3-749134CC929B}" uniqueName="6" name="Department" queryTableFieldId="6" dataDxfId="7"/>
    <tableColumn id="7" xr3:uid="{5CB4AA8D-5AC9-4D5F-B727-1D3636CD3BB3}" uniqueName="7" name="Salary" queryTableFieldId="7" dataDxfId="6"/>
    <tableColumn id="8" xr3:uid="{F381F4D2-5805-42F2-85BE-4DC971BA1DD5}" uniqueName="8" name="Country" queryTableFieldId="8" dataDxfId="5"/>
    <tableColumn id="9" xr3:uid="{9ACA54E8-0FEF-4BF6-82FA-DA280AAC98B9}" uniqueName="9" name="Tenure" queryTableFieldId="9" dataDxfId="4">
      <calculatedColumnFormula>(TODAY()-Staffs[[#This Row],[Date Joined]])/365</calculatedColumnFormula>
    </tableColumn>
    <tableColumn id="10" xr3:uid="{0079E306-ADE7-46DE-98CE-33B5F2337EE7}" uniqueName="10" name="Bonus" queryTableFieldId="10" dataDxfId="3">
      <calculatedColumnFormula>ROUNDUP(IF(Staffs[[#This Row],[Tenure]]&gt;2,"3%","2%")*Staffs[[#This Row],[Salary]],0)</calculatedColumnFormula>
    </tableColumn>
    <tableColumn id="11" xr3:uid="{6015A2FC-C427-48FE-812D-C9631A86F8A5}" uniqueName="11" name="Rating By Num" queryTableFieldId="11" dataDxfId="2">
      <calculatedColumnFormula>_xlfn.XLOOKUP(Staffs[[#This Row],[Rating]],$N$28:$N$32,$O$28:$O$32)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topLeftCell="C76" workbookViewId="0">
      <selection activeCell="C106" sqref="C106"/>
    </sheetView>
  </sheetViews>
  <sheetFormatPr defaultRowHeight="14.4" x14ac:dyDescent="0.3"/>
  <cols>
    <col min="1" max="1" width="1.6640625" customWidth="1"/>
    <col min="2" max="2" width="3.6640625" customWidth="1"/>
    <col min="3" max="3" width="21.109375" customWidth="1"/>
    <col min="4" max="4" width="9.33203125" bestFit="1" customWidth="1"/>
    <col min="5" max="5" width="13.33203125" bestFit="1" customWidth="1"/>
    <col min="6" max="6" width="6.44140625" bestFit="1" customWidth="1"/>
    <col min="7" max="7" width="13" bestFit="1" customWidth="1"/>
    <col min="8" max="8" width="13.21875" bestFit="1" customWidth="1"/>
    <col min="9" max="9" width="13.109375" bestFit="1" customWidth="1"/>
  </cols>
  <sheetData>
    <row r="1" spans="1:9" s="2" customFormat="1" ht="52.5" customHeight="1" x14ac:dyDescent="0.3">
      <c r="A1" s="1"/>
      <c r="C1" s="3" t="s">
        <v>110</v>
      </c>
    </row>
    <row r="5" spans="1:9" x14ac:dyDescent="0.3">
      <c r="C5" t="s">
        <v>0</v>
      </c>
      <c r="D5" t="s">
        <v>1</v>
      </c>
      <c r="E5" t="s">
        <v>2</v>
      </c>
      <c r="F5" t="s">
        <v>3</v>
      </c>
      <c r="G5" s="4" t="s">
        <v>4</v>
      </c>
      <c r="H5" t="s">
        <v>5</v>
      </c>
      <c r="I5" t="s">
        <v>6</v>
      </c>
    </row>
    <row r="6" spans="1:9" x14ac:dyDescent="0.3">
      <c r="C6" t="s">
        <v>58</v>
      </c>
      <c r="D6" t="s">
        <v>15</v>
      </c>
      <c r="E6" t="s">
        <v>19</v>
      </c>
      <c r="F6">
        <v>22</v>
      </c>
      <c r="G6" s="4">
        <v>44446</v>
      </c>
      <c r="H6" s="5">
        <v>112780</v>
      </c>
      <c r="I6" t="s">
        <v>13</v>
      </c>
    </row>
    <row r="7" spans="1:9" x14ac:dyDescent="0.3">
      <c r="C7" t="s">
        <v>70</v>
      </c>
      <c r="D7" t="s">
        <v>15</v>
      </c>
      <c r="E7" t="s">
        <v>9</v>
      </c>
      <c r="F7">
        <v>46</v>
      </c>
      <c r="G7" s="4">
        <v>44758</v>
      </c>
      <c r="H7" s="5">
        <v>70610</v>
      </c>
      <c r="I7" t="s">
        <v>16</v>
      </c>
    </row>
    <row r="8" spans="1:9" x14ac:dyDescent="0.3">
      <c r="C8" t="s">
        <v>75</v>
      </c>
      <c r="D8" t="s">
        <v>8</v>
      </c>
      <c r="E8" t="s">
        <v>19</v>
      </c>
      <c r="F8">
        <v>28</v>
      </c>
      <c r="G8" s="4">
        <v>44357</v>
      </c>
      <c r="H8" s="5">
        <v>53240</v>
      </c>
      <c r="I8" t="s">
        <v>16</v>
      </c>
    </row>
    <row r="9" spans="1:9" x14ac:dyDescent="0.3">
      <c r="C9" t="s">
        <v>49</v>
      </c>
      <c r="E9" t="s">
        <v>21</v>
      </c>
      <c r="F9">
        <v>37</v>
      </c>
      <c r="G9" s="4">
        <v>44146</v>
      </c>
      <c r="H9" s="5">
        <v>115440</v>
      </c>
      <c r="I9" t="s">
        <v>24</v>
      </c>
    </row>
    <row r="10" spans="1:9" x14ac:dyDescent="0.3">
      <c r="C10" t="s">
        <v>65</v>
      </c>
      <c r="D10" t="s">
        <v>15</v>
      </c>
      <c r="E10" t="s">
        <v>19</v>
      </c>
      <c r="F10">
        <v>32</v>
      </c>
      <c r="G10" s="4">
        <v>44465</v>
      </c>
      <c r="H10" s="5">
        <v>53540</v>
      </c>
      <c r="I10" t="s">
        <v>16</v>
      </c>
    </row>
    <row r="11" spans="1:9" x14ac:dyDescent="0.3">
      <c r="C11" t="s">
        <v>81</v>
      </c>
      <c r="D11" t="s">
        <v>8</v>
      </c>
      <c r="E11" t="s">
        <v>9</v>
      </c>
      <c r="F11">
        <v>30</v>
      </c>
      <c r="G11" s="4">
        <v>44861</v>
      </c>
      <c r="H11" s="5">
        <v>112570</v>
      </c>
      <c r="I11" t="s">
        <v>16</v>
      </c>
    </row>
    <row r="12" spans="1:9" x14ac:dyDescent="0.3">
      <c r="C12" t="s">
        <v>51</v>
      </c>
      <c r="D12" t="s">
        <v>15</v>
      </c>
      <c r="E12" t="s">
        <v>9</v>
      </c>
      <c r="F12">
        <v>33</v>
      </c>
      <c r="G12" s="4">
        <v>44701</v>
      </c>
      <c r="H12" s="5">
        <v>48530</v>
      </c>
      <c r="I12" t="s">
        <v>13</v>
      </c>
    </row>
    <row r="13" spans="1:9" x14ac:dyDescent="0.3">
      <c r="C13" t="s">
        <v>61</v>
      </c>
      <c r="D13" t="s">
        <v>8</v>
      </c>
      <c r="E13" t="s">
        <v>12</v>
      </c>
      <c r="F13">
        <v>24</v>
      </c>
      <c r="G13" s="4">
        <v>44148</v>
      </c>
      <c r="H13" s="5">
        <v>62780</v>
      </c>
      <c r="I13" t="s">
        <v>16</v>
      </c>
    </row>
    <row r="14" spans="1:9" x14ac:dyDescent="0.3">
      <c r="C14" t="s">
        <v>82</v>
      </c>
      <c r="D14" t="s">
        <v>15</v>
      </c>
      <c r="E14" t="s">
        <v>12</v>
      </c>
      <c r="F14">
        <v>33</v>
      </c>
      <c r="G14" s="4">
        <v>44509</v>
      </c>
      <c r="H14" s="5">
        <v>53870</v>
      </c>
      <c r="I14" t="s">
        <v>16</v>
      </c>
    </row>
    <row r="15" spans="1:9" x14ac:dyDescent="0.3">
      <c r="C15" t="s">
        <v>60</v>
      </c>
      <c r="D15" t="s">
        <v>8</v>
      </c>
      <c r="E15" t="s">
        <v>56</v>
      </c>
      <c r="F15">
        <v>27</v>
      </c>
      <c r="G15" s="4">
        <v>44122</v>
      </c>
      <c r="H15" s="5">
        <v>119110</v>
      </c>
      <c r="I15" t="s">
        <v>16</v>
      </c>
    </row>
    <row r="16" spans="1:9" x14ac:dyDescent="0.3">
      <c r="C16" t="s">
        <v>87</v>
      </c>
      <c r="D16" t="s">
        <v>15</v>
      </c>
      <c r="E16" t="s">
        <v>12</v>
      </c>
      <c r="F16">
        <v>29</v>
      </c>
      <c r="G16" s="4">
        <v>44180</v>
      </c>
      <c r="H16" s="5">
        <v>112110</v>
      </c>
      <c r="I16" t="s">
        <v>24</v>
      </c>
    </row>
    <row r="17" spans="3:9" x14ac:dyDescent="0.3">
      <c r="C17" t="s">
        <v>76</v>
      </c>
      <c r="D17" t="s">
        <v>15</v>
      </c>
      <c r="E17" t="s">
        <v>19</v>
      </c>
      <c r="F17">
        <v>25</v>
      </c>
      <c r="G17" s="4">
        <v>44383</v>
      </c>
      <c r="H17" s="5">
        <v>65700</v>
      </c>
      <c r="I17" t="s">
        <v>16</v>
      </c>
    </row>
    <row r="18" spans="3:9" x14ac:dyDescent="0.3">
      <c r="C18" t="s">
        <v>97</v>
      </c>
      <c r="D18" t="s">
        <v>15</v>
      </c>
      <c r="E18" t="s">
        <v>12</v>
      </c>
      <c r="F18">
        <v>37</v>
      </c>
      <c r="G18" s="4">
        <v>44701</v>
      </c>
      <c r="H18" s="5">
        <v>69070</v>
      </c>
      <c r="I18" t="s">
        <v>16</v>
      </c>
    </row>
    <row r="19" spans="3:9" x14ac:dyDescent="0.3">
      <c r="C19" t="s">
        <v>22</v>
      </c>
      <c r="D19" t="s">
        <v>15</v>
      </c>
      <c r="E19" t="s">
        <v>12</v>
      </c>
      <c r="F19">
        <v>20</v>
      </c>
      <c r="G19" s="4">
        <v>44459</v>
      </c>
      <c r="H19" s="5">
        <v>107700</v>
      </c>
      <c r="I19" t="s">
        <v>16</v>
      </c>
    </row>
    <row r="20" spans="3:9" x14ac:dyDescent="0.3">
      <c r="C20" t="s">
        <v>84</v>
      </c>
      <c r="D20" t="s">
        <v>8</v>
      </c>
      <c r="E20" t="s">
        <v>12</v>
      </c>
      <c r="F20">
        <v>32</v>
      </c>
      <c r="G20" s="4">
        <v>44354</v>
      </c>
      <c r="H20" s="5">
        <v>43840</v>
      </c>
      <c r="I20" t="s">
        <v>13</v>
      </c>
    </row>
    <row r="21" spans="3:9" x14ac:dyDescent="0.3">
      <c r="C21" t="s">
        <v>105</v>
      </c>
      <c r="D21" t="s">
        <v>15</v>
      </c>
      <c r="E21" t="s">
        <v>9</v>
      </c>
      <c r="F21">
        <v>40</v>
      </c>
      <c r="G21" s="4">
        <v>44263</v>
      </c>
      <c r="H21" s="5">
        <v>99750</v>
      </c>
      <c r="I21" t="s">
        <v>16</v>
      </c>
    </row>
    <row r="22" spans="3:9" x14ac:dyDescent="0.3">
      <c r="C22" t="s">
        <v>47</v>
      </c>
      <c r="D22" t="s">
        <v>15</v>
      </c>
      <c r="E22" t="s">
        <v>9</v>
      </c>
      <c r="F22">
        <v>21</v>
      </c>
      <c r="G22" s="4">
        <v>44104</v>
      </c>
      <c r="H22" s="5">
        <v>37920</v>
      </c>
      <c r="I22" t="s">
        <v>16</v>
      </c>
    </row>
    <row r="23" spans="3:9" x14ac:dyDescent="0.3">
      <c r="C23" t="s">
        <v>31</v>
      </c>
      <c r="D23" t="s">
        <v>15</v>
      </c>
      <c r="E23" t="s">
        <v>9</v>
      </c>
      <c r="F23">
        <v>21</v>
      </c>
      <c r="G23" s="4">
        <v>44762</v>
      </c>
      <c r="H23" s="5">
        <v>57090</v>
      </c>
      <c r="I23" t="s">
        <v>16</v>
      </c>
    </row>
    <row r="24" spans="3:9" x14ac:dyDescent="0.3">
      <c r="C24" t="s">
        <v>30</v>
      </c>
      <c r="D24" t="s">
        <v>8</v>
      </c>
      <c r="E24" t="s">
        <v>12</v>
      </c>
      <c r="F24">
        <v>31</v>
      </c>
      <c r="G24" s="4">
        <v>44145</v>
      </c>
      <c r="H24" s="5">
        <v>41980</v>
      </c>
      <c r="I24" t="s">
        <v>16</v>
      </c>
    </row>
    <row r="25" spans="3:9" x14ac:dyDescent="0.3">
      <c r="C25" t="s">
        <v>78</v>
      </c>
      <c r="D25" t="s">
        <v>15</v>
      </c>
      <c r="E25" t="s">
        <v>56</v>
      </c>
      <c r="F25">
        <v>21</v>
      </c>
      <c r="G25" s="4">
        <v>44242</v>
      </c>
      <c r="H25" s="5">
        <v>75880</v>
      </c>
      <c r="I25" t="s">
        <v>16</v>
      </c>
    </row>
    <row r="26" spans="3:9" x14ac:dyDescent="0.3">
      <c r="C26" t="s">
        <v>36</v>
      </c>
      <c r="D26" t="s">
        <v>8</v>
      </c>
      <c r="E26" t="s">
        <v>21</v>
      </c>
      <c r="F26">
        <v>34</v>
      </c>
      <c r="G26" s="4">
        <v>44653</v>
      </c>
      <c r="H26" s="5">
        <v>58940</v>
      </c>
      <c r="I26" t="s">
        <v>16</v>
      </c>
    </row>
    <row r="27" spans="3:9" x14ac:dyDescent="0.3">
      <c r="C27" t="s">
        <v>27</v>
      </c>
      <c r="D27" t="s">
        <v>8</v>
      </c>
      <c r="E27" t="s">
        <v>21</v>
      </c>
      <c r="F27">
        <v>30</v>
      </c>
      <c r="G27" s="4">
        <v>44389</v>
      </c>
      <c r="H27" s="5">
        <v>67910</v>
      </c>
      <c r="I27" t="s">
        <v>24</v>
      </c>
    </row>
    <row r="28" spans="3:9" x14ac:dyDescent="0.3">
      <c r="C28" t="s">
        <v>26</v>
      </c>
      <c r="D28" t="s">
        <v>8</v>
      </c>
      <c r="E28" t="s">
        <v>12</v>
      </c>
      <c r="F28">
        <v>31</v>
      </c>
      <c r="G28" s="4">
        <v>44663</v>
      </c>
      <c r="H28" s="5">
        <v>58100</v>
      </c>
      <c r="I28" t="s">
        <v>16</v>
      </c>
    </row>
    <row r="29" spans="3:9" x14ac:dyDescent="0.3">
      <c r="C29" t="s">
        <v>53</v>
      </c>
      <c r="D29" t="s">
        <v>15</v>
      </c>
      <c r="E29" t="s">
        <v>21</v>
      </c>
      <c r="F29">
        <v>27</v>
      </c>
      <c r="G29" s="4">
        <v>44567</v>
      </c>
      <c r="H29" s="5">
        <v>48980</v>
      </c>
      <c r="I29" t="s">
        <v>16</v>
      </c>
    </row>
    <row r="30" spans="3:9" x14ac:dyDescent="0.3">
      <c r="C30" t="s">
        <v>20</v>
      </c>
      <c r="E30" t="s">
        <v>21</v>
      </c>
      <c r="F30">
        <v>30</v>
      </c>
      <c r="G30" s="4">
        <v>44597</v>
      </c>
      <c r="H30" s="5">
        <v>64000</v>
      </c>
      <c r="I30" t="s">
        <v>16</v>
      </c>
    </row>
    <row r="31" spans="3:9" x14ac:dyDescent="0.3">
      <c r="C31" t="s">
        <v>7</v>
      </c>
      <c r="D31" t="s">
        <v>8</v>
      </c>
      <c r="E31" t="s">
        <v>9</v>
      </c>
      <c r="F31">
        <v>42</v>
      </c>
      <c r="G31" s="4">
        <v>44779</v>
      </c>
      <c r="H31" s="5">
        <v>75000</v>
      </c>
      <c r="I31" t="s">
        <v>10</v>
      </c>
    </row>
    <row r="32" spans="3:9" x14ac:dyDescent="0.3">
      <c r="C32" t="s">
        <v>74</v>
      </c>
      <c r="D32" t="s">
        <v>8</v>
      </c>
      <c r="E32" t="s">
        <v>12</v>
      </c>
      <c r="F32">
        <v>40</v>
      </c>
      <c r="G32" s="4">
        <v>44337</v>
      </c>
      <c r="H32" s="5">
        <v>87620</v>
      </c>
      <c r="I32" t="s">
        <v>16</v>
      </c>
    </row>
    <row r="33" spans="3:9" x14ac:dyDescent="0.3">
      <c r="C33" t="s">
        <v>44</v>
      </c>
      <c r="D33" t="s">
        <v>8</v>
      </c>
      <c r="E33" t="s">
        <v>12</v>
      </c>
      <c r="F33">
        <v>29</v>
      </c>
      <c r="G33" s="4">
        <v>44023</v>
      </c>
      <c r="H33" s="5">
        <v>34980</v>
      </c>
      <c r="I33" t="s">
        <v>16</v>
      </c>
    </row>
    <row r="34" spans="3:9" x14ac:dyDescent="0.3">
      <c r="C34" t="s">
        <v>35</v>
      </c>
      <c r="D34" t="s">
        <v>8</v>
      </c>
      <c r="E34" t="s">
        <v>21</v>
      </c>
      <c r="F34">
        <v>28</v>
      </c>
      <c r="G34" s="4">
        <v>44185</v>
      </c>
      <c r="H34" s="5">
        <v>75970</v>
      </c>
      <c r="I34" t="s">
        <v>16</v>
      </c>
    </row>
    <row r="35" spans="3:9" x14ac:dyDescent="0.3">
      <c r="C35" t="s">
        <v>38</v>
      </c>
      <c r="D35" t="s">
        <v>8</v>
      </c>
      <c r="E35" t="s">
        <v>21</v>
      </c>
      <c r="F35">
        <v>34</v>
      </c>
      <c r="G35" s="4">
        <v>44612</v>
      </c>
      <c r="H35" s="5">
        <v>60130</v>
      </c>
      <c r="I35" t="s">
        <v>16</v>
      </c>
    </row>
    <row r="36" spans="3:9" x14ac:dyDescent="0.3">
      <c r="C36" t="s">
        <v>41</v>
      </c>
      <c r="D36" t="s">
        <v>8</v>
      </c>
      <c r="E36" t="s">
        <v>12</v>
      </c>
      <c r="F36">
        <v>33</v>
      </c>
      <c r="G36" s="4">
        <v>44374</v>
      </c>
      <c r="H36" s="5">
        <v>75480</v>
      </c>
      <c r="I36" t="s">
        <v>42</v>
      </c>
    </row>
    <row r="37" spans="3:9" x14ac:dyDescent="0.3">
      <c r="C37" t="s">
        <v>40</v>
      </c>
      <c r="D37" t="s">
        <v>15</v>
      </c>
      <c r="E37" t="s">
        <v>9</v>
      </c>
      <c r="F37">
        <v>33</v>
      </c>
      <c r="G37" s="4">
        <v>44164</v>
      </c>
      <c r="H37" s="5">
        <v>115920</v>
      </c>
      <c r="I37" t="s">
        <v>16</v>
      </c>
    </row>
    <row r="38" spans="3:9" x14ac:dyDescent="0.3">
      <c r="C38" t="s">
        <v>48</v>
      </c>
      <c r="D38" t="s">
        <v>8</v>
      </c>
      <c r="E38" t="s">
        <v>19</v>
      </c>
      <c r="F38">
        <v>36</v>
      </c>
      <c r="G38" s="4">
        <v>44494</v>
      </c>
      <c r="H38" s="5">
        <v>78540</v>
      </c>
      <c r="I38" t="s">
        <v>16</v>
      </c>
    </row>
    <row r="39" spans="3:9" x14ac:dyDescent="0.3">
      <c r="C39" t="s">
        <v>34</v>
      </c>
      <c r="D39" t="s">
        <v>15</v>
      </c>
      <c r="E39" t="s">
        <v>9</v>
      </c>
      <c r="F39">
        <v>25</v>
      </c>
      <c r="G39" s="4">
        <v>44726</v>
      </c>
      <c r="H39" s="5">
        <v>109190</v>
      </c>
      <c r="I39" t="s">
        <v>13</v>
      </c>
    </row>
    <row r="40" spans="3:9" x14ac:dyDescent="0.3">
      <c r="C40" t="s">
        <v>73</v>
      </c>
      <c r="D40" t="s">
        <v>8</v>
      </c>
      <c r="E40" t="s">
        <v>19</v>
      </c>
      <c r="F40">
        <v>34</v>
      </c>
      <c r="G40" s="4">
        <v>44721</v>
      </c>
      <c r="H40" s="5">
        <v>49630</v>
      </c>
      <c r="I40" t="s">
        <v>24</v>
      </c>
    </row>
    <row r="41" spans="3:9" x14ac:dyDescent="0.3">
      <c r="C41" t="s">
        <v>107</v>
      </c>
      <c r="D41" t="s">
        <v>8</v>
      </c>
      <c r="E41" t="s">
        <v>9</v>
      </c>
      <c r="F41">
        <v>28</v>
      </c>
      <c r="G41" s="4">
        <v>44630</v>
      </c>
      <c r="H41" s="5">
        <v>99970</v>
      </c>
      <c r="I41" t="s">
        <v>16</v>
      </c>
    </row>
    <row r="42" spans="3:9" x14ac:dyDescent="0.3">
      <c r="C42" t="s">
        <v>71</v>
      </c>
      <c r="D42" t="s">
        <v>8</v>
      </c>
      <c r="E42" t="s">
        <v>12</v>
      </c>
      <c r="F42">
        <v>33</v>
      </c>
      <c r="G42" s="4">
        <v>44190</v>
      </c>
      <c r="H42" s="5">
        <v>96140</v>
      </c>
      <c r="I42" t="s">
        <v>16</v>
      </c>
    </row>
    <row r="43" spans="3:9" x14ac:dyDescent="0.3">
      <c r="C43" t="s">
        <v>50</v>
      </c>
      <c r="D43" t="s">
        <v>15</v>
      </c>
      <c r="E43" t="s">
        <v>9</v>
      </c>
      <c r="F43">
        <v>31</v>
      </c>
      <c r="G43" s="4">
        <v>44724</v>
      </c>
      <c r="H43" s="5">
        <v>103550</v>
      </c>
      <c r="I43" t="s">
        <v>16</v>
      </c>
    </row>
    <row r="44" spans="3:9" x14ac:dyDescent="0.3">
      <c r="C44" t="s">
        <v>14</v>
      </c>
      <c r="D44" t="s">
        <v>15</v>
      </c>
      <c r="E44" t="s">
        <v>12</v>
      </c>
      <c r="F44">
        <v>31</v>
      </c>
      <c r="G44" s="4">
        <v>44511</v>
      </c>
      <c r="H44" s="5">
        <v>48950</v>
      </c>
      <c r="I44" t="s">
        <v>16</v>
      </c>
    </row>
    <row r="45" spans="3:9" x14ac:dyDescent="0.3">
      <c r="C45" t="s">
        <v>63</v>
      </c>
      <c r="D45" t="s">
        <v>15</v>
      </c>
      <c r="E45" t="s">
        <v>21</v>
      </c>
      <c r="F45">
        <v>24</v>
      </c>
      <c r="G45" s="4">
        <v>44436</v>
      </c>
      <c r="H45" s="5">
        <v>52610</v>
      </c>
      <c r="I45" t="s">
        <v>24</v>
      </c>
    </row>
    <row r="46" spans="3:9" x14ac:dyDescent="0.3">
      <c r="C46" t="s">
        <v>72</v>
      </c>
      <c r="D46" t="s">
        <v>8</v>
      </c>
      <c r="E46" t="s">
        <v>9</v>
      </c>
      <c r="F46">
        <v>36</v>
      </c>
      <c r="G46" s="4">
        <v>44529</v>
      </c>
      <c r="H46" s="5">
        <v>78390</v>
      </c>
      <c r="I46" t="s">
        <v>16</v>
      </c>
    </row>
    <row r="47" spans="3:9" x14ac:dyDescent="0.3">
      <c r="C47" t="s">
        <v>88</v>
      </c>
      <c r="D47" t="s">
        <v>8</v>
      </c>
      <c r="E47" t="s">
        <v>21</v>
      </c>
      <c r="F47">
        <v>33</v>
      </c>
      <c r="G47" s="4">
        <v>44809</v>
      </c>
      <c r="H47" s="5">
        <v>86570</v>
      </c>
      <c r="I47" t="s">
        <v>16</v>
      </c>
    </row>
    <row r="48" spans="3:9" x14ac:dyDescent="0.3">
      <c r="C48" t="s">
        <v>92</v>
      </c>
      <c r="D48" t="s">
        <v>8</v>
      </c>
      <c r="E48" t="s">
        <v>12</v>
      </c>
      <c r="F48">
        <v>27</v>
      </c>
      <c r="G48" s="4">
        <v>44686</v>
      </c>
      <c r="H48" s="5">
        <v>83750</v>
      </c>
      <c r="I48" t="s">
        <v>16</v>
      </c>
    </row>
    <row r="49" spans="3:9" x14ac:dyDescent="0.3">
      <c r="C49" t="s">
        <v>102</v>
      </c>
      <c r="D49" t="s">
        <v>8</v>
      </c>
      <c r="E49" t="s">
        <v>21</v>
      </c>
      <c r="F49">
        <v>34</v>
      </c>
      <c r="G49" s="4">
        <v>44445</v>
      </c>
      <c r="H49" s="5">
        <v>92450</v>
      </c>
      <c r="I49" t="s">
        <v>16</v>
      </c>
    </row>
    <row r="50" spans="3:9" x14ac:dyDescent="0.3">
      <c r="C50" t="s">
        <v>64</v>
      </c>
      <c r="D50" t="s">
        <v>15</v>
      </c>
      <c r="E50" t="s">
        <v>12</v>
      </c>
      <c r="F50">
        <v>20</v>
      </c>
      <c r="G50" s="4">
        <v>44183</v>
      </c>
      <c r="H50" s="5">
        <v>112650</v>
      </c>
      <c r="I50" t="s">
        <v>16</v>
      </c>
    </row>
    <row r="51" spans="3:9" x14ac:dyDescent="0.3">
      <c r="C51" t="s">
        <v>104</v>
      </c>
      <c r="D51" t="s">
        <v>15</v>
      </c>
      <c r="E51" t="s">
        <v>9</v>
      </c>
      <c r="F51">
        <v>20</v>
      </c>
      <c r="G51" s="4">
        <v>44744</v>
      </c>
      <c r="H51" s="5">
        <v>79570</v>
      </c>
      <c r="I51" t="s">
        <v>16</v>
      </c>
    </row>
    <row r="52" spans="3:9" x14ac:dyDescent="0.3">
      <c r="C52" t="s">
        <v>91</v>
      </c>
      <c r="D52" t="s">
        <v>8</v>
      </c>
      <c r="E52" t="s">
        <v>19</v>
      </c>
      <c r="F52">
        <v>20</v>
      </c>
      <c r="G52" s="4">
        <v>44537</v>
      </c>
      <c r="H52" s="5">
        <v>68900</v>
      </c>
      <c r="I52" t="s">
        <v>24</v>
      </c>
    </row>
    <row r="53" spans="3:9" x14ac:dyDescent="0.3">
      <c r="C53" t="s">
        <v>39</v>
      </c>
      <c r="D53" t="s">
        <v>8</v>
      </c>
      <c r="E53" t="s">
        <v>12</v>
      </c>
      <c r="F53">
        <v>25</v>
      </c>
      <c r="G53" s="4">
        <v>44694</v>
      </c>
      <c r="H53" s="5">
        <v>80700</v>
      </c>
      <c r="I53" t="s">
        <v>13</v>
      </c>
    </row>
    <row r="54" spans="3:9" x14ac:dyDescent="0.3">
      <c r="C54" t="s">
        <v>100</v>
      </c>
      <c r="D54" t="s">
        <v>15</v>
      </c>
      <c r="E54" t="s">
        <v>9</v>
      </c>
      <c r="F54">
        <v>19</v>
      </c>
      <c r="G54" s="4">
        <v>44277</v>
      </c>
      <c r="H54" s="5">
        <v>58960</v>
      </c>
      <c r="I54" t="s">
        <v>16</v>
      </c>
    </row>
    <row r="55" spans="3:9" x14ac:dyDescent="0.3">
      <c r="C55" t="s">
        <v>106</v>
      </c>
      <c r="D55" t="s">
        <v>15</v>
      </c>
      <c r="E55" t="s">
        <v>12</v>
      </c>
      <c r="F55">
        <v>36</v>
      </c>
      <c r="G55" s="4">
        <v>44019</v>
      </c>
      <c r="H55" s="5">
        <v>118840</v>
      </c>
      <c r="I55" t="s">
        <v>16</v>
      </c>
    </row>
    <row r="56" spans="3:9" x14ac:dyDescent="0.3">
      <c r="C56" t="s">
        <v>29</v>
      </c>
      <c r="D56" t="s">
        <v>15</v>
      </c>
      <c r="E56" t="s">
        <v>21</v>
      </c>
      <c r="F56">
        <v>28</v>
      </c>
      <c r="G56" s="4">
        <v>44041</v>
      </c>
      <c r="H56" s="5">
        <v>48170</v>
      </c>
      <c r="I56" t="s">
        <v>13</v>
      </c>
    </row>
    <row r="57" spans="3:9" x14ac:dyDescent="0.3">
      <c r="C57" t="s">
        <v>108</v>
      </c>
      <c r="D57" t="s">
        <v>8</v>
      </c>
      <c r="E57" t="s">
        <v>56</v>
      </c>
      <c r="F57">
        <v>32</v>
      </c>
      <c r="G57" s="4">
        <v>44400</v>
      </c>
      <c r="H57" s="5">
        <v>45510</v>
      </c>
      <c r="I57" t="s">
        <v>16</v>
      </c>
    </row>
    <row r="58" spans="3:9" x14ac:dyDescent="0.3">
      <c r="C58" t="s">
        <v>64</v>
      </c>
      <c r="D58" t="s">
        <v>15</v>
      </c>
      <c r="E58" t="s">
        <v>9</v>
      </c>
      <c r="F58">
        <v>34</v>
      </c>
      <c r="G58" s="4">
        <v>44703</v>
      </c>
      <c r="H58" s="5">
        <v>112650</v>
      </c>
      <c r="I58" t="s">
        <v>16</v>
      </c>
    </row>
    <row r="59" spans="3:9" x14ac:dyDescent="0.3">
      <c r="C59" t="s">
        <v>83</v>
      </c>
      <c r="D59" t="s">
        <v>8</v>
      </c>
      <c r="E59" t="s">
        <v>9</v>
      </c>
      <c r="F59">
        <v>36</v>
      </c>
      <c r="G59" s="4">
        <v>44085</v>
      </c>
      <c r="H59" s="5">
        <v>114890</v>
      </c>
      <c r="I59" t="s">
        <v>16</v>
      </c>
    </row>
    <row r="60" spans="3:9" x14ac:dyDescent="0.3">
      <c r="C60" t="s">
        <v>67</v>
      </c>
      <c r="D60" t="s">
        <v>15</v>
      </c>
      <c r="E60" t="s">
        <v>12</v>
      </c>
      <c r="F60">
        <v>30</v>
      </c>
      <c r="G60" s="4">
        <v>44850</v>
      </c>
      <c r="H60" s="5">
        <v>69710</v>
      </c>
      <c r="I60" t="s">
        <v>16</v>
      </c>
    </row>
    <row r="61" spans="3:9" x14ac:dyDescent="0.3">
      <c r="C61" t="s">
        <v>94</v>
      </c>
      <c r="D61" t="s">
        <v>15</v>
      </c>
      <c r="E61" t="s">
        <v>21</v>
      </c>
      <c r="F61">
        <v>36</v>
      </c>
      <c r="G61" s="4">
        <v>44333</v>
      </c>
      <c r="H61" s="5">
        <v>71380</v>
      </c>
      <c r="I61" t="s">
        <v>16</v>
      </c>
    </row>
    <row r="62" spans="3:9" x14ac:dyDescent="0.3">
      <c r="C62" t="s">
        <v>33</v>
      </c>
      <c r="D62" t="s">
        <v>8</v>
      </c>
      <c r="E62" t="s">
        <v>19</v>
      </c>
      <c r="F62">
        <v>38</v>
      </c>
      <c r="G62" s="4">
        <v>44377</v>
      </c>
      <c r="H62" s="5">
        <v>109160</v>
      </c>
      <c r="I62" t="s">
        <v>10</v>
      </c>
    </row>
    <row r="63" spans="3:9" x14ac:dyDescent="0.3">
      <c r="C63" t="s">
        <v>98</v>
      </c>
      <c r="D63" t="s">
        <v>15</v>
      </c>
      <c r="E63" t="s">
        <v>9</v>
      </c>
      <c r="F63">
        <v>27</v>
      </c>
      <c r="G63" s="4">
        <v>44609</v>
      </c>
      <c r="H63" s="5">
        <v>113280</v>
      </c>
      <c r="I63" t="s">
        <v>42</v>
      </c>
    </row>
    <row r="64" spans="3:9" x14ac:dyDescent="0.3">
      <c r="C64" t="s">
        <v>25</v>
      </c>
      <c r="D64" t="s">
        <v>15</v>
      </c>
      <c r="E64" t="s">
        <v>12</v>
      </c>
      <c r="F64">
        <v>30</v>
      </c>
      <c r="G64" s="4">
        <v>44273</v>
      </c>
      <c r="H64" s="5">
        <v>69120</v>
      </c>
      <c r="I64" t="s">
        <v>16</v>
      </c>
    </row>
    <row r="65" spans="3:9" x14ac:dyDescent="0.3">
      <c r="C65" t="s">
        <v>55</v>
      </c>
      <c r="D65" t="s">
        <v>8</v>
      </c>
      <c r="E65" t="s">
        <v>56</v>
      </c>
      <c r="F65">
        <v>37</v>
      </c>
      <c r="G65" s="4">
        <v>44451</v>
      </c>
      <c r="H65" s="5">
        <v>118100</v>
      </c>
      <c r="I65" t="s">
        <v>16</v>
      </c>
    </row>
    <row r="66" spans="3:9" x14ac:dyDescent="0.3">
      <c r="C66" t="s">
        <v>62</v>
      </c>
      <c r="D66" t="s">
        <v>8</v>
      </c>
      <c r="E66" t="s">
        <v>9</v>
      </c>
      <c r="F66">
        <v>22</v>
      </c>
      <c r="G66" s="4">
        <v>44450</v>
      </c>
      <c r="H66" s="5">
        <v>76900</v>
      </c>
      <c r="I66" t="s">
        <v>13</v>
      </c>
    </row>
    <row r="67" spans="3:9" x14ac:dyDescent="0.3">
      <c r="C67" t="s">
        <v>17</v>
      </c>
      <c r="D67" t="s">
        <v>8</v>
      </c>
      <c r="E67" t="s">
        <v>12</v>
      </c>
      <c r="F67">
        <v>43</v>
      </c>
      <c r="G67" s="4">
        <v>45045</v>
      </c>
      <c r="H67" s="5">
        <v>114870</v>
      </c>
      <c r="I67" t="s">
        <v>16</v>
      </c>
    </row>
    <row r="68" spans="3:9" x14ac:dyDescent="0.3">
      <c r="C68" t="s">
        <v>52</v>
      </c>
      <c r="E68" t="s">
        <v>12</v>
      </c>
      <c r="F68">
        <v>32</v>
      </c>
      <c r="G68" s="4">
        <v>44774</v>
      </c>
      <c r="H68" s="5">
        <v>91310</v>
      </c>
      <c r="I68" t="s">
        <v>16</v>
      </c>
    </row>
    <row r="69" spans="3:9" x14ac:dyDescent="0.3">
      <c r="C69" t="s">
        <v>43</v>
      </c>
      <c r="D69" t="s">
        <v>8</v>
      </c>
      <c r="E69" t="s">
        <v>9</v>
      </c>
      <c r="F69">
        <v>28</v>
      </c>
      <c r="G69" s="4">
        <v>44486</v>
      </c>
      <c r="H69" s="5">
        <v>104770</v>
      </c>
      <c r="I69" t="s">
        <v>16</v>
      </c>
    </row>
    <row r="70" spans="3:9" x14ac:dyDescent="0.3">
      <c r="C70" t="s">
        <v>89</v>
      </c>
      <c r="D70" t="s">
        <v>15</v>
      </c>
      <c r="E70" t="s">
        <v>19</v>
      </c>
      <c r="F70">
        <v>27</v>
      </c>
      <c r="G70" s="4">
        <v>44134</v>
      </c>
      <c r="H70" s="5">
        <v>54970</v>
      </c>
      <c r="I70" t="s">
        <v>16</v>
      </c>
    </row>
    <row r="71" spans="3:9" x14ac:dyDescent="0.3">
      <c r="C71" t="s">
        <v>11</v>
      </c>
      <c r="E71" t="s">
        <v>12</v>
      </c>
      <c r="F71">
        <v>26</v>
      </c>
      <c r="G71" s="4">
        <v>44271</v>
      </c>
      <c r="H71" s="5">
        <v>90700</v>
      </c>
      <c r="I71" t="s">
        <v>13</v>
      </c>
    </row>
    <row r="72" spans="3:9" x14ac:dyDescent="0.3">
      <c r="C72" t="s">
        <v>109</v>
      </c>
      <c r="D72" t="s">
        <v>8</v>
      </c>
      <c r="E72" t="s">
        <v>19</v>
      </c>
      <c r="F72">
        <v>38</v>
      </c>
      <c r="G72" s="4">
        <v>44329</v>
      </c>
      <c r="H72" s="5">
        <v>56870</v>
      </c>
      <c r="I72" t="s">
        <v>13</v>
      </c>
    </row>
    <row r="73" spans="3:9" x14ac:dyDescent="0.3">
      <c r="C73" t="s">
        <v>77</v>
      </c>
      <c r="D73" t="s">
        <v>8</v>
      </c>
      <c r="E73" t="s">
        <v>19</v>
      </c>
      <c r="F73">
        <v>25</v>
      </c>
      <c r="G73" s="4">
        <v>44205</v>
      </c>
      <c r="H73" s="5">
        <v>92700</v>
      </c>
      <c r="I73" t="s">
        <v>16</v>
      </c>
    </row>
    <row r="74" spans="3:9" x14ac:dyDescent="0.3">
      <c r="C74" t="s">
        <v>32</v>
      </c>
      <c r="D74" t="s">
        <v>8</v>
      </c>
      <c r="E74" t="s">
        <v>21</v>
      </c>
      <c r="F74">
        <v>21</v>
      </c>
      <c r="G74" s="4">
        <v>44317</v>
      </c>
      <c r="H74" s="5">
        <v>65920</v>
      </c>
      <c r="I74" t="s">
        <v>16</v>
      </c>
    </row>
    <row r="75" spans="3:9" x14ac:dyDescent="0.3">
      <c r="C75" t="s">
        <v>59</v>
      </c>
      <c r="D75" t="s">
        <v>15</v>
      </c>
      <c r="E75" t="s">
        <v>9</v>
      </c>
      <c r="F75">
        <v>26</v>
      </c>
      <c r="G75" s="4">
        <v>44225</v>
      </c>
      <c r="H75" s="5">
        <v>47360</v>
      </c>
      <c r="I75" t="s">
        <v>16</v>
      </c>
    </row>
    <row r="76" spans="3:9" x14ac:dyDescent="0.3">
      <c r="C76" t="s">
        <v>37</v>
      </c>
      <c r="D76" t="s">
        <v>15</v>
      </c>
      <c r="E76" t="s">
        <v>9</v>
      </c>
      <c r="F76">
        <v>30</v>
      </c>
      <c r="G76" s="4">
        <v>44666</v>
      </c>
      <c r="H76" s="5">
        <v>60570</v>
      </c>
      <c r="I76" t="s">
        <v>16</v>
      </c>
    </row>
    <row r="77" spans="3:9" x14ac:dyDescent="0.3">
      <c r="C77" t="s">
        <v>96</v>
      </c>
      <c r="D77" t="s">
        <v>8</v>
      </c>
      <c r="E77" t="s">
        <v>9</v>
      </c>
      <c r="F77">
        <v>28</v>
      </c>
      <c r="G77" s="4">
        <v>44649</v>
      </c>
      <c r="H77" s="5">
        <v>104120</v>
      </c>
      <c r="I77" t="s">
        <v>16</v>
      </c>
    </row>
    <row r="78" spans="3:9" x14ac:dyDescent="0.3">
      <c r="C78" t="s">
        <v>23</v>
      </c>
      <c r="D78" t="s">
        <v>15</v>
      </c>
      <c r="E78" t="s">
        <v>12</v>
      </c>
      <c r="F78">
        <v>37</v>
      </c>
      <c r="G78" s="4">
        <v>44338</v>
      </c>
      <c r="H78" s="5">
        <v>88050</v>
      </c>
      <c r="I78" t="s">
        <v>24</v>
      </c>
    </row>
    <row r="79" spans="3:9" x14ac:dyDescent="0.3">
      <c r="C79" t="s">
        <v>103</v>
      </c>
      <c r="D79" t="s">
        <v>15</v>
      </c>
      <c r="E79" t="s">
        <v>12</v>
      </c>
      <c r="F79">
        <v>24</v>
      </c>
      <c r="G79" s="4">
        <v>44686</v>
      </c>
      <c r="H79" s="5">
        <v>100420</v>
      </c>
      <c r="I79" t="s">
        <v>16</v>
      </c>
    </row>
    <row r="80" spans="3:9" x14ac:dyDescent="0.3">
      <c r="C80" t="s">
        <v>54</v>
      </c>
      <c r="D80" t="s">
        <v>8</v>
      </c>
      <c r="E80" t="s">
        <v>9</v>
      </c>
      <c r="F80">
        <v>30</v>
      </c>
      <c r="G80" s="4">
        <v>44850</v>
      </c>
      <c r="H80" s="5">
        <v>114180</v>
      </c>
      <c r="I80" t="s">
        <v>16</v>
      </c>
    </row>
    <row r="81" spans="3:9" x14ac:dyDescent="0.3">
      <c r="C81" t="s">
        <v>86</v>
      </c>
      <c r="D81" t="s">
        <v>8</v>
      </c>
      <c r="E81" t="s">
        <v>12</v>
      </c>
      <c r="F81">
        <v>21</v>
      </c>
      <c r="G81" s="4">
        <v>44678</v>
      </c>
      <c r="H81" s="5">
        <v>33920</v>
      </c>
      <c r="I81" t="s">
        <v>16</v>
      </c>
    </row>
    <row r="82" spans="3:9" x14ac:dyDescent="0.3">
      <c r="C82" t="s">
        <v>69</v>
      </c>
      <c r="D82" t="s">
        <v>15</v>
      </c>
      <c r="E82" t="s">
        <v>9</v>
      </c>
      <c r="F82">
        <v>23</v>
      </c>
      <c r="G82" s="4">
        <v>44440</v>
      </c>
      <c r="H82" s="5">
        <v>106460</v>
      </c>
      <c r="I82" t="s">
        <v>16</v>
      </c>
    </row>
    <row r="83" spans="3:9" x14ac:dyDescent="0.3">
      <c r="C83" t="s">
        <v>57</v>
      </c>
      <c r="D83" t="s">
        <v>15</v>
      </c>
      <c r="E83" t="s">
        <v>9</v>
      </c>
      <c r="F83">
        <v>35</v>
      </c>
      <c r="G83" s="4">
        <v>44727</v>
      </c>
      <c r="H83" s="5">
        <v>40400</v>
      </c>
      <c r="I83" t="s">
        <v>16</v>
      </c>
    </row>
    <row r="84" spans="3:9" x14ac:dyDescent="0.3">
      <c r="C84" t="s">
        <v>68</v>
      </c>
      <c r="D84" t="s">
        <v>15</v>
      </c>
      <c r="E84" t="s">
        <v>21</v>
      </c>
      <c r="F84">
        <v>27</v>
      </c>
      <c r="G84" s="4">
        <v>44236</v>
      </c>
      <c r="H84" s="5">
        <v>91650</v>
      </c>
      <c r="I84" t="s">
        <v>13</v>
      </c>
    </row>
    <row r="85" spans="3:9" x14ac:dyDescent="0.3">
      <c r="C85" t="s">
        <v>99</v>
      </c>
      <c r="D85" t="s">
        <v>15</v>
      </c>
      <c r="E85" t="s">
        <v>19</v>
      </c>
      <c r="F85">
        <v>43</v>
      </c>
      <c r="G85" s="4">
        <v>44620</v>
      </c>
      <c r="H85" s="5">
        <v>36040</v>
      </c>
      <c r="I85" t="s">
        <v>16</v>
      </c>
    </row>
    <row r="86" spans="3:9" x14ac:dyDescent="0.3">
      <c r="C86" t="s">
        <v>101</v>
      </c>
      <c r="D86" t="s">
        <v>8</v>
      </c>
      <c r="E86" t="s">
        <v>12</v>
      </c>
      <c r="F86">
        <v>40</v>
      </c>
      <c r="G86" s="4">
        <v>44381</v>
      </c>
      <c r="H86" s="5">
        <v>104410</v>
      </c>
      <c r="I86" t="s">
        <v>16</v>
      </c>
    </row>
    <row r="87" spans="3:9" x14ac:dyDescent="0.3">
      <c r="C87" t="s">
        <v>85</v>
      </c>
      <c r="D87" t="s">
        <v>15</v>
      </c>
      <c r="E87" t="s">
        <v>21</v>
      </c>
      <c r="F87">
        <v>30</v>
      </c>
      <c r="G87" s="4">
        <v>44606</v>
      </c>
      <c r="H87" s="5">
        <v>96800</v>
      </c>
      <c r="I87" t="s">
        <v>16</v>
      </c>
    </row>
    <row r="88" spans="3:9" x14ac:dyDescent="0.3">
      <c r="C88" t="s">
        <v>28</v>
      </c>
      <c r="D88" t="s">
        <v>8</v>
      </c>
      <c r="E88" t="s">
        <v>21</v>
      </c>
      <c r="F88">
        <v>34</v>
      </c>
      <c r="G88" s="4">
        <v>44459</v>
      </c>
      <c r="H88" s="5">
        <v>85000</v>
      </c>
      <c r="I88" t="s">
        <v>16</v>
      </c>
    </row>
    <row r="89" spans="3:9" x14ac:dyDescent="0.3">
      <c r="C89" t="s">
        <v>80</v>
      </c>
      <c r="D89" t="s">
        <v>15</v>
      </c>
      <c r="E89" t="s">
        <v>19</v>
      </c>
      <c r="F89">
        <v>28</v>
      </c>
      <c r="G89" s="4">
        <v>44820</v>
      </c>
      <c r="H89" s="5">
        <v>43510</v>
      </c>
      <c r="I89" t="s">
        <v>42</v>
      </c>
    </row>
    <row r="90" spans="3:9" x14ac:dyDescent="0.3">
      <c r="C90" t="s">
        <v>79</v>
      </c>
      <c r="D90" t="s">
        <v>15</v>
      </c>
      <c r="E90" t="s">
        <v>21</v>
      </c>
      <c r="F90">
        <v>33</v>
      </c>
      <c r="G90" s="4">
        <v>44243</v>
      </c>
      <c r="H90" s="5">
        <v>59430</v>
      </c>
      <c r="I90" t="s">
        <v>16</v>
      </c>
    </row>
    <row r="91" spans="3:9" x14ac:dyDescent="0.3">
      <c r="C91" t="s">
        <v>93</v>
      </c>
      <c r="D91" t="s">
        <v>8</v>
      </c>
      <c r="E91" t="s">
        <v>21</v>
      </c>
      <c r="F91">
        <v>33</v>
      </c>
      <c r="G91" s="4">
        <v>44067</v>
      </c>
      <c r="H91" s="5">
        <v>65360</v>
      </c>
      <c r="I91" t="s">
        <v>16</v>
      </c>
    </row>
    <row r="92" spans="3:9" x14ac:dyDescent="0.3">
      <c r="C92" t="s">
        <v>66</v>
      </c>
      <c r="D92" t="s">
        <v>8</v>
      </c>
      <c r="E92" t="s">
        <v>9</v>
      </c>
      <c r="F92">
        <v>32</v>
      </c>
      <c r="G92" s="4">
        <v>44611</v>
      </c>
      <c r="H92" s="5">
        <v>41570</v>
      </c>
      <c r="I92" t="s">
        <v>16</v>
      </c>
    </row>
    <row r="93" spans="3:9" x14ac:dyDescent="0.3">
      <c r="C93" t="s">
        <v>95</v>
      </c>
      <c r="D93" t="s">
        <v>8</v>
      </c>
      <c r="E93" t="s">
        <v>12</v>
      </c>
      <c r="F93">
        <v>33</v>
      </c>
      <c r="G93" s="4">
        <v>44312</v>
      </c>
      <c r="H93" s="5">
        <v>75280</v>
      </c>
      <c r="I93" t="s">
        <v>16</v>
      </c>
    </row>
    <row r="94" spans="3:9" x14ac:dyDescent="0.3">
      <c r="C94" t="s">
        <v>18</v>
      </c>
      <c r="D94" t="s">
        <v>15</v>
      </c>
      <c r="E94" t="s">
        <v>19</v>
      </c>
      <c r="F94">
        <v>33</v>
      </c>
      <c r="G94" s="4">
        <v>44385</v>
      </c>
      <c r="H94" s="5">
        <v>74550</v>
      </c>
      <c r="I94" t="s">
        <v>16</v>
      </c>
    </row>
    <row r="95" spans="3:9" x14ac:dyDescent="0.3">
      <c r="C95" t="s">
        <v>45</v>
      </c>
      <c r="D95" t="s">
        <v>15</v>
      </c>
      <c r="E95" t="s">
        <v>9</v>
      </c>
      <c r="F95">
        <v>30</v>
      </c>
      <c r="G95" s="4">
        <v>44701</v>
      </c>
      <c r="H95" s="5">
        <v>67950</v>
      </c>
      <c r="I95" t="s">
        <v>16</v>
      </c>
    </row>
    <row r="96" spans="3:9" x14ac:dyDescent="0.3">
      <c r="C96" t="s">
        <v>90</v>
      </c>
      <c r="D96" t="s">
        <v>15</v>
      </c>
      <c r="E96" t="s">
        <v>21</v>
      </c>
      <c r="F96">
        <v>42</v>
      </c>
      <c r="G96" s="4">
        <v>44731</v>
      </c>
      <c r="H96" s="5">
        <v>70270</v>
      </c>
      <c r="I96" t="s">
        <v>24</v>
      </c>
    </row>
    <row r="97" spans="3:9" x14ac:dyDescent="0.3">
      <c r="C97" t="s">
        <v>46</v>
      </c>
      <c r="D97" t="s">
        <v>15</v>
      </c>
      <c r="E97" t="s">
        <v>9</v>
      </c>
      <c r="F97">
        <v>26</v>
      </c>
      <c r="G97" s="4">
        <v>44411</v>
      </c>
      <c r="H97" s="5">
        <v>53540</v>
      </c>
      <c r="I97" t="s">
        <v>16</v>
      </c>
    </row>
    <row r="98" spans="3:9" x14ac:dyDescent="0.3">
      <c r="C98" t="s">
        <v>58</v>
      </c>
      <c r="D98" t="s">
        <v>15</v>
      </c>
      <c r="E98" t="s">
        <v>19</v>
      </c>
      <c r="F98">
        <v>22</v>
      </c>
      <c r="G98" s="4">
        <v>44446</v>
      </c>
      <c r="H98" s="5">
        <v>112780</v>
      </c>
      <c r="I98" t="s">
        <v>13</v>
      </c>
    </row>
    <row r="99" spans="3:9" x14ac:dyDescent="0.3">
      <c r="C99" t="s">
        <v>70</v>
      </c>
      <c r="D99" t="s">
        <v>15</v>
      </c>
      <c r="E99" t="s">
        <v>9</v>
      </c>
      <c r="F99">
        <v>46</v>
      </c>
      <c r="G99" s="4">
        <v>44758</v>
      </c>
      <c r="H99" s="5">
        <v>70610</v>
      </c>
      <c r="I99" t="s">
        <v>16</v>
      </c>
    </row>
    <row r="100" spans="3:9" x14ac:dyDescent="0.3">
      <c r="C100" t="s">
        <v>75</v>
      </c>
      <c r="D100" t="s">
        <v>8</v>
      </c>
      <c r="E100" t="s">
        <v>19</v>
      </c>
      <c r="F100">
        <v>28</v>
      </c>
      <c r="G100" s="4">
        <v>44357</v>
      </c>
      <c r="H100" s="5">
        <v>53240</v>
      </c>
      <c r="I100" t="s">
        <v>16</v>
      </c>
    </row>
    <row r="101" spans="3:9" x14ac:dyDescent="0.3">
      <c r="C101" t="s">
        <v>49</v>
      </c>
      <c r="E101" t="s">
        <v>21</v>
      </c>
      <c r="F101">
        <v>37</v>
      </c>
      <c r="G101" s="4">
        <v>44146</v>
      </c>
      <c r="H101" s="5">
        <v>115440</v>
      </c>
      <c r="I101" t="s">
        <v>24</v>
      </c>
    </row>
    <row r="102" spans="3:9" x14ac:dyDescent="0.3">
      <c r="C102" t="s">
        <v>65</v>
      </c>
      <c r="D102" t="s">
        <v>15</v>
      </c>
      <c r="E102" t="s">
        <v>19</v>
      </c>
      <c r="F102">
        <v>32</v>
      </c>
      <c r="G102" s="4">
        <v>44465</v>
      </c>
      <c r="H102" s="5">
        <v>53540</v>
      </c>
      <c r="I102" t="s">
        <v>16</v>
      </c>
    </row>
    <row r="103" spans="3:9" x14ac:dyDescent="0.3">
      <c r="C103" t="s">
        <v>81</v>
      </c>
      <c r="D103" t="s">
        <v>8</v>
      </c>
      <c r="E103" t="s">
        <v>9</v>
      </c>
      <c r="F103">
        <v>30</v>
      </c>
      <c r="G103" s="4">
        <v>44861</v>
      </c>
      <c r="H103" s="5">
        <v>112570</v>
      </c>
      <c r="I103" t="s">
        <v>16</v>
      </c>
    </row>
    <row r="104" spans="3:9" x14ac:dyDescent="0.3">
      <c r="C104" t="s">
        <v>51</v>
      </c>
      <c r="D104" t="s">
        <v>15</v>
      </c>
      <c r="E104" t="s">
        <v>9</v>
      </c>
      <c r="F104">
        <v>33</v>
      </c>
      <c r="G104" s="4">
        <v>44701</v>
      </c>
      <c r="H104" s="5">
        <v>48530</v>
      </c>
      <c r="I104" t="s">
        <v>13</v>
      </c>
    </row>
    <row r="105" spans="3:9" x14ac:dyDescent="0.3">
      <c r="C105" t="s">
        <v>61</v>
      </c>
      <c r="D105" t="s">
        <v>8</v>
      </c>
      <c r="E105" t="s">
        <v>12</v>
      </c>
      <c r="F105">
        <v>24</v>
      </c>
      <c r="G105" s="4">
        <v>44148</v>
      </c>
      <c r="H105" s="5">
        <v>62780</v>
      </c>
      <c r="I105" t="s">
        <v>16</v>
      </c>
    </row>
    <row r="106" spans="3:9" x14ac:dyDescent="0.3">
      <c r="C106" t="s">
        <v>203</v>
      </c>
      <c r="F106">
        <f>SUBTOTAL(101,NZ_Staff[Age])</f>
        <v>30.52</v>
      </c>
      <c r="H106" s="5">
        <f>SUBTOTAL(101,NZ_Staff[Salary])</f>
        <v>77472.100000000006</v>
      </c>
    </row>
  </sheetData>
  <conditionalFormatting sqref="C5:C106">
    <cfRule type="duplicateValues" dxfId="1"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topLeftCell="B59" workbookViewId="0">
      <selection activeCell="J12" sqref="J12"/>
    </sheetView>
  </sheetViews>
  <sheetFormatPr defaultRowHeight="14.4" x14ac:dyDescent="0.3"/>
  <cols>
    <col min="2" max="2" width="27.21875" bestFit="1" customWidth="1"/>
    <col min="3" max="3" width="9.33203125" bestFit="1" customWidth="1"/>
    <col min="4" max="4" width="6.44140625" bestFit="1" customWidth="1"/>
    <col min="5" max="5" width="13.109375" bestFit="1" customWidth="1"/>
    <col min="6" max="6" width="13" bestFit="1" customWidth="1"/>
    <col min="7" max="7" width="13.33203125" bestFit="1" customWidth="1"/>
    <col min="8" max="8" width="8.33203125" bestFit="1" customWidth="1"/>
  </cols>
  <sheetData>
    <row r="2" spans="2:8" x14ac:dyDescent="0.3">
      <c r="B2" t="s">
        <v>0</v>
      </c>
      <c r="C2" t="s">
        <v>1</v>
      </c>
      <c r="D2" t="s">
        <v>3</v>
      </c>
      <c r="E2" t="s">
        <v>6</v>
      </c>
      <c r="F2" t="s">
        <v>4</v>
      </c>
      <c r="G2" t="s">
        <v>2</v>
      </c>
      <c r="H2" t="s">
        <v>5</v>
      </c>
    </row>
    <row r="3" spans="2:8" x14ac:dyDescent="0.3">
      <c r="B3" t="s">
        <v>156</v>
      </c>
      <c r="C3" t="s">
        <v>15</v>
      </c>
      <c r="D3">
        <v>20</v>
      </c>
      <c r="E3" t="s">
        <v>16</v>
      </c>
      <c r="F3" s="4">
        <v>44122</v>
      </c>
      <c r="G3" t="s">
        <v>12</v>
      </c>
      <c r="H3">
        <v>112650</v>
      </c>
    </row>
    <row r="4" spans="2:8" x14ac:dyDescent="0.3">
      <c r="B4" t="s">
        <v>176</v>
      </c>
      <c r="C4" t="s">
        <v>8</v>
      </c>
      <c r="D4">
        <v>32</v>
      </c>
      <c r="E4" t="s">
        <v>13</v>
      </c>
      <c r="F4" s="4">
        <v>44293</v>
      </c>
      <c r="G4" t="s">
        <v>12</v>
      </c>
      <c r="H4">
        <v>43840</v>
      </c>
    </row>
    <row r="5" spans="2:8" x14ac:dyDescent="0.3">
      <c r="B5" t="s">
        <v>143</v>
      </c>
      <c r="C5" t="s">
        <v>15</v>
      </c>
      <c r="D5">
        <v>31</v>
      </c>
      <c r="E5" t="s">
        <v>16</v>
      </c>
      <c r="F5" s="4">
        <v>44663</v>
      </c>
      <c r="G5" t="s">
        <v>9</v>
      </c>
      <c r="H5">
        <v>103550</v>
      </c>
    </row>
    <row r="6" spans="2:8" x14ac:dyDescent="0.3">
      <c r="B6" t="s">
        <v>201</v>
      </c>
      <c r="C6" t="s">
        <v>8</v>
      </c>
      <c r="D6">
        <v>32</v>
      </c>
      <c r="E6" t="s">
        <v>16</v>
      </c>
      <c r="F6" s="4">
        <v>44339</v>
      </c>
      <c r="G6" t="s">
        <v>56</v>
      </c>
      <c r="H6">
        <v>45510</v>
      </c>
    </row>
    <row r="7" spans="2:8" x14ac:dyDescent="0.3">
      <c r="B7" t="s">
        <v>142</v>
      </c>
      <c r="D7">
        <v>37</v>
      </c>
      <c r="E7" t="s">
        <v>24</v>
      </c>
      <c r="F7" s="4">
        <v>44085</v>
      </c>
      <c r="G7" t="s">
        <v>21</v>
      </c>
      <c r="H7">
        <v>115440</v>
      </c>
    </row>
    <row r="8" spans="2:8" x14ac:dyDescent="0.3">
      <c r="B8" t="s">
        <v>202</v>
      </c>
      <c r="C8" t="s">
        <v>8</v>
      </c>
      <c r="D8">
        <v>38</v>
      </c>
      <c r="E8" t="s">
        <v>13</v>
      </c>
      <c r="F8" s="4">
        <v>44268</v>
      </c>
      <c r="G8" t="s">
        <v>19</v>
      </c>
      <c r="H8">
        <v>56870</v>
      </c>
    </row>
    <row r="9" spans="2:8" x14ac:dyDescent="0.3">
      <c r="B9" t="s">
        <v>169</v>
      </c>
      <c r="C9" t="s">
        <v>8</v>
      </c>
      <c r="D9">
        <v>25</v>
      </c>
      <c r="E9" t="s">
        <v>16</v>
      </c>
      <c r="F9" s="4">
        <v>44144</v>
      </c>
      <c r="G9" t="s">
        <v>19</v>
      </c>
      <c r="H9">
        <v>92700</v>
      </c>
    </row>
    <row r="10" spans="2:8" x14ac:dyDescent="0.3">
      <c r="B10" t="s">
        <v>145</v>
      </c>
      <c r="D10">
        <v>32</v>
      </c>
      <c r="E10" t="s">
        <v>16</v>
      </c>
      <c r="F10" s="4">
        <v>44713</v>
      </c>
      <c r="G10" t="s">
        <v>12</v>
      </c>
      <c r="H10">
        <v>91310</v>
      </c>
    </row>
    <row r="11" spans="2:8" x14ac:dyDescent="0.3">
      <c r="B11" t="s">
        <v>115</v>
      </c>
      <c r="C11" t="s">
        <v>15</v>
      </c>
      <c r="D11">
        <v>33</v>
      </c>
      <c r="E11" t="s">
        <v>16</v>
      </c>
      <c r="F11" s="4">
        <v>44324</v>
      </c>
      <c r="G11" t="s">
        <v>19</v>
      </c>
      <c r="H11">
        <v>74550</v>
      </c>
    </row>
    <row r="12" spans="2:8" x14ac:dyDescent="0.3">
      <c r="B12" t="s">
        <v>128</v>
      </c>
      <c r="C12" t="s">
        <v>15</v>
      </c>
      <c r="D12">
        <v>25</v>
      </c>
      <c r="E12" t="s">
        <v>13</v>
      </c>
      <c r="F12" s="4">
        <v>44665</v>
      </c>
      <c r="G12" t="s">
        <v>9</v>
      </c>
      <c r="H12">
        <v>109190</v>
      </c>
    </row>
    <row r="13" spans="2:8" x14ac:dyDescent="0.3">
      <c r="B13" t="s">
        <v>194</v>
      </c>
      <c r="C13" t="s">
        <v>8</v>
      </c>
      <c r="D13">
        <v>40</v>
      </c>
      <c r="E13" t="s">
        <v>16</v>
      </c>
      <c r="F13" s="4">
        <v>44320</v>
      </c>
      <c r="G13" t="s">
        <v>12</v>
      </c>
      <c r="H13">
        <v>104410</v>
      </c>
    </row>
    <row r="14" spans="2:8" x14ac:dyDescent="0.3">
      <c r="B14" t="s">
        <v>177</v>
      </c>
      <c r="C14" t="s">
        <v>15</v>
      </c>
      <c r="D14">
        <v>30</v>
      </c>
      <c r="E14" t="s">
        <v>16</v>
      </c>
      <c r="F14" s="4">
        <v>44544</v>
      </c>
      <c r="G14" t="s">
        <v>21</v>
      </c>
      <c r="H14">
        <v>96800</v>
      </c>
    </row>
    <row r="15" spans="2:8" x14ac:dyDescent="0.3">
      <c r="B15" t="s">
        <v>123</v>
      </c>
      <c r="C15" t="s">
        <v>15</v>
      </c>
      <c r="D15">
        <v>28</v>
      </c>
      <c r="E15" t="s">
        <v>13</v>
      </c>
      <c r="F15" s="4">
        <v>43980</v>
      </c>
      <c r="G15" t="s">
        <v>21</v>
      </c>
      <c r="H15">
        <v>48170</v>
      </c>
    </row>
    <row r="16" spans="2:8" x14ac:dyDescent="0.3">
      <c r="B16" t="s">
        <v>140</v>
      </c>
      <c r="C16" t="s">
        <v>15</v>
      </c>
      <c r="D16">
        <v>21</v>
      </c>
      <c r="E16" t="s">
        <v>16</v>
      </c>
      <c r="F16" s="4">
        <v>44042</v>
      </c>
      <c r="G16" t="s">
        <v>9</v>
      </c>
      <c r="H16">
        <v>37920</v>
      </c>
    </row>
    <row r="17" spans="2:8" x14ac:dyDescent="0.3">
      <c r="B17" t="s">
        <v>178</v>
      </c>
      <c r="C17" t="s">
        <v>15</v>
      </c>
      <c r="D17">
        <v>34</v>
      </c>
      <c r="E17" t="s">
        <v>16</v>
      </c>
      <c r="F17" s="4">
        <v>44642</v>
      </c>
      <c r="G17" t="s">
        <v>9</v>
      </c>
      <c r="H17">
        <v>112650</v>
      </c>
    </row>
    <row r="18" spans="2:8" x14ac:dyDescent="0.3">
      <c r="B18" t="s">
        <v>165</v>
      </c>
      <c r="C18" t="s">
        <v>8</v>
      </c>
      <c r="D18">
        <v>34</v>
      </c>
      <c r="E18" t="s">
        <v>24</v>
      </c>
      <c r="F18" s="4">
        <v>44660</v>
      </c>
      <c r="G18" t="s">
        <v>19</v>
      </c>
      <c r="H18">
        <v>49630</v>
      </c>
    </row>
    <row r="19" spans="2:8" x14ac:dyDescent="0.3">
      <c r="B19" t="s">
        <v>199</v>
      </c>
      <c r="C19" t="s">
        <v>15</v>
      </c>
      <c r="D19">
        <v>36</v>
      </c>
      <c r="E19" t="s">
        <v>16</v>
      </c>
      <c r="F19" s="4">
        <v>43958</v>
      </c>
      <c r="G19" t="s">
        <v>12</v>
      </c>
      <c r="H19">
        <v>118840</v>
      </c>
    </row>
    <row r="20" spans="2:8" x14ac:dyDescent="0.3">
      <c r="B20" t="s">
        <v>159</v>
      </c>
      <c r="C20" t="s">
        <v>15</v>
      </c>
      <c r="D20">
        <v>30</v>
      </c>
      <c r="E20" t="s">
        <v>16</v>
      </c>
      <c r="F20" s="4">
        <v>44789</v>
      </c>
      <c r="G20" t="s">
        <v>12</v>
      </c>
      <c r="H20">
        <v>69710</v>
      </c>
    </row>
    <row r="21" spans="2:8" x14ac:dyDescent="0.3">
      <c r="B21" t="s">
        <v>197</v>
      </c>
      <c r="C21" t="s">
        <v>15</v>
      </c>
      <c r="D21">
        <v>20</v>
      </c>
      <c r="E21" t="s">
        <v>16</v>
      </c>
      <c r="F21" s="4">
        <v>44683</v>
      </c>
      <c r="G21" t="s">
        <v>9</v>
      </c>
      <c r="H21">
        <v>79570</v>
      </c>
    </row>
    <row r="22" spans="2:8" x14ac:dyDescent="0.3">
      <c r="B22" t="s">
        <v>154</v>
      </c>
      <c r="C22" t="s">
        <v>8</v>
      </c>
      <c r="D22">
        <v>22</v>
      </c>
      <c r="E22" t="s">
        <v>13</v>
      </c>
      <c r="F22" s="4">
        <v>44388</v>
      </c>
      <c r="G22" t="s">
        <v>9</v>
      </c>
      <c r="H22">
        <v>76900</v>
      </c>
    </row>
    <row r="23" spans="2:8" x14ac:dyDescent="0.3">
      <c r="B23" t="s">
        <v>182</v>
      </c>
      <c r="C23" t="s">
        <v>15</v>
      </c>
      <c r="D23">
        <v>27</v>
      </c>
      <c r="E23" t="s">
        <v>16</v>
      </c>
      <c r="F23" s="4">
        <v>44073</v>
      </c>
      <c r="G23" t="s">
        <v>19</v>
      </c>
      <c r="H23">
        <v>54970</v>
      </c>
    </row>
    <row r="24" spans="2:8" x14ac:dyDescent="0.3">
      <c r="B24" t="s">
        <v>118</v>
      </c>
      <c r="C24" t="s">
        <v>15</v>
      </c>
      <c r="D24">
        <v>37</v>
      </c>
      <c r="E24" t="s">
        <v>24</v>
      </c>
      <c r="F24" s="4">
        <v>44277</v>
      </c>
      <c r="G24" t="s">
        <v>12</v>
      </c>
      <c r="H24">
        <v>88050</v>
      </c>
    </row>
    <row r="25" spans="2:8" x14ac:dyDescent="0.3">
      <c r="B25" t="s">
        <v>192</v>
      </c>
      <c r="C25" t="s">
        <v>15</v>
      </c>
      <c r="D25">
        <v>43</v>
      </c>
      <c r="E25" t="s">
        <v>16</v>
      </c>
      <c r="F25" s="4">
        <v>44558</v>
      </c>
      <c r="G25" t="s">
        <v>19</v>
      </c>
      <c r="H25">
        <v>36040</v>
      </c>
    </row>
    <row r="26" spans="2:8" x14ac:dyDescent="0.3">
      <c r="B26" t="s">
        <v>111</v>
      </c>
      <c r="C26" t="s">
        <v>8</v>
      </c>
      <c r="D26">
        <v>42</v>
      </c>
      <c r="E26" t="s">
        <v>10</v>
      </c>
      <c r="F26" s="4">
        <v>44718</v>
      </c>
      <c r="G26" t="s">
        <v>9</v>
      </c>
      <c r="H26">
        <v>75000</v>
      </c>
    </row>
    <row r="27" spans="2:8" x14ac:dyDescent="0.3">
      <c r="B27" t="s">
        <v>149</v>
      </c>
      <c r="C27" t="s">
        <v>15</v>
      </c>
      <c r="D27">
        <v>35</v>
      </c>
      <c r="E27" t="s">
        <v>16</v>
      </c>
      <c r="F27" s="4">
        <v>44666</v>
      </c>
      <c r="G27" t="s">
        <v>9</v>
      </c>
      <c r="H27">
        <v>40400</v>
      </c>
    </row>
    <row r="28" spans="2:8" x14ac:dyDescent="0.3">
      <c r="B28" t="s">
        <v>196</v>
      </c>
      <c r="C28" t="s">
        <v>15</v>
      </c>
      <c r="D28">
        <v>24</v>
      </c>
      <c r="E28" t="s">
        <v>16</v>
      </c>
      <c r="F28" s="4">
        <v>44625</v>
      </c>
      <c r="G28" t="s">
        <v>12</v>
      </c>
      <c r="H28">
        <v>100420</v>
      </c>
    </row>
    <row r="29" spans="2:8" x14ac:dyDescent="0.3">
      <c r="B29" t="s">
        <v>120</v>
      </c>
      <c r="C29" t="s">
        <v>8</v>
      </c>
      <c r="D29">
        <v>31</v>
      </c>
      <c r="E29" t="s">
        <v>16</v>
      </c>
      <c r="F29" s="4">
        <v>44604</v>
      </c>
      <c r="G29" t="s">
        <v>12</v>
      </c>
      <c r="H29">
        <v>58100</v>
      </c>
    </row>
    <row r="30" spans="2:8" x14ac:dyDescent="0.3">
      <c r="B30" t="s">
        <v>114</v>
      </c>
      <c r="C30" t="s">
        <v>8</v>
      </c>
      <c r="D30">
        <v>44</v>
      </c>
      <c r="E30" t="s">
        <v>16</v>
      </c>
      <c r="F30" s="4">
        <v>44985</v>
      </c>
      <c r="G30" t="s">
        <v>12</v>
      </c>
      <c r="H30">
        <v>114870</v>
      </c>
    </row>
    <row r="31" spans="2:8" x14ac:dyDescent="0.3">
      <c r="B31" t="s">
        <v>158</v>
      </c>
      <c r="C31" t="s">
        <v>8</v>
      </c>
      <c r="D31">
        <v>32</v>
      </c>
      <c r="E31" t="s">
        <v>16</v>
      </c>
      <c r="F31" s="4">
        <v>44549</v>
      </c>
      <c r="G31" t="s">
        <v>9</v>
      </c>
      <c r="H31">
        <v>41570</v>
      </c>
    </row>
    <row r="32" spans="2:8" x14ac:dyDescent="0.3">
      <c r="B32" t="s">
        <v>173</v>
      </c>
      <c r="C32" t="s">
        <v>8</v>
      </c>
      <c r="D32">
        <v>30</v>
      </c>
      <c r="E32" t="s">
        <v>16</v>
      </c>
      <c r="F32" s="4">
        <v>44800</v>
      </c>
      <c r="G32" t="s">
        <v>9</v>
      </c>
      <c r="H32">
        <v>112570</v>
      </c>
    </row>
    <row r="33" spans="2:8" x14ac:dyDescent="0.3">
      <c r="B33" t="s">
        <v>151</v>
      </c>
      <c r="C33" t="s">
        <v>15</v>
      </c>
      <c r="D33">
        <v>26</v>
      </c>
      <c r="E33" t="s">
        <v>16</v>
      </c>
      <c r="F33" s="4">
        <v>44164</v>
      </c>
      <c r="G33" t="s">
        <v>9</v>
      </c>
      <c r="H33">
        <v>47360</v>
      </c>
    </row>
    <row r="34" spans="2:8" x14ac:dyDescent="0.3">
      <c r="B34" t="s">
        <v>126</v>
      </c>
      <c r="C34" t="s">
        <v>8</v>
      </c>
      <c r="D34">
        <v>21</v>
      </c>
      <c r="E34" t="s">
        <v>16</v>
      </c>
      <c r="F34" s="4">
        <v>44256</v>
      </c>
      <c r="G34" t="s">
        <v>21</v>
      </c>
      <c r="H34">
        <v>65920</v>
      </c>
    </row>
    <row r="35" spans="2:8" x14ac:dyDescent="0.3">
      <c r="B35" t="s">
        <v>200</v>
      </c>
      <c r="C35" t="s">
        <v>8</v>
      </c>
      <c r="D35">
        <v>28</v>
      </c>
      <c r="E35" t="s">
        <v>16</v>
      </c>
      <c r="F35" s="4">
        <v>44571</v>
      </c>
      <c r="G35" t="s">
        <v>9</v>
      </c>
      <c r="H35">
        <v>99970</v>
      </c>
    </row>
    <row r="36" spans="2:8" x14ac:dyDescent="0.3">
      <c r="B36" t="s">
        <v>133</v>
      </c>
      <c r="C36" t="s">
        <v>8</v>
      </c>
      <c r="D36">
        <v>25</v>
      </c>
      <c r="E36" t="s">
        <v>13</v>
      </c>
      <c r="F36" s="4">
        <v>44633</v>
      </c>
      <c r="G36" t="s">
        <v>12</v>
      </c>
      <c r="H36">
        <v>80700</v>
      </c>
    </row>
    <row r="37" spans="2:8" x14ac:dyDescent="0.3">
      <c r="B37" t="s">
        <v>155</v>
      </c>
      <c r="C37" t="s">
        <v>15</v>
      </c>
      <c r="D37">
        <v>24</v>
      </c>
      <c r="E37" t="s">
        <v>24</v>
      </c>
      <c r="F37" s="4">
        <v>44375</v>
      </c>
      <c r="G37" t="s">
        <v>21</v>
      </c>
      <c r="H37">
        <v>52610</v>
      </c>
    </row>
    <row r="38" spans="2:8" x14ac:dyDescent="0.3">
      <c r="B38" t="s">
        <v>180</v>
      </c>
      <c r="C38" t="s">
        <v>15</v>
      </c>
      <c r="D38">
        <v>29</v>
      </c>
      <c r="E38" t="s">
        <v>24</v>
      </c>
      <c r="F38" s="4">
        <v>44119</v>
      </c>
      <c r="G38" t="s">
        <v>12</v>
      </c>
      <c r="H38">
        <v>112110</v>
      </c>
    </row>
    <row r="39" spans="2:8" x14ac:dyDescent="0.3">
      <c r="B39" t="s">
        <v>152</v>
      </c>
      <c r="C39" t="s">
        <v>8</v>
      </c>
      <c r="D39">
        <v>27</v>
      </c>
      <c r="E39" t="s">
        <v>16</v>
      </c>
      <c r="F39" s="4">
        <v>44061</v>
      </c>
      <c r="G39" t="s">
        <v>56</v>
      </c>
      <c r="H39">
        <v>119110</v>
      </c>
    </row>
    <row r="40" spans="2:8" x14ac:dyDescent="0.3">
      <c r="B40" t="s">
        <v>150</v>
      </c>
      <c r="C40" t="s">
        <v>15</v>
      </c>
      <c r="D40">
        <v>22</v>
      </c>
      <c r="E40" t="s">
        <v>13</v>
      </c>
      <c r="F40" s="4">
        <v>44384</v>
      </c>
      <c r="G40" t="s">
        <v>19</v>
      </c>
      <c r="H40">
        <v>112780</v>
      </c>
    </row>
    <row r="41" spans="2:8" x14ac:dyDescent="0.3">
      <c r="B41" t="s">
        <v>175</v>
      </c>
      <c r="C41" t="s">
        <v>8</v>
      </c>
      <c r="D41">
        <v>36</v>
      </c>
      <c r="E41" t="s">
        <v>16</v>
      </c>
      <c r="F41" s="4">
        <v>44023</v>
      </c>
      <c r="G41" t="s">
        <v>9</v>
      </c>
      <c r="H41">
        <v>114890</v>
      </c>
    </row>
    <row r="42" spans="2:8" x14ac:dyDescent="0.3">
      <c r="B42" t="s">
        <v>146</v>
      </c>
      <c r="C42" t="s">
        <v>15</v>
      </c>
      <c r="D42">
        <v>27</v>
      </c>
      <c r="E42" t="s">
        <v>16</v>
      </c>
      <c r="F42" s="4">
        <v>44506</v>
      </c>
      <c r="G42" t="s">
        <v>21</v>
      </c>
      <c r="H42">
        <v>48980</v>
      </c>
    </row>
    <row r="43" spans="2:8" x14ac:dyDescent="0.3">
      <c r="B43" t="s">
        <v>170</v>
      </c>
      <c r="C43" t="s">
        <v>15</v>
      </c>
      <c r="D43">
        <v>21</v>
      </c>
      <c r="E43" t="s">
        <v>16</v>
      </c>
      <c r="F43" s="4">
        <v>44180</v>
      </c>
      <c r="G43" t="s">
        <v>56</v>
      </c>
      <c r="H43">
        <v>75880</v>
      </c>
    </row>
    <row r="44" spans="2:8" x14ac:dyDescent="0.3">
      <c r="B44" t="s">
        <v>167</v>
      </c>
      <c r="C44" t="s">
        <v>8</v>
      </c>
      <c r="D44">
        <v>28</v>
      </c>
      <c r="E44" t="s">
        <v>16</v>
      </c>
      <c r="F44" s="4">
        <v>44296</v>
      </c>
      <c r="G44" t="s">
        <v>19</v>
      </c>
      <c r="H44">
        <v>53240</v>
      </c>
    </row>
    <row r="45" spans="2:8" x14ac:dyDescent="0.3">
      <c r="B45" t="s">
        <v>122</v>
      </c>
      <c r="C45" t="s">
        <v>8</v>
      </c>
      <c r="D45">
        <v>34</v>
      </c>
      <c r="E45" t="s">
        <v>16</v>
      </c>
      <c r="F45" s="4">
        <v>44397</v>
      </c>
      <c r="G45" t="s">
        <v>21</v>
      </c>
      <c r="H45">
        <v>85000</v>
      </c>
    </row>
    <row r="46" spans="2:8" x14ac:dyDescent="0.3">
      <c r="B46" t="s">
        <v>179</v>
      </c>
      <c r="C46" t="s">
        <v>8</v>
      </c>
      <c r="D46">
        <v>21</v>
      </c>
      <c r="E46" t="s">
        <v>16</v>
      </c>
      <c r="F46" s="4">
        <v>44619</v>
      </c>
      <c r="G46" t="s">
        <v>12</v>
      </c>
      <c r="H46">
        <v>33920</v>
      </c>
    </row>
    <row r="47" spans="2:8" x14ac:dyDescent="0.3">
      <c r="B47" t="s">
        <v>188</v>
      </c>
      <c r="C47" t="s">
        <v>8</v>
      </c>
      <c r="D47">
        <v>33</v>
      </c>
      <c r="E47" t="s">
        <v>16</v>
      </c>
      <c r="F47" s="4">
        <v>44253</v>
      </c>
      <c r="G47" t="s">
        <v>12</v>
      </c>
      <c r="H47">
        <v>75280</v>
      </c>
    </row>
    <row r="48" spans="2:8" x14ac:dyDescent="0.3">
      <c r="B48" t="s">
        <v>130</v>
      </c>
      <c r="C48" t="s">
        <v>8</v>
      </c>
      <c r="D48">
        <v>34</v>
      </c>
      <c r="E48" t="s">
        <v>16</v>
      </c>
      <c r="F48" s="4">
        <v>44594</v>
      </c>
      <c r="G48" t="s">
        <v>21</v>
      </c>
      <c r="H48">
        <v>58940</v>
      </c>
    </row>
    <row r="49" spans="2:8" x14ac:dyDescent="0.3">
      <c r="B49" t="s">
        <v>136</v>
      </c>
      <c r="C49" t="s">
        <v>8</v>
      </c>
      <c r="D49">
        <v>28</v>
      </c>
      <c r="E49" t="s">
        <v>16</v>
      </c>
      <c r="F49" s="4">
        <v>44425</v>
      </c>
      <c r="G49" t="s">
        <v>9</v>
      </c>
      <c r="H49">
        <v>104770</v>
      </c>
    </row>
    <row r="50" spans="2:8" x14ac:dyDescent="0.3">
      <c r="B50" t="s">
        <v>125</v>
      </c>
      <c r="C50" t="s">
        <v>15</v>
      </c>
      <c r="D50">
        <v>21</v>
      </c>
      <c r="E50" t="s">
        <v>16</v>
      </c>
      <c r="F50" s="4">
        <v>44701</v>
      </c>
      <c r="G50" t="s">
        <v>9</v>
      </c>
      <c r="H50">
        <v>57090</v>
      </c>
    </row>
    <row r="51" spans="2:8" x14ac:dyDescent="0.3">
      <c r="B51" t="s">
        <v>160</v>
      </c>
      <c r="C51" t="s">
        <v>15</v>
      </c>
      <c r="D51">
        <v>27</v>
      </c>
      <c r="E51" t="s">
        <v>13</v>
      </c>
      <c r="F51" s="4">
        <v>44174</v>
      </c>
      <c r="G51" t="s">
        <v>21</v>
      </c>
      <c r="H51">
        <v>91650</v>
      </c>
    </row>
    <row r="52" spans="2:8" x14ac:dyDescent="0.3">
      <c r="B52" t="s">
        <v>183</v>
      </c>
      <c r="C52" t="s">
        <v>15</v>
      </c>
      <c r="D52">
        <v>42</v>
      </c>
      <c r="E52" t="s">
        <v>24</v>
      </c>
      <c r="F52" s="4">
        <v>44670</v>
      </c>
      <c r="G52" t="s">
        <v>21</v>
      </c>
      <c r="H52">
        <v>70270</v>
      </c>
    </row>
    <row r="53" spans="2:8" x14ac:dyDescent="0.3">
      <c r="B53" t="s">
        <v>129</v>
      </c>
      <c r="C53" t="s">
        <v>8</v>
      </c>
      <c r="D53">
        <v>28</v>
      </c>
      <c r="E53" t="s">
        <v>16</v>
      </c>
      <c r="F53" s="4">
        <v>44124</v>
      </c>
      <c r="G53" t="s">
        <v>21</v>
      </c>
      <c r="H53">
        <v>75970</v>
      </c>
    </row>
    <row r="54" spans="2:8" x14ac:dyDescent="0.3">
      <c r="B54" t="s">
        <v>112</v>
      </c>
      <c r="D54">
        <v>27</v>
      </c>
      <c r="E54" t="s">
        <v>13</v>
      </c>
      <c r="F54" s="4">
        <v>44212</v>
      </c>
      <c r="G54" t="s">
        <v>12</v>
      </c>
      <c r="H54">
        <v>90700</v>
      </c>
    </row>
    <row r="55" spans="2:8" x14ac:dyDescent="0.3">
      <c r="B55" t="s">
        <v>131</v>
      </c>
      <c r="C55" t="s">
        <v>15</v>
      </c>
      <c r="D55">
        <v>30</v>
      </c>
      <c r="E55" t="s">
        <v>16</v>
      </c>
      <c r="F55" s="4">
        <v>44607</v>
      </c>
      <c r="G55" t="s">
        <v>9</v>
      </c>
      <c r="H55">
        <v>60570</v>
      </c>
    </row>
    <row r="56" spans="2:8" x14ac:dyDescent="0.3">
      <c r="B56" t="s">
        <v>134</v>
      </c>
      <c r="C56" t="s">
        <v>15</v>
      </c>
      <c r="D56">
        <v>33</v>
      </c>
      <c r="E56" t="s">
        <v>16</v>
      </c>
      <c r="F56" s="4">
        <v>44103</v>
      </c>
      <c r="G56" t="s">
        <v>9</v>
      </c>
      <c r="H56">
        <v>115920</v>
      </c>
    </row>
    <row r="57" spans="2:8" x14ac:dyDescent="0.3">
      <c r="B57" t="s">
        <v>186</v>
      </c>
      <c r="C57" t="s">
        <v>8</v>
      </c>
      <c r="D57">
        <v>33</v>
      </c>
      <c r="E57" t="s">
        <v>16</v>
      </c>
      <c r="F57" s="4">
        <v>44006</v>
      </c>
      <c r="G57" t="s">
        <v>21</v>
      </c>
      <c r="H57">
        <v>65360</v>
      </c>
    </row>
    <row r="58" spans="2:8" x14ac:dyDescent="0.3">
      <c r="B58" t="s">
        <v>116</v>
      </c>
      <c r="D58">
        <v>30</v>
      </c>
      <c r="E58" t="s">
        <v>16</v>
      </c>
      <c r="F58" s="4">
        <v>44535</v>
      </c>
      <c r="G58" t="s">
        <v>21</v>
      </c>
      <c r="H58">
        <v>64000</v>
      </c>
    </row>
    <row r="59" spans="2:8" x14ac:dyDescent="0.3">
      <c r="B59" t="s">
        <v>195</v>
      </c>
      <c r="C59" t="s">
        <v>8</v>
      </c>
      <c r="D59">
        <v>34</v>
      </c>
      <c r="E59" t="s">
        <v>16</v>
      </c>
      <c r="F59" s="4">
        <v>44383</v>
      </c>
      <c r="G59" t="s">
        <v>21</v>
      </c>
      <c r="H59">
        <v>92450</v>
      </c>
    </row>
    <row r="60" spans="2:8" x14ac:dyDescent="0.3">
      <c r="B60" t="s">
        <v>113</v>
      </c>
      <c r="C60" t="s">
        <v>15</v>
      </c>
      <c r="D60">
        <v>31</v>
      </c>
      <c r="E60" t="s">
        <v>16</v>
      </c>
      <c r="F60" s="4">
        <v>44450</v>
      </c>
      <c r="G60" t="s">
        <v>12</v>
      </c>
      <c r="H60">
        <v>48950</v>
      </c>
    </row>
    <row r="61" spans="2:8" x14ac:dyDescent="0.3">
      <c r="B61" t="s">
        <v>185</v>
      </c>
      <c r="C61" t="s">
        <v>8</v>
      </c>
      <c r="D61">
        <v>27</v>
      </c>
      <c r="E61" t="s">
        <v>16</v>
      </c>
      <c r="F61" s="4">
        <v>44625</v>
      </c>
      <c r="G61" t="s">
        <v>12</v>
      </c>
      <c r="H61">
        <v>83750</v>
      </c>
    </row>
    <row r="62" spans="2:8" x14ac:dyDescent="0.3">
      <c r="B62" t="s">
        <v>166</v>
      </c>
      <c r="C62" t="s">
        <v>8</v>
      </c>
      <c r="D62">
        <v>40</v>
      </c>
      <c r="E62" t="s">
        <v>16</v>
      </c>
      <c r="F62" s="4">
        <v>44276</v>
      </c>
      <c r="G62" t="s">
        <v>12</v>
      </c>
      <c r="H62">
        <v>87620</v>
      </c>
    </row>
    <row r="63" spans="2:8" x14ac:dyDescent="0.3">
      <c r="B63" t="s">
        <v>184</v>
      </c>
      <c r="C63" t="s">
        <v>8</v>
      </c>
      <c r="D63">
        <v>20</v>
      </c>
      <c r="E63" t="s">
        <v>24</v>
      </c>
      <c r="F63" s="4">
        <v>44476</v>
      </c>
      <c r="G63" t="s">
        <v>19</v>
      </c>
      <c r="H63">
        <v>68900</v>
      </c>
    </row>
    <row r="64" spans="2:8" x14ac:dyDescent="0.3">
      <c r="B64" t="s">
        <v>157</v>
      </c>
      <c r="C64" t="s">
        <v>15</v>
      </c>
      <c r="D64">
        <v>32</v>
      </c>
      <c r="E64" t="s">
        <v>16</v>
      </c>
      <c r="F64" s="4">
        <v>44403</v>
      </c>
      <c r="G64" t="s">
        <v>19</v>
      </c>
      <c r="H64">
        <v>53540</v>
      </c>
    </row>
    <row r="65" spans="2:8" x14ac:dyDescent="0.3">
      <c r="B65" t="s">
        <v>172</v>
      </c>
      <c r="C65" t="s">
        <v>15</v>
      </c>
      <c r="D65">
        <v>28</v>
      </c>
      <c r="E65" t="s">
        <v>42</v>
      </c>
      <c r="F65" s="4">
        <v>44758</v>
      </c>
      <c r="G65" t="s">
        <v>19</v>
      </c>
      <c r="H65">
        <v>43510</v>
      </c>
    </row>
    <row r="66" spans="2:8" x14ac:dyDescent="0.3">
      <c r="B66" t="s">
        <v>127</v>
      </c>
      <c r="C66" t="s">
        <v>8</v>
      </c>
      <c r="D66">
        <v>38</v>
      </c>
      <c r="E66" t="s">
        <v>10</v>
      </c>
      <c r="F66" s="4">
        <v>44316</v>
      </c>
      <c r="G66" t="s">
        <v>19</v>
      </c>
      <c r="H66">
        <v>109160</v>
      </c>
    </row>
    <row r="67" spans="2:8" x14ac:dyDescent="0.3">
      <c r="B67" t="s">
        <v>198</v>
      </c>
      <c r="C67" t="s">
        <v>15</v>
      </c>
      <c r="D67">
        <v>40</v>
      </c>
      <c r="E67" t="s">
        <v>16</v>
      </c>
      <c r="F67" s="4">
        <v>44204</v>
      </c>
      <c r="G67" t="s">
        <v>9</v>
      </c>
      <c r="H67">
        <v>99750</v>
      </c>
    </row>
    <row r="68" spans="2:8" x14ac:dyDescent="0.3">
      <c r="B68" t="s">
        <v>124</v>
      </c>
      <c r="C68" t="s">
        <v>8</v>
      </c>
      <c r="D68">
        <v>31</v>
      </c>
      <c r="E68" t="s">
        <v>16</v>
      </c>
      <c r="F68" s="4">
        <v>44084</v>
      </c>
      <c r="G68" t="s">
        <v>12</v>
      </c>
      <c r="H68">
        <v>41980</v>
      </c>
    </row>
    <row r="69" spans="2:8" x14ac:dyDescent="0.3">
      <c r="B69" t="s">
        <v>187</v>
      </c>
      <c r="C69" t="s">
        <v>15</v>
      </c>
      <c r="D69">
        <v>36</v>
      </c>
      <c r="E69" t="s">
        <v>16</v>
      </c>
      <c r="F69" s="4">
        <v>44272</v>
      </c>
      <c r="G69" t="s">
        <v>21</v>
      </c>
      <c r="H69">
        <v>71380</v>
      </c>
    </row>
    <row r="70" spans="2:8" x14ac:dyDescent="0.3">
      <c r="B70" t="s">
        <v>191</v>
      </c>
      <c r="C70" t="s">
        <v>15</v>
      </c>
      <c r="D70">
        <v>27</v>
      </c>
      <c r="E70" t="s">
        <v>42</v>
      </c>
      <c r="F70" s="4">
        <v>44547</v>
      </c>
      <c r="G70" t="s">
        <v>9</v>
      </c>
      <c r="H70">
        <v>113280</v>
      </c>
    </row>
    <row r="71" spans="2:8" x14ac:dyDescent="0.3">
      <c r="B71" t="s">
        <v>181</v>
      </c>
      <c r="C71" t="s">
        <v>8</v>
      </c>
      <c r="D71">
        <v>33</v>
      </c>
      <c r="E71" t="s">
        <v>16</v>
      </c>
      <c r="F71" s="4">
        <v>44747</v>
      </c>
      <c r="G71" t="s">
        <v>21</v>
      </c>
      <c r="H71">
        <v>86570</v>
      </c>
    </row>
    <row r="72" spans="2:8" x14ac:dyDescent="0.3">
      <c r="B72" t="s">
        <v>139</v>
      </c>
      <c r="C72" t="s">
        <v>15</v>
      </c>
      <c r="D72">
        <v>26</v>
      </c>
      <c r="E72" t="s">
        <v>16</v>
      </c>
      <c r="F72" s="4">
        <v>44350</v>
      </c>
      <c r="G72" t="s">
        <v>9</v>
      </c>
      <c r="H72">
        <v>53540</v>
      </c>
    </row>
    <row r="73" spans="2:8" x14ac:dyDescent="0.3">
      <c r="B73" t="s">
        <v>190</v>
      </c>
      <c r="C73" t="s">
        <v>15</v>
      </c>
      <c r="D73">
        <v>37</v>
      </c>
      <c r="E73" t="s">
        <v>16</v>
      </c>
      <c r="F73" s="4">
        <v>44640</v>
      </c>
      <c r="G73" t="s">
        <v>12</v>
      </c>
      <c r="H73">
        <v>69070</v>
      </c>
    </row>
    <row r="74" spans="2:8" x14ac:dyDescent="0.3">
      <c r="B74" t="s">
        <v>121</v>
      </c>
      <c r="C74" t="s">
        <v>8</v>
      </c>
      <c r="D74">
        <v>30</v>
      </c>
      <c r="E74" t="s">
        <v>24</v>
      </c>
      <c r="F74" s="4">
        <v>44328</v>
      </c>
      <c r="G74" t="s">
        <v>21</v>
      </c>
      <c r="H74">
        <v>67910</v>
      </c>
    </row>
    <row r="75" spans="2:8" x14ac:dyDescent="0.3">
      <c r="B75" t="s">
        <v>119</v>
      </c>
      <c r="C75" t="s">
        <v>15</v>
      </c>
      <c r="D75">
        <v>30</v>
      </c>
      <c r="E75" t="s">
        <v>16</v>
      </c>
      <c r="F75" s="4">
        <v>44214</v>
      </c>
      <c r="G75" t="s">
        <v>12</v>
      </c>
      <c r="H75">
        <v>69120</v>
      </c>
    </row>
    <row r="76" spans="2:8" x14ac:dyDescent="0.3">
      <c r="B76" t="s">
        <v>132</v>
      </c>
      <c r="C76" t="s">
        <v>8</v>
      </c>
      <c r="D76">
        <v>34</v>
      </c>
      <c r="E76" t="s">
        <v>16</v>
      </c>
      <c r="F76" s="4">
        <v>44550</v>
      </c>
      <c r="G76" t="s">
        <v>21</v>
      </c>
      <c r="H76">
        <v>60130</v>
      </c>
    </row>
    <row r="77" spans="2:8" x14ac:dyDescent="0.3">
      <c r="B77" t="s">
        <v>161</v>
      </c>
      <c r="C77" t="s">
        <v>15</v>
      </c>
      <c r="D77">
        <v>23</v>
      </c>
      <c r="E77" t="s">
        <v>16</v>
      </c>
      <c r="F77" s="4">
        <v>44378</v>
      </c>
      <c r="G77" t="s">
        <v>9</v>
      </c>
      <c r="H77">
        <v>106460</v>
      </c>
    </row>
    <row r="78" spans="2:8" x14ac:dyDescent="0.3">
      <c r="B78" t="s">
        <v>148</v>
      </c>
      <c r="C78" t="s">
        <v>8</v>
      </c>
      <c r="D78">
        <v>37</v>
      </c>
      <c r="E78" t="s">
        <v>16</v>
      </c>
      <c r="F78" s="4">
        <v>44389</v>
      </c>
      <c r="G78" t="s">
        <v>56</v>
      </c>
      <c r="H78">
        <v>118100</v>
      </c>
    </row>
    <row r="79" spans="2:8" x14ac:dyDescent="0.3">
      <c r="B79" t="s">
        <v>164</v>
      </c>
      <c r="C79" t="s">
        <v>8</v>
      </c>
      <c r="D79">
        <v>36</v>
      </c>
      <c r="E79" t="s">
        <v>16</v>
      </c>
      <c r="F79" s="4">
        <v>44468</v>
      </c>
      <c r="G79" t="s">
        <v>9</v>
      </c>
      <c r="H79">
        <v>78390</v>
      </c>
    </row>
    <row r="80" spans="2:8" x14ac:dyDescent="0.3">
      <c r="B80" t="s">
        <v>147</v>
      </c>
      <c r="C80" t="s">
        <v>8</v>
      </c>
      <c r="D80">
        <v>30</v>
      </c>
      <c r="E80" t="s">
        <v>16</v>
      </c>
      <c r="F80" s="4">
        <v>44789</v>
      </c>
      <c r="G80" t="s">
        <v>9</v>
      </c>
      <c r="H80">
        <v>114180</v>
      </c>
    </row>
    <row r="81" spans="2:8" x14ac:dyDescent="0.3">
      <c r="B81" t="s">
        <v>189</v>
      </c>
      <c r="C81" t="s">
        <v>8</v>
      </c>
      <c r="D81">
        <v>28</v>
      </c>
      <c r="E81" t="s">
        <v>16</v>
      </c>
      <c r="F81" s="4">
        <v>44590</v>
      </c>
      <c r="G81" t="s">
        <v>9</v>
      </c>
      <c r="H81">
        <v>104120</v>
      </c>
    </row>
    <row r="82" spans="2:8" x14ac:dyDescent="0.3">
      <c r="B82" t="s">
        <v>138</v>
      </c>
      <c r="C82" t="s">
        <v>15</v>
      </c>
      <c r="D82">
        <v>30</v>
      </c>
      <c r="E82" t="s">
        <v>16</v>
      </c>
      <c r="F82" s="4">
        <v>44640</v>
      </c>
      <c r="G82" t="s">
        <v>9</v>
      </c>
      <c r="H82">
        <v>67950</v>
      </c>
    </row>
    <row r="83" spans="2:8" x14ac:dyDescent="0.3">
      <c r="B83" t="s">
        <v>137</v>
      </c>
      <c r="C83" t="s">
        <v>8</v>
      </c>
      <c r="D83">
        <v>29</v>
      </c>
      <c r="E83" t="s">
        <v>16</v>
      </c>
      <c r="F83" s="4">
        <v>43962</v>
      </c>
      <c r="G83" t="s">
        <v>12</v>
      </c>
      <c r="H83">
        <v>34980</v>
      </c>
    </row>
    <row r="84" spans="2:8" x14ac:dyDescent="0.3">
      <c r="B84" t="s">
        <v>153</v>
      </c>
      <c r="C84" t="s">
        <v>8</v>
      </c>
      <c r="D84">
        <v>24</v>
      </c>
      <c r="E84" t="s">
        <v>16</v>
      </c>
      <c r="F84" s="4">
        <v>44087</v>
      </c>
      <c r="G84" t="s">
        <v>12</v>
      </c>
      <c r="H84">
        <v>62780</v>
      </c>
    </row>
    <row r="85" spans="2:8" x14ac:dyDescent="0.3">
      <c r="B85" t="s">
        <v>117</v>
      </c>
      <c r="C85" t="s">
        <v>15</v>
      </c>
      <c r="D85">
        <v>20</v>
      </c>
      <c r="E85" t="s">
        <v>16</v>
      </c>
      <c r="F85" s="4">
        <v>44397</v>
      </c>
      <c r="G85" t="s">
        <v>12</v>
      </c>
      <c r="H85">
        <v>107700</v>
      </c>
    </row>
    <row r="86" spans="2:8" x14ac:dyDescent="0.3">
      <c r="B86" t="s">
        <v>168</v>
      </c>
      <c r="C86" t="s">
        <v>15</v>
      </c>
      <c r="D86">
        <v>25</v>
      </c>
      <c r="E86" t="s">
        <v>16</v>
      </c>
      <c r="F86" s="4">
        <v>44322</v>
      </c>
      <c r="G86" t="s">
        <v>19</v>
      </c>
      <c r="H86">
        <v>65700</v>
      </c>
    </row>
    <row r="87" spans="2:8" x14ac:dyDescent="0.3">
      <c r="B87" t="s">
        <v>135</v>
      </c>
      <c r="C87" t="s">
        <v>8</v>
      </c>
      <c r="D87">
        <v>33</v>
      </c>
      <c r="E87" t="s">
        <v>42</v>
      </c>
      <c r="F87" s="4">
        <v>44313</v>
      </c>
      <c r="G87" t="s">
        <v>12</v>
      </c>
      <c r="H87">
        <v>75480</v>
      </c>
    </row>
    <row r="88" spans="2:8" x14ac:dyDescent="0.3">
      <c r="B88" t="s">
        <v>174</v>
      </c>
      <c r="C88" t="s">
        <v>15</v>
      </c>
      <c r="D88">
        <v>33</v>
      </c>
      <c r="E88" t="s">
        <v>16</v>
      </c>
      <c r="F88" s="4">
        <v>44448</v>
      </c>
      <c r="G88" t="s">
        <v>12</v>
      </c>
      <c r="H88">
        <v>53870</v>
      </c>
    </row>
    <row r="89" spans="2:8" x14ac:dyDescent="0.3">
      <c r="B89" t="s">
        <v>141</v>
      </c>
      <c r="C89" t="s">
        <v>8</v>
      </c>
      <c r="D89">
        <v>36</v>
      </c>
      <c r="E89" t="s">
        <v>16</v>
      </c>
      <c r="F89" s="4">
        <v>44433</v>
      </c>
      <c r="G89" t="s">
        <v>19</v>
      </c>
      <c r="H89">
        <v>78540</v>
      </c>
    </row>
    <row r="90" spans="2:8" x14ac:dyDescent="0.3">
      <c r="B90" t="s">
        <v>193</v>
      </c>
      <c r="C90" t="s">
        <v>15</v>
      </c>
      <c r="D90">
        <v>19</v>
      </c>
      <c r="E90" t="s">
        <v>16</v>
      </c>
      <c r="F90" s="4">
        <v>44218</v>
      </c>
      <c r="G90" t="s">
        <v>9</v>
      </c>
      <c r="H90">
        <v>58960</v>
      </c>
    </row>
    <row r="91" spans="2:8" x14ac:dyDescent="0.3">
      <c r="B91" t="s">
        <v>162</v>
      </c>
      <c r="C91" t="s">
        <v>15</v>
      </c>
      <c r="D91">
        <v>46</v>
      </c>
      <c r="E91" t="s">
        <v>16</v>
      </c>
      <c r="F91" s="4">
        <v>44697</v>
      </c>
      <c r="G91" t="s">
        <v>9</v>
      </c>
      <c r="H91">
        <v>70610</v>
      </c>
    </row>
    <row r="92" spans="2:8" x14ac:dyDescent="0.3">
      <c r="B92" t="s">
        <v>171</v>
      </c>
      <c r="C92" t="s">
        <v>15</v>
      </c>
      <c r="D92">
        <v>33</v>
      </c>
      <c r="E92" t="s">
        <v>16</v>
      </c>
      <c r="F92" s="4">
        <v>44181</v>
      </c>
      <c r="G92" t="s">
        <v>21</v>
      </c>
      <c r="H92">
        <v>59430</v>
      </c>
    </row>
    <row r="93" spans="2:8" x14ac:dyDescent="0.3">
      <c r="B93" t="s">
        <v>144</v>
      </c>
      <c r="C93" t="s">
        <v>15</v>
      </c>
      <c r="D93">
        <v>33</v>
      </c>
      <c r="E93" t="s">
        <v>13</v>
      </c>
      <c r="F93" s="4">
        <v>44640</v>
      </c>
      <c r="G93" t="s">
        <v>9</v>
      </c>
      <c r="H93">
        <v>48530</v>
      </c>
    </row>
    <row r="94" spans="2:8" x14ac:dyDescent="0.3">
      <c r="B94" t="s">
        <v>163</v>
      </c>
      <c r="C94" t="s">
        <v>8</v>
      </c>
      <c r="D94">
        <v>33</v>
      </c>
      <c r="E94" t="s">
        <v>16</v>
      </c>
      <c r="F94" s="4">
        <v>44129</v>
      </c>
      <c r="G94" t="s">
        <v>12</v>
      </c>
      <c r="H94">
        <v>96140</v>
      </c>
    </row>
    <row r="95" spans="2:8" x14ac:dyDescent="0.3">
      <c r="B95" t="s">
        <v>156</v>
      </c>
      <c r="C95" t="s">
        <v>15</v>
      </c>
      <c r="D95">
        <v>20</v>
      </c>
      <c r="E95" t="s">
        <v>16</v>
      </c>
      <c r="F95" s="4">
        <v>44122</v>
      </c>
      <c r="G95" t="s">
        <v>12</v>
      </c>
      <c r="H95">
        <v>112650</v>
      </c>
    </row>
    <row r="96" spans="2:8" x14ac:dyDescent="0.3">
      <c r="B96" t="s">
        <v>176</v>
      </c>
      <c r="C96" t="s">
        <v>8</v>
      </c>
      <c r="D96">
        <v>32</v>
      </c>
      <c r="E96" t="s">
        <v>13</v>
      </c>
      <c r="F96" s="4">
        <v>44293</v>
      </c>
      <c r="G96" t="s">
        <v>12</v>
      </c>
      <c r="H96">
        <v>43840</v>
      </c>
    </row>
    <row r="97" spans="2:8" x14ac:dyDescent="0.3">
      <c r="B97" t="s">
        <v>143</v>
      </c>
      <c r="C97" t="s">
        <v>15</v>
      </c>
      <c r="D97">
        <v>31</v>
      </c>
      <c r="E97" t="s">
        <v>16</v>
      </c>
      <c r="F97" s="4">
        <v>44663</v>
      </c>
      <c r="G97" t="s">
        <v>9</v>
      </c>
      <c r="H97">
        <v>103550</v>
      </c>
    </row>
    <row r="98" spans="2:8" x14ac:dyDescent="0.3">
      <c r="B98" t="s">
        <v>201</v>
      </c>
      <c r="C98" t="s">
        <v>8</v>
      </c>
      <c r="D98">
        <v>32</v>
      </c>
      <c r="E98" t="s">
        <v>16</v>
      </c>
      <c r="F98" s="4">
        <v>44339</v>
      </c>
      <c r="G98" t="s">
        <v>56</v>
      </c>
      <c r="H98">
        <v>45510</v>
      </c>
    </row>
    <row r="99" spans="2:8" x14ac:dyDescent="0.3">
      <c r="B99" t="s">
        <v>142</v>
      </c>
      <c r="D99">
        <v>37</v>
      </c>
      <c r="E99" t="s">
        <v>24</v>
      </c>
      <c r="F99" s="4">
        <v>44085</v>
      </c>
      <c r="G99" t="s">
        <v>21</v>
      </c>
      <c r="H99">
        <v>115440</v>
      </c>
    </row>
    <row r="100" spans="2:8" x14ac:dyDescent="0.3">
      <c r="B100" t="s">
        <v>202</v>
      </c>
      <c r="C100" t="s">
        <v>8</v>
      </c>
      <c r="D100">
        <v>38</v>
      </c>
      <c r="E100" t="s">
        <v>13</v>
      </c>
      <c r="F100" s="4">
        <v>44268</v>
      </c>
      <c r="G100" t="s">
        <v>19</v>
      </c>
      <c r="H100">
        <v>56870</v>
      </c>
    </row>
    <row r="101" spans="2:8" x14ac:dyDescent="0.3">
      <c r="B101" t="s">
        <v>169</v>
      </c>
      <c r="C101" t="s">
        <v>8</v>
      </c>
      <c r="D101">
        <v>25</v>
      </c>
      <c r="E101" t="s">
        <v>16</v>
      </c>
      <c r="F101" s="4">
        <v>44144</v>
      </c>
      <c r="G101" t="s">
        <v>19</v>
      </c>
      <c r="H101">
        <v>92700</v>
      </c>
    </row>
    <row r="102" spans="2:8" x14ac:dyDescent="0.3">
      <c r="B102" t="s">
        <v>145</v>
      </c>
      <c r="D102">
        <v>32</v>
      </c>
      <c r="E102" t="s">
        <v>16</v>
      </c>
      <c r="F102" s="4">
        <v>44713</v>
      </c>
      <c r="G102" t="s">
        <v>12</v>
      </c>
      <c r="H102">
        <v>91310</v>
      </c>
    </row>
    <row r="103" spans="2:8" x14ac:dyDescent="0.3">
      <c r="B103" t="s">
        <v>115</v>
      </c>
      <c r="C103" t="s">
        <v>15</v>
      </c>
      <c r="D103">
        <v>33</v>
      </c>
      <c r="E103" t="s">
        <v>16</v>
      </c>
      <c r="F103" s="4">
        <v>44324</v>
      </c>
      <c r="G103" t="s">
        <v>19</v>
      </c>
      <c r="H103">
        <v>74550</v>
      </c>
    </row>
    <row r="104" spans="2:8" x14ac:dyDescent="0.3">
      <c r="B104" t="s">
        <v>128</v>
      </c>
      <c r="C104" t="s">
        <v>15</v>
      </c>
      <c r="D104">
        <v>25</v>
      </c>
      <c r="E104" t="s">
        <v>13</v>
      </c>
      <c r="F104" s="4">
        <v>44665</v>
      </c>
      <c r="G104" t="s">
        <v>9</v>
      </c>
      <c r="H104">
        <v>109190</v>
      </c>
    </row>
    <row r="105" spans="2:8" x14ac:dyDescent="0.3">
      <c r="B105" t="s">
        <v>194</v>
      </c>
      <c r="C105" t="s">
        <v>8</v>
      </c>
      <c r="D105">
        <v>40</v>
      </c>
      <c r="E105" t="s">
        <v>16</v>
      </c>
      <c r="F105" s="4">
        <v>44320</v>
      </c>
      <c r="G105" t="s">
        <v>12</v>
      </c>
      <c r="H105">
        <v>104410</v>
      </c>
    </row>
    <row r="106" spans="2:8" x14ac:dyDescent="0.3">
      <c r="B106" t="s">
        <v>177</v>
      </c>
      <c r="C106" t="s">
        <v>15</v>
      </c>
      <c r="D106">
        <v>30</v>
      </c>
      <c r="E106" t="s">
        <v>16</v>
      </c>
      <c r="F106" s="4">
        <v>44544</v>
      </c>
      <c r="G106" t="s">
        <v>21</v>
      </c>
      <c r="H106">
        <v>96800</v>
      </c>
    </row>
    <row r="107" spans="2:8" x14ac:dyDescent="0.3">
      <c r="B107" t="s">
        <v>123</v>
      </c>
      <c r="C107" t="s">
        <v>15</v>
      </c>
      <c r="D107">
        <v>28</v>
      </c>
      <c r="E107" t="s">
        <v>13</v>
      </c>
      <c r="F107" s="4">
        <v>43980</v>
      </c>
      <c r="G107" t="s">
        <v>21</v>
      </c>
      <c r="H107">
        <v>48170</v>
      </c>
    </row>
    <row r="108" spans="2:8" x14ac:dyDescent="0.3">
      <c r="B108" t="s">
        <v>140</v>
      </c>
      <c r="C108" t="s">
        <v>15</v>
      </c>
      <c r="D108">
        <v>21</v>
      </c>
      <c r="E108" t="s">
        <v>16</v>
      </c>
      <c r="F108" s="4">
        <v>44042</v>
      </c>
      <c r="G108" t="s">
        <v>9</v>
      </c>
      <c r="H108">
        <v>37920</v>
      </c>
    </row>
    <row r="109" spans="2:8" x14ac:dyDescent="0.3">
      <c r="B109" t="s">
        <v>178</v>
      </c>
      <c r="C109" t="s">
        <v>15</v>
      </c>
      <c r="D109">
        <v>34</v>
      </c>
      <c r="E109" t="s">
        <v>16</v>
      </c>
      <c r="F109" s="4">
        <v>44642</v>
      </c>
      <c r="G109" t="s">
        <v>9</v>
      </c>
      <c r="H109">
        <v>112650</v>
      </c>
    </row>
    <row r="110" spans="2:8" x14ac:dyDescent="0.3">
      <c r="B110" t="s">
        <v>165</v>
      </c>
      <c r="C110" t="s">
        <v>8</v>
      </c>
      <c r="D110">
        <v>34</v>
      </c>
      <c r="E110" t="s">
        <v>24</v>
      </c>
      <c r="F110" s="4">
        <v>44660</v>
      </c>
      <c r="G110" t="s">
        <v>19</v>
      </c>
      <c r="H110">
        <v>49630</v>
      </c>
    </row>
    <row r="111" spans="2:8" x14ac:dyDescent="0.3">
      <c r="B111" t="s">
        <v>199</v>
      </c>
      <c r="C111" t="s">
        <v>15</v>
      </c>
      <c r="D111">
        <v>36</v>
      </c>
      <c r="E111" t="s">
        <v>16</v>
      </c>
      <c r="F111" s="4">
        <v>43958</v>
      </c>
      <c r="G111" t="s">
        <v>12</v>
      </c>
      <c r="H111">
        <v>118840</v>
      </c>
    </row>
    <row r="112" spans="2:8" x14ac:dyDescent="0.3">
      <c r="B112" t="s">
        <v>159</v>
      </c>
      <c r="C112" t="s">
        <v>15</v>
      </c>
      <c r="D112">
        <v>30</v>
      </c>
      <c r="E112" t="s">
        <v>16</v>
      </c>
      <c r="F112" s="4">
        <v>44789</v>
      </c>
      <c r="G112" t="s">
        <v>12</v>
      </c>
      <c r="H112">
        <v>69710</v>
      </c>
    </row>
    <row r="113" spans="2:8" x14ac:dyDescent="0.3">
      <c r="B113" t="s">
        <v>197</v>
      </c>
      <c r="C113" t="s">
        <v>15</v>
      </c>
      <c r="D113">
        <v>20</v>
      </c>
      <c r="E113" t="s">
        <v>16</v>
      </c>
      <c r="F113" s="4">
        <v>44683</v>
      </c>
      <c r="G113" t="s">
        <v>9</v>
      </c>
      <c r="H113">
        <v>79570</v>
      </c>
    </row>
    <row r="114" spans="2:8" x14ac:dyDescent="0.3">
      <c r="B114" t="s">
        <v>154</v>
      </c>
      <c r="C114" t="s">
        <v>8</v>
      </c>
      <c r="D114">
        <v>22</v>
      </c>
      <c r="E114" t="s">
        <v>13</v>
      </c>
      <c r="F114" s="4">
        <v>44388</v>
      </c>
      <c r="G114" t="s">
        <v>9</v>
      </c>
      <c r="H114">
        <v>76900</v>
      </c>
    </row>
  </sheetData>
  <conditionalFormatting sqref="B3:B114">
    <cfRule type="duplicateValues" dxfId="0"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09B68-77E9-49E4-AB59-97C4345F0DBD}">
  <sheetPr>
    <tabColor theme="5" tint="-0.249977111117893"/>
  </sheetPr>
  <dimension ref="A1:AC184"/>
  <sheetViews>
    <sheetView workbookViewId="0">
      <selection activeCell="K1" activeCellId="1" sqref="G1:G1048576 K1:K1048576"/>
    </sheetView>
  </sheetViews>
  <sheetFormatPr defaultRowHeight="14.4" x14ac:dyDescent="0.3"/>
  <cols>
    <col min="1" max="1" width="27.21875" style="19" bestFit="1" customWidth="1"/>
    <col min="2" max="2" width="9.33203125" style="19" bestFit="1" customWidth="1"/>
    <col min="3" max="3" width="6.44140625" style="19" bestFit="1" customWidth="1"/>
    <col min="4" max="4" width="13.109375" style="19" bestFit="1" customWidth="1"/>
    <col min="5" max="5" width="13" style="19" bestFit="1" customWidth="1"/>
    <col min="6" max="6" width="13.33203125" style="19" bestFit="1" customWidth="1"/>
    <col min="7" max="7" width="11.88671875" style="19" bestFit="1" customWidth="1"/>
    <col min="8" max="8" width="10" style="19" bestFit="1" customWidth="1"/>
    <col min="9" max="9" width="10.33203125" style="19" bestFit="1" customWidth="1"/>
    <col min="10" max="10" width="9.33203125" style="19" customWidth="1"/>
    <col min="11" max="11" width="15.77734375" bestFit="1" customWidth="1"/>
    <col min="14" max="14" width="15" bestFit="1" customWidth="1"/>
    <col min="15" max="15" width="13.109375" bestFit="1" customWidth="1"/>
    <col min="17" max="17" width="13.109375" bestFit="1" customWidth="1"/>
    <col min="18" max="18" width="10.33203125" bestFit="1" customWidth="1"/>
    <col min="19" max="19" width="8.109375" bestFit="1" customWidth="1"/>
    <col min="20" max="20" width="6" bestFit="1" customWidth="1"/>
    <col min="21" max="21" width="4.109375" bestFit="1" customWidth="1"/>
  </cols>
  <sheetData>
    <row r="1" spans="1:29" x14ac:dyDescent="0.3">
      <c r="A1" s="19" t="s">
        <v>0</v>
      </c>
      <c r="B1" s="19" t="s">
        <v>1</v>
      </c>
      <c r="C1" s="19" t="s">
        <v>3</v>
      </c>
      <c r="D1" s="19" t="s">
        <v>6</v>
      </c>
      <c r="E1" s="19" t="s">
        <v>4</v>
      </c>
      <c r="F1" s="19" t="s">
        <v>2</v>
      </c>
      <c r="G1" s="19" t="s">
        <v>5</v>
      </c>
      <c r="H1" s="19" t="s">
        <v>204</v>
      </c>
      <c r="I1" s="19" t="s">
        <v>208</v>
      </c>
      <c r="J1" s="19" t="s">
        <v>226</v>
      </c>
      <c r="K1" s="19" t="s">
        <v>228</v>
      </c>
    </row>
    <row r="2" spans="1:29" x14ac:dyDescent="0.3">
      <c r="A2" s="19" t="s">
        <v>156</v>
      </c>
      <c r="B2" s="19" t="s">
        <v>15</v>
      </c>
      <c r="C2" s="19">
        <v>20</v>
      </c>
      <c r="D2" s="19" t="s">
        <v>16</v>
      </c>
      <c r="E2" s="22">
        <v>44122</v>
      </c>
      <c r="F2" s="19" t="s">
        <v>12</v>
      </c>
      <c r="G2" s="21">
        <v>112650</v>
      </c>
      <c r="H2" s="19" t="s">
        <v>205</v>
      </c>
      <c r="I2" s="23">
        <f ca="1">(TODAY()-Staffs[[#This Row],[Date Joined]])/365</f>
        <v>3.4</v>
      </c>
      <c r="J2" s="21">
        <f ca="1">ROUNDUP(IF(Staffs[[#This Row],[Tenure]]&gt;2,"3%","2%")*Staffs[[#This Row],[Salary]],0)</f>
        <v>3380</v>
      </c>
      <c r="K2" s="19">
        <f>_xlfn.XLOOKUP(Staffs[[#This Row],[Rating]],$N$28:$N$32,$O$28:$O$32)</f>
        <v>3</v>
      </c>
    </row>
    <row r="3" spans="1:29" x14ac:dyDescent="0.3">
      <c r="A3" s="19" t="s">
        <v>176</v>
      </c>
      <c r="B3" s="19" t="s">
        <v>8</v>
      </c>
      <c r="C3" s="19">
        <v>32</v>
      </c>
      <c r="D3" s="19" t="s">
        <v>13</v>
      </c>
      <c r="E3" s="22">
        <v>44293</v>
      </c>
      <c r="F3" s="19" t="s">
        <v>12</v>
      </c>
      <c r="G3" s="21">
        <v>43840</v>
      </c>
      <c r="H3" s="19" t="s">
        <v>205</v>
      </c>
      <c r="I3" s="23">
        <f ca="1">(TODAY()-Staffs[[#This Row],[Date Joined]])/365</f>
        <v>2.9315068493150687</v>
      </c>
      <c r="J3" s="21">
        <f ca="1">ROUNDUP(IF(Staffs[[#This Row],[Tenure]]&gt;2,"3%","2%")*Staffs[[#This Row],[Salary]],0)</f>
        <v>1316</v>
      </c>
      <c r="K3" s="19">
        <f>_xlfn.XLOOKUP(Staffs[[#This Row],[Rating]],$N$28:$N$32,$O$28:$O$32)</f>
        <v>4</v>
      </c>
      <c r="N3" s="9" t="s">
        <v>209</v>
      </c>
      <c r="O3" s="11">
        <f>COUNTA(Staffs[Name])</f>
        <v>183</v>
      </c>
      <c r="P3" s="11"/>
      <c r="S3" t="s">
        <v>19</v>
      </c>
    </row>
    <row r="4" spans="1:29" x14ac:dyDescent="0.3">
      <c r="A4" s="19" t="s">
        <v>143</v>
      </c>
      <c r="B4" s="19" t="s">
        <v>15</v>
      </c>
      <c r="C4" s="19">
        <v>31</v>
      </c>
      <c r="D4" s="19" t="s">
        <v>16</v>
      </c>
      <c r="E4" s="22">
        <v>44663</v>
      </c>
      <c r="F4" s="19" t="s">
        <v>9</v>
      </c>
      <c r="G4" s="21">
        <v>103550</v>
      </c>
      <c r="H4" s="19" t="s">
        <v>205</v>
      </c>
      <c r="I4" s="23">
        <f ca="1">(TODAY()-Staffs[[#This Row],[Date Joined]])/365</f>
        <v>1.9178082191780821</v>
      </c>
      <c r="J4" s="21">
        <f ca="1">ROUNDUP(IF(Staffs[[#This Row],[Tenure]]&gt;2,"3%","2%")*Staffs[[#This Row],[Salary]],0)</f>
        <v>2071</v>
      </c>
      <c r="K4" s="19">
        <f>_xlfn.XLOOKUP(Staffs[[#This Row],[Rating]],$N$28:$N$32,$O$28:$O$32)</f>
        <v>3</v>
      </c>
      <c r="N4" s="9" t="s">
        <v>210</v>
      </c>
      <c r="O4" s="11">
        <f>AVERAGE(Staffs[Salary])</f>
        <v>77173.715846994543</v>
      </c>
      <c r="P4" s="11">
        <f>MEDIAN(Staffs[Salary])</f>
        <v>75000</v>
      </c>
      <c r="S4" t="str" cm="1">
        <f t="array" aca="1" ref="S4:AC31" ca="1">_xlfn._xlws.FILTER(Staffs[],Staffs[Department]=S3)</f>
        <v>Mirium Seemantini Shivakumar</v>
      </c>
      <c r="T4" t="str">
        <f ca="1"/>
        <v>Female</v>
      </c>
      <c r="U4">
        <f ca="1"/>
        <v>38</v>
      </c>
      <c r="V4" t="str">
        <f ca="1"/>
        <v>Above average</v>
      </c>
      <c r="W4">
        <f ca="1"/>
        <v>44268</v>
      </c>
      <c r="X4" t="str">
        <f ca="1"/>
        <v>Sales</v>
      </c>
      <c r="Y4">
        <f ca="1"/>
        <v>56870</v>
      </c>
      <c r="Z4" t="str">
        <f ca="1"/>
        <v>IND</v>
      </c>
      <c r="AA4">
        <f ca="1"/>
        <v>3</v>
      </c>
      <c r="AB4">
        <f ca="1"/>
        <v>1707</v>
      </c>
      <c r="AC4">
        <f ca="1"/>
        <v>4</v>
      </c>
    </row>
    <row r="5" spans="1:29" x14ac:dyDescent="0.3">
      <c r="A5" s="19" t="s">
        <v>201</v>
      </c>
      <c r="B5" s="19" t="s">
        <v>8</v>
      </c>
      <c r="C5" s="19">
        <v>32</v>
      </c>
      <c r="D5" s="19" t="s">
        <v>16</v>
      </c>
      <c r="E5" s="22">
        <v>44339</v>
      </c>
      <c r="F5" s="19" t="s">
        <v>56</v>
      </c>
      <c r="G5" s="21">
        <v>45510</v>
      </c>
      <c r="H5" s="19" t="s">
        <v>205</v>
      </c>
      <c r="I5" s="23">
        <f ca="1">(TODAY()-Staffs[[#This Row],[Date Joined]])/365</f>
        <v>2.8054794520547945</v>
      </c>
      <c r="J5" s="21">
        <f ca="1">ROUNDUP(IF(Staffs[[#This Row],[Tenure]]&gt;2,"3%","2%")*Staffs[[#This Row],[Salary]],0)</f>
        <v>1366</v>
      </c>
      <c r="K5" s="19">
        <f>_xlfn.XLOOKUP(Staffs[[#This Row],[Rating]],$N$28:$N$32,$O$28:$O$32)</f>
        <v>3</v>
      </c>
      <c r="N5" s="9" t="s">
        <v>211</v>
      </c>
      <c r="O5" s="11">
        <f>AVERAGE(Staffs[Age])</f>
        <v>30.42622950819672</v>
      </c>
      <c r="P5" s="11">
        <f>MEDIAN(Staffs[Age])</f>
        <v>30</v>
      </c>
      <c r="S5" t="str">
        <f ca="1"/>
        <v>Purnendu Vijayarangan</v>
      </c>
      <c r="T5" t="str">
        <f ca="1"/>
        <v>Female</v>
      </c>
      <c r="U5">
        <f ca="1"/>
        <v>25</v>
      </c>
      <c r="V5" t="str">
        <f ca="1"/>
        <v>Average</v>
      </c>
      <c r="W5">
        <f ca="1"/>
        <v>44144</v>
      </c>
      <c r="X5" t="str">
        <f ca="1"/>
        <v>Sales</v>
      </c>
      <c r="Y5">
        <f ca="1"/>
        <v>92700</v>
      </c>
      <c r="Z5" t="str">
        <f ca="1"/>
        <v>IND</v>
      </c>
      <c r="AA5">
        <f ca="1"/>
        <v>3.3397260273972602</v>
      </c>
      <c r="AB5">
        <f ca="1"/>
        <v>2781</v>
      </c>
      <c r="AC5">
        <f ca="1"/>
        <v>3</v>
      </c>
    </row>
    <row r="6" spans="1:29" x14ac:dyDescent="0.3">
      <c r="A6" s="19" t="s">
        <v>142</v>
      </c>
      <c r="B6" s="19" t="s">
        <v>206</v>
      </c>
      <c r="C6" s="19">
        <v>37</v>
      </c>
      <c r="D6" s="19" t="s">
        <v>24</v>
      </c>
      <c r="E6" s="22">
        <v>44085</v>
      </c>
      <c r="F6" s="19" t="s">
        <v>21</v>
      </c>
      <c r="G6" s="21">
        <v>115440</v>
      </c>
      <c r="H6" s="19" t="s">
        <v>205</v>
      </c>
      <c r="I6" s="23">
        <f ca="1">(TODAY()-Staffs[[#This Row],[Date Joined]])/365</f>
        <v>3.5013698630136987</v>
      </c>
      <c r="J6" s="21">
        <f ca="1">ROUNDUP(IF(Staffs[[#This Row],[Tenure]]&gt;2,"3%","2%")*Staffs[[#This Row],[Salary]],0)</f>
        <v>3464</v>
      </c>
      <c r="K6" s="19">
        <f>_xlfn.XLOOKUP(Staffs[[#This Row],[Rating]],$N$28:$N$32,$O$28:$O$32)</f>
        <v>2</v>
      </c>
      <c r="N6" s="9" t="s">
        <v>213</v>
      </c>
      <c r="O6" s="11">
        <f ca="1">AVERAGE(Staffs[Tenure])</f>
        <v>2.5478553783965863</v>
      </c>
      <c r="P6" s="11">
        <f ca="1">MEDIAN(Staffs[Tenure])</f>
        <v>2.56986301369863</v>
      </c>
      <c r="S6" t="str">
        <f ca="1"/>
        <v>Yauvani Tarpa</v>
      </c>
      <c r="T6" t="str">
        <f ca="1"/>
        <v>Male</v>
      </c>
      <c r="U6">
        <f ca="1"/>
        <v>33</v>
      </c>
      <c r="V6" t="str">
        <f ca="1"/>
        <v>Average</v>
      </c>
      <c r="W6">
        <f ca="1"/>
        <v>44324</v>
      </c>
      <c r="X6" t="str">
        <f ca="1"/>
        <v>Sales</v>
      </c>
      <c r="Y6">
        <f ca="1"/>
        <v>74550</v>
      </c>
      <c r="Z6" t="str">
        <f ca="1"/>
        <v>IND</v>
      </c>
      <c r="AA6">
        <f ca="1"/>
        <v>2.8465753424657536</v>
      </c>
      <c r="AB6">
        <f ca="1"/>
        <v>2237</v>
      </c>
      <c r="AC6">
        <f ca="1"/>
        <v>3</v>
      </c>
    </row>
    <row r="7" spans="1:29" x14ac:dyDescent="0.3">
      <c r="A7" s="19" t="s">
        <v>202</v>
      </c>
      <c r="B7" s="19" t="s">
        <v>8</v>
      </c>
      <c r="C7" s="19">
        <v>38</v>
      </c>
      <c r="D7" s="19" t="s">
        <v>13</v>
      </c>
      <c r="E7" s="22">
        <v>44268</v>
      </c>
      <c r="F7" s="19" t="s">
        <v>19</v>
      </c>
      <c r="G7" s="21">
        <v>56870</v>
      </c>
      <c r="H7" s="19" t="s">
        <v>205</v>
      </c>
      <c r="I7" s="23">
        <f ca="1">(TODAY()-Staffs[[#This Row],[Date Joined]])/365</f>
        <v>3</v>
      </c>
      <c r="J7" s="21">
        <f ca="1">ROUNDUP(IF(Staffs[[#This Row],[Tenure]]&gt;2,"3%","2%")*Staffs[[#This Row],[Salary]],0)</f>
        <v>1707</v>
      </c>
      <c r="K7" s="19">
        <f>_xlfn.XLOOKUP(Staffs[[#This Row],[Rating]],$N$28:$N$32,$O$28:$O$32)</f>
        <v>4</v>
      </c>
      <c r="N7" s="9" t="s">
        <v>214</v>
      </c>
      <c r="O7" s="11">
        <f>COUNTIFS(Staffs[Gender],"Female")</f>
        <v>86</v>
      </c>
      <c r="P7" s="11"/>
      <c r="S7" t="str">
        <f ca="1"/>
        <v>Daruka Ghazali</v>
      </c>
      <c r="T7" t="str">
        <f ca="1"/>
        <v>Female</v>
      </c>
      <c r="U7">
        <f ca="1"/>
        <v>34</v>
      </c>
      <c r="V7" t="str">
        <f ca="1"/>
        <v>Poor</v>
      </c>
      <c r="W7">
        <f ca="1"/>
        <v>44660</v>
      </c>
      <c r="X7" t="str">
        <f ca="1"/>
        <v>Sales</v>
      </c>
      <c r="Y7">
        <f ca="1"/>
        <v>49630</v>
      </c>
      <c r="Z7" t="str">
        <f ca="1"/>
        <v>IND</v>
      </c>
      <c r="AA7">
        <f ca="1"/>
        <v>1.9260273972602739</v>
      </c>
      <c r="AB7">
        <f ca="1"/>
        <v>993</v>
      </c>
      <c r="AC7">
        <f ca="1"/>
        <v>2</v>
      </c>
    </row>
    <row r="8" spans="1:29" x14ac:dyDescent="0.3">
      <c r="A8" s="19" t="s">
        <v>169</v>
      </c>
      <c r="B8" s="19" t="s">
        <v>8</v>
      </c>
      <c r="C8" s="19">
        <v>25</v>
      </c>
      <c r="D8" s="19" t="s">
        <v>16</v>
      </c>
      <c r="E8" s="22">
        <v>44144</v>
      </c>
      <c r="F8" s="19" t="s">
        <v>19</v>
      </c>
      <c r="G8" s="21">
        <v>92700</v>
      </c>
      <c r="H8" s="19" t="s">
        <v>205</v>
      </c>
      <c r="I8" s="23">
        <f ca="1">(TODAY()-Staffs[[#This Row],[Date Joined]])/365</f>
        <v>3.3397260273972602</v>
      </c>
      <c r="J8" s="21">
        <f ca="1">ROUNDUP(IF(Staffs[[#This Row],[Tenure]]&gt;2,"3%","2%")*Staffs[[#This Row],[Salary]],0)</f>
        <v>2781</v>
      </c>
      <c r="K8" s="19">
        <f>_xlfn.XLOOKUP(Staffs[[#This Row],[Rating]],$N$28:$N$32,$O$28:$O$32)</f>
        <v>3</v>
      </c>
      <c r="N8" s="9" t="s">
        <v>212</v>
      </c>
      <c r="O8" s="17">
        <f>O7/O3</f>
        <v>0.46994535519125685</v>
      </c>
      <c r="P8" s="10"/>
      <c r="S8" t="str">
        <f ca="1"/>
        <v>Sanchali Shirish</v>
      </c>
      <c r="T8" t="str">
        <f ca="1"/>
        <v>Male</v>
      </c>
      <c r="U8">
        <f ca="1"/>
        <v>27</v>
      </c>
      <c r="V8" t="str">
        <f ca="1"/>
        <v>Average</v>
      </c>
      <c r="W8">
        <f ca="1"/>
        <v>44073</v>
      </c>
      <c r="X8" t="str">
        <f ca="1"/>
        <v>Sales</v>
      </c>
      <c r="Y8">
        <f ca="1"/>
        <v>54970</v>
      </c>
      <c r="Z8" t="str">
        <f ca="1"/>
        <v>IND</v>
      </c>
      <c r="AA8">
        <f ca="1"/>
        <v>3.5342465753424657</v>
      </c>
      <c r="AB8">
        <f ca="1"/>
        <v>1650</v>
      </c>
      <c r="AC8">
        <f ca="1"/>
        <v>3</v>
      </c>
    </row>
    <row r="9" spans="1:29" x14ac:dyDescent="0.3">
      <c r="A9" s="19" t="s">
        <v>145</v>
      </c>
      <c r="B9" s="19" t="s">
        <v>206</v>
      </c>
      <c r="C9" s="19">
        <v>32</v>
      </c>
      <c r="D9" s="19" t="s">
        <v>16</v>
      </c>
      <c r="E9" s="22">
        <v>44713</v>
      </c>
      <c r="F9" s="19" t="s">
        <v>12</v>
      </c>
      <c r="G9" s="21">
        <v>91310</v>
      </c>
      <c r="H9" s="19" t="s">
        <v>205</v>
      </c>
      <c r="I9" s="23">
        <f ca="1">(TODAY()-Staffs[[#This Row],[Date Joined]])/365</f>
        <v>1.7808219178082192</v>
      </c>
      <c r="J9" s="21">
        <f ca="1">ROUNDUP(IF(Staffs[[#This Row],[Tenure]]&gt;2,"3%","2%")*Staffs[[#This Row],[Salary]],0)</f>
        <v>1827</v>
      </c>
      <c r="K9" s="19">
        <f>_xlfn.XLOOKUP(Staffs[[#This Row],[Rating]],$N$28:$N$32,$O$28:$O$32)</f>
        <v>3</v>
      </c>
      <c r="S9" t="str">
        <f ca="1"/>
        <v>Waheeda Vasuman</v>
      </c>
      <c r="T9" t="str">
        <f ca="1"/>
        <v>Male</v>
      </c>
      <c r="U9">
        <f ca="1"/>
        <v>43</v>
      </c>
      <c r="V9" t="str">
        <f ca="1"/>
        <v>Average</v>
      </c>
      <c r="W9">
        <f ca="1"/>
        <v>44558</v>
      </c>
      <c r="X9" t="str">
        <f ca="1"/>
        <v>Sales</v>
      </c>
      <c r="Y9">
        <f ca="1"/>
        <v>36040</v>
      </c>
      <c r="Z9" t="str">
        <f ca="1"/>
        <v>IND</v>
      </c>
      <c r="AA9">
        <f ca="1"/>
        <v>2.2054794520547945</v>
      </c>
      <c r="AB9">
        <f ca="1"/>
        <v>1082</v>
      </c>
      <c r="AC9">
        <f ca="1"/>
        <v>3</v>
      </c>
    </row>
    <row r="10" spans="1:29" x14ac:dyDescent="0.3">
      <c r="A10" s="19" t="s">
        <v>115</v>
      </c>
      <c r="B10" s="19" t="s">
        <v>15</v>
      </c>
      <c r="C10" s="19">
        <v>33</v>
      </c>
      <c r="D10" s="19" t="s">
        <v>16</v>
      </c>
      <c r="E10" s="22">
        <v>44324</v>
      </c>
      <c r="F10" s="19" t="s">
        <v>19</v>
      </c>
      <c r="G10" s="21">
        <v>74550</v>
      </c>
      <c r="H10" s="19" t="s">
        <v>205</v>
      </c>
      <c r="I10" s="23">
        <f ca="1">(TODAY()-Staffs[[#This Row],[Date Joined]])/365</f>
        <v>2.8465753424657536</v>
      </c>
      <c r="J10" s="21">
        <f ca="1">ROUNDUP(IF(Staffs[[#This Row],[Tenure]]&gt;2,"3%","2%")*Staffs[[#This Row],[Salary]],0)</f>
        <v>2237</v>
      </c>
      <c r="K10" s="19">
        <f>_xlfn.XLOOKUP(Staffs[[#This Row],[Rating]],$N$28:$N$32,$O$28:$O$32)</f>
        <v>3</v>
      </c>
      <c r="S10" t="str">
        <f ca="1"/>
        <v>Krishnakanta Vellanki</v>
      </c>
      <c r="T10" t="str">
        <f ca="1"/>
        <v>Male</v>
      </c>
      <c r="U10">
        <f ca="1"/>
        <v>22</v>
      </c>
      <c r="V10" t="str">
        <f ca="1"/>
        <v>Above average</v>
      </c>
      <c r="W10">
        <f ca="1"/>
        <v>44384</v>
      </c>
      <c r="X10" t="str">
        <f ca="1"/>
        <v>Sales</v>
      </c>
      <c r="Y10">
        <f ca="1"/>
        <v>112780</v>
      </c>
      <c r="Z10" t="str">
        <f ca="1"/>
        <v>IND</v>
      </c>
      <c r="AA10">
        <f ca="1"/>
        <v>2.6821917808219178</v>
      </c>
      <c r="AB10">
        <f ca="1"/>
        <v>3384</v>
      </c>
      <c r="AC10">
        <f ca="1"/>
        <v>4</v>
      </c>
    </row>
    <row r="11" spans="1:29" x14ac:dyDescent="0.3">
      <c r="A11" s="19" t="s">
        <v>128</v>
      </c>
      <c r="B11" s="19" t="s">
        <v>15</v>
      </c>
      <c r="C11" s="19">
        <v>25</v>
      </c>
      <c r="D11" s="19" t="s">
        <v>13</v>
      </c>
      <c r="E11" s="22">
        <v>44665</v>
      </c>
      <c r="F11" s="19" t="s">
        <v>9</v>
      </c>
      <c r="G11" s="21">
        <v>109190</v>
      </c>
      <c r="H11" s="19" t="s">
        <v>205</v>
      </c>
      <c r="I11" s="23">
        <f ca="1">(TODAY()-Staffs[[#This Row],[Date Joined]])/365</f>
        <v>1.9123287671232876</v>
      </c>
      <c r="J11" s="21">
        <f ca="1">ROUNDUP(IF(Staffs[[#This Row],[Tenure]]&gt;2,"3%","2%")*Staffs[[#This Row],[Salary]],0)</f>
        <v>2184</v>
      </c>
      <c r="K11" s="19">
        <f>_xlfn.XLOOKUP(Staffs[[#This Row],[Rating]],$N$28:$N$32,$O$28:$O$32)</f>
        <v>4</v>
      </c>
      <c r="S11" t="str">
        <f ca="1"/>
        <v>Anumati Shyamari Meherhomji</v>
      </c>
      <c r="T11" t="str">
        <f ca="1"/>
        <v>Female</v>
      </c>
      <c r="U11">
        <f ca="1"/>
        <v>28</v>
      </c>
      <c r="V11" t="str">
        <f ca="1"/>
        <v>Average</v>
      </c>
      <c r="W11">
        <f ca="1"/>
        <v>44296</v>
      </c>
      <c r="X11" t="str">
        <f ca="1"/>
        <v>Sales</v>
      </c>
      <c r="Y11">
        <f ca="1"/>
        <v>53240</v>
      </c>
      <c r="Z11" t="str">
        <f ca="1"/>
        <v>IND</v>
      </c>
      <c r="AA11">
        <f ca="1"/>
        <v>2.9232876712328766</v>
      </c>
      <c r="AB11">
        <f ca="1"/>
        <v>1598</v>
      </c>
      <c r="AC11">
        <f ca="1"/>
        <v>3</v>
      </c>
    </row>
    <row r="12" spans="1:29" x14ac:dyDescent="0.3">
      <c r="A12" s="19" t="s">
        <v>194</v>
      </c>
      <c r="B12" s="19" t="s">
        <v>8</v>
      </c>
      <c r="C12" s="19">
        <v>40</v>
      </c>
      <c r="D12" s="19" t="s">
        <v>16</v>
      </c>
      <c r="E12" s="22">
        <v>44320</v>
      </c>
      <c r="F12" s="19" t="s">
        <v>12</v>
      </c>
      <c r="G12" s="21">
        <v>104410</v>
      </c>
      <c r="H12" s="19" t="s">
        <v>205</v>
      </c>
      <c r="I12" s="23">
        <f ca="1">(TODAY()-Staffs[[#This Row],[Date Joined]])/365</f>
        <v>2.8575342465753426</v>
      </c>
      <c r="J12" s="21">
        <f ca="1">ROUNDUP(IF(Staffs[[#This Row],[Tenure]]&gt;2,"3%","2%")*Staffs[[#This Row],[Salary]],0)</f>
        <v>3133</v>
      </c>
      <c r="K12" s="19">
        <f>_xlfn.XLOOKUP(Staffs[[#This Row],[Rating]],$N$28:$N$32,$O$28:$O$32)</f>
        <v>3</v>
      </c>
      <c r="N12" t="s">
        <v>215</v>
      </c>
      <c r="O12">
        <f>COUNTIFS(Staffs[Salary],"&gt;90000")</f>
        <v>63</v>
      </c>
      <c r="S12" t="str">
        <f ca="1"/>
        <v>Devasree Fullara Saurin</v>
      </c>
      <c r="T12" t="str">
        <f ca="1"/>
        <v>Female</v>
      </c>
      <c r="U12">
        <f ca="1"/>
        <v>20</v>
      </c>
      <c r="V12" t="str">
        <f ca="1"/>
        <v>Poor</v>
      </c>
      <c r="W12">
        <f ca="1"/>
        <v>44476</v>
      </c>
      <c r="X12" t="str">
        <f ca="1"/>
        <v>Sales</v>
      </c>
      <c r="Y12">
        <f ca="1"/>
        <v>68900</v>
      </c>
      <c r="Z12" t="str">
        <f ca="1"/>
        <v>IND</v>
      </c>
      <c r="AA12">
        <f ca="1"/>
        <v>2.43013698630137</v>
      </c>
      <c r="AB12">
        <f ca="1"/>
        <v>2067</v>
      </c>
      <c r="AC12">
        <f ca="1"/>
        <v>2</v>
      </c>
    </row>
    <row r="13" spans="1:29" x14ac:dyDescent="0.3">
      <c r="A13" s="19" t="s">
        <v>177</v>
      </c>
      <c r="B13" s="19" t="s">
        <v>15</v>
      </c>
      <c r="C13" s="19">
        <v>30</v>
      </c>
      <c r="D13" s="19" t="s">
        <v>16</v>
      </c>
      <c r="E13" s="22">
        <v>44544</v>
      </c>
      <c r="F13" s="19" t="s">
        <v>21</v>
      </c>
      <c r="G13" s="21">
        <v>96800</v>
      </c>
      <c r="H13" s="19" t="s">
        <v>205</v>
      </c>
      <c r="I13" s="23">
        <f ca="1">(TODAY()-Staffs[[#This Row],[Date Joined]])/365</f>
        <v>2.2438356164383562</v>
      </c>
      <c r="J13" s="21">
        <f ca="1">ROUNDUP(IF(Staffs[[#This Row],[Tenure]]&gt;2,"3%","2%")*Staffs[[#This Row],[Salary]],0)</f>
        <v>2904</v>
      </c>
      <c r="K13" s="19">
        <f>_xlfn.XLOOKUP(Staffs[[#This Row],[Rating]],$N$28:$N$32,$O$28:$O$32)</f>
        <v>3</v>
      </c>
      <c r="N13" t="s">
        <v>216</v>
      </c>
      <c r="O13" s="8">
        <f>O12/O3</f>
        <v>0.34426229508196721</v>
      </c>
      <c r="S13" t="str">
        <f ca="1"/>
        <v>Geena Raghavanpillai</v>
      </c>
      <c r="T13" t="str">
        <f ca="1"/>
        <v>Male</v>
      </c>
      <c r="U13">
        <f ca="1"/>
        <v>32</v>
      </c>
      <c r="V13" t="str">
        <f ca="1"/>
        <v>Average</v>
      </c>
      <c r="W13">
        <f ca="1"/>
        <v>44403</v>
      </c>
      <c r="X13" t="str">
        <f ca="1"/>
        <v>Sales</v>
      </c>
      <c r="Y13">
        <f ca="1"/>
        <v>53540</v>
      </c>
      <c r="Z13" t="str">
        <f ca="1"/>
        <v>IND</v>
      </c>
      <c r="AA13">
        <f ca="1"/>
        <v>2.6301369863013697</v>
      </c>
      <c r="AB13">
        <f ca="1"/>
        <v>1607</v>
      </c>
      <c r="AC13">
        <f ca="1"/>
        <v>3</v>
      </c>
    </row>
    <row r="14" spans="1:29" x14ac:dyDescent="0.3">
      <c r="A14" s="19" t="s">
        <v>123</v>
      </c>
      <c r="B14" s="19" t="s">
        <v>15</v>
      </c>
      <c r="C14" s="19">
        <v>28</v>
      </c>
      <c r="D14" s="19" t="s">
        <v>13</v>
      </c>
      <c r="E14" s="22">
        <v>43980</v>
      </c>
      <c r="F14" s="19" t="s">
        <v>21</v>
      </c>
      <c r="G14" s="21">
        <v>48170</v>
      </c>
      <c r="H14" s="19" t="s">
        <v>205</v>
      </c>
      <c r="I14" s="23">
        <f ca="1">(TODAY()-Staffs[[#This Row],[Date Joined]])/365</f>
        <v>3.7890410958904108</v>
      </c>
      <c r="J14" s="21">
        <f ca="1">ROUNDUP(IF(Staffs[[#This Row],[Tenure]]&gt;2,"3%","2%")*Staffs[[#This Row],[Salary]],0)</f>
        <v>1446</v>
      </c>
      <c r="K14" s="19">
        <f>_xlfn.XLOOKUP(Staffs[[#This Row],[Rating]],$N$28:$N$32,$O$28:$O$32)</f>
        <v>4</v>
      </c>
      <c r="S14" t="str">
        <f ca="1"/>
        <v>Rupak Mehra</v>
      </c>
      <c r="T14" t="str">
        <f ca="1"/>
        <v>Male</v>
      </c>
      <c r="U14">
        <f ca="1"/>
        <v>28</v>
      </c>
      <c r="V14" t="str">
        <f ca="1"/>
        <v>Very poor</v>
      </c>
      <c r="W14">
        <f ca="1"/>
        <v>44758</v>
      </c>
      <c r="X14" t="str">
        <f ca="1"/>
        <v>Sales</v>
      </c>
      <c r="Y14">
        <f ca="1"/>
        <v>43510</v>
      </c>
      <c r="Z14" t="str">
        <f ca="1"/>
        <v>IND</v>
      </c>
      <c r="AA14">
        <f ca="1"/>
        <v>1.6575342465753424</v>
      </c>
      <c r="AB14">
        <f ca="1"/>
        <v>871</v>
      </c>
      <c r="AC14">
        <f ca="1"/>
        <v>1</v>
      </c>
    </row>
    <row r="15" spans="1:29" x14ac:dyDescent="0.3">
      <c r="A15" s="19" t="s">
        <v>140</v>
      </c>
      <c r="B15" s="19" t="s">
        <v>15</v>
      </c>
      <c r="C15" s="19">
        <v>21</v>
      </c>
      <c r="D15" s="19" t="s">
        <v>16</v>
      </c>
      <c r="E15" s="22">
        <v>44042</v>
      </c>
      <c r="F15" s="19" t="s">
        <v>9</v>
      </c>
      <c r="G15" s="21">
        <v>37920</v>
      </c>
      <c r="H15" s="19" t="s">
        <v>205</v>
      </c>
      <c r="I15" s="23">
        <f ca="1">(TODAY()-Staffs[[#This Row],[Date Joined]])/365</f>
        <v>3.6191780821917807</v>
      </c>
      <c r="J15" s="21">
        <f ca="1">ROUNDUP(IF(Staffs[[#This Row],[Tenure]]&gt;2,"3%","2%")*Staffs[[#This Row],[Salary]],0)</f>
        <v>1138</v>
      </c>
      <c r="K15" s="19">
        <f>_xlfn.XLOOKUP(Staffs[[#This Row],[Rating]],$N$28:$N$32,$O$28:$O$32)</f>
        <v>3</v>
      </c>
      <c r="S15" t="str">
        <f ca="1"/>
        <v>Sawini Chandan</v>
      </c>
      <c r="T15" t="str">
        <f ca="1"/>
        <v>Female</v>
      </c>
      <c r="U15">
        <f ca="1"/>
        <v>38</v>
      </c>
      <c r="V15" t="str">
        <f ca="1"/>
        <v>Exceptional</v>
      </c>
      <c r="W15">
        <f ca="1"/>
        <v>44316</v>
      </c>
      <c r="X15" t="str">
        <f ca="1"/>
        <v>Sales</v>
      </c>
      <c r="Y15">
        <f ca="1"/>
        <v>109160</v>
      </c>
      <c r="Z15" t="str">
        <f ca="1"/>
        <v>IND</v>
      </c>
      <c r="AA15">
        <f ca="1"/>
        <v>2.8684931506849316</v>
      </c>
      <c r="AB15">
        <f ca="1"/>
        <v>3275</v>
      </c>
      <c r="AC15">
        <f ca="1"/>
        <v>5</v>
      </c>
    </row>
    <row r="16" spans="1:29" x14ac:dyDescent="0.3">
      <c r="A16" s="19" t="s">
        <v>178</v>
      </c>
      <c r="B16" s="19" t="s">
        <v>15</v>
      </c>
      <c r="C16" s="19">
        <v>34</v>
      </c>
      <c r="D16" s="19" t="s">
        <v>16</v>
      </c>
      <c r="E16" s="22">
        <v>44642</v>
      </c>
      <c r="F16" s="19" t="s">
        <v>9</v>
      </c>
      <c r="G16" s="21">
        <v>112650</v>
      </c>
      <c r="H16" s="19" t="s">
        <v>205</v>
      </c>
      <c r="I16" s="23">
        <f ca="1">(TODAY()-Staffs[[#This Row],[Date Joined]])/365</f>
        <v>1.9753424657534246</v>
      </c>
      <c r="J16" s="21">
        <f ca="1">ROUNDUP(IF(Staffs[[#This Row],[Tenure]]&gt;2,"3%","2%")*Staffs[[#This Row],[Salary]],0)</f>
        <v>2253</v>
      </c>
      <c r="K16" s="19">
        <f>_xlfn.XLOOKUP(Staffs[[#This Row],[Rating]],$N$28:$N$32,$O$28:$O$32)</f>
        <v>3</v>
      </c>
      <c r="N16" s="9" t="s">
        <v>54</v>
      </c>
      <c r="O16" s="12"/>
      <c r="R16" s="6"/>
      <c r="S16" t="str">
        <f ca="1"/>
        <v>Abhaya Priyavardhan</v>
      </c>
      <c r="T16" t="str">
        <f ca="1"/>
        <v>Male</v>
      </c>
      <c r="U16">
        <f ca="1"/>
        <v>25</v>
      </c>
      <c r="V16" t="str">
        <f ca="1"/>
        <v>Average</v>
      </c>
      <c r="W16">
        <f ca="1"/>
        <v>44322</v>
      </c>
      <c r="X16" t="str">
        <f ca="1"/>
        <v>Sales</v>
      </c>
      <c r="Y16">
        <f ca="1"/>
        <v>65700</v>
      </c>
      <c r="Z16" t="str">
        <f ca="1"/>
        <v>IND</v>
      </c>
      <c r="AA16">
        <f ca="1"/>
        <v>2.8520547945205479</v>
      </c>
      <c r="AB16">
        <f ca="1"/>
        <v>1971</v>
      </c>
      <c r="AC16">
        <f ca="1"/>
        <v>3</v>
      </c>
    </row>
    <row r="17" spans="1:29" x14ac:dyDescent="0.3">
      <c r="A17" s="19" t="s">
        <v>165</v>
      </c>
      <c r="B17" s="19" t="s">
        <v>8</v>
      </c>
      <c r="C17" s="19">
        <v>34</v>
      </c>
      <c r="D17" s="19" t="s">
        <v>24</v>
      </c>
      <c r="E17" s="22">
        <v>44660</v>
      </c>
      <c r="F17" s="19" t="s">
        <v>19</v>
      </c>
      <c r="G17" s="21">
        <v>49630</v>
      </c>
      <c r="H17" s="19" t="s">
        <v>205</v>
      </c>
      <c r="I17" s="23">
        <f ca="1">(TODAY()-Staffs[[#This Row],[Date Joined]])/365</f>
        <v>1.9260273972602739</v>
      </c>
      <c r="J17" s="21">
        <f ca="1">ROUNDUP(IF(Staffs[[#This Row],[Tenure]]&gt;2,"3%","2%")*Staffs[[#This Row],[Salary]],0)</f>
        <v>993</v>
      </c>
      <c r="K17" s="19">
        <f>_xlfn.XLOOKUP(Staffs[[#This Row],[Rating]],$N$28:$N$32,$O$28:$O$32)</f>
        <v>2</v>
      </c>
      <c r="N17" s="9" t="s">
        <v>1</v>
      </c>
      <c r="O17" s="12" t="str" cm="1">
        <f t="array" aca="1" ref="O17:O24" ca="1">TRANSPOSE(_xlfn.XLOOKUP(N16,Staffs[Name],Staffs[[Gender]:[Tenure]]))</f>
        <v>Female</v>
      </c>
      <c r="S17" t="str">
        <f ca="1"/>
        <v>Shulabh Qutub Sundaramoorthy</v>
      </c>
      <c r="T17" t="str">
        <f ca="1"/>
        <v>Female</v>
      </c>
      <c r="U17">
        <f ca="1"/>
        <v>36</v>
      </c>
      <c r="V17" t="str">
        <f ca="1"/>
        <v>Average</v>
      </c>
      <c r="W17">
        <f ca="1"/>
        <v>44433</v>
      </c>
      <c r="X17" t="str">
        <f ca="1"/>
        <v>Sales</v>
      </c>
      <c r="Y17">
        <f ca="1"/>
        <v>78540</v>
      </c>
      <c r="Z17" t="str">
        <f ca="1"/>
        <v>IND</v>
      </c>
      <c r="AA17">
        <f ca="1"/>
        <v>2.547945205479452</v>
      </c>
      <c r="AB17">
        <f ca="1"/>
        <v>2357</v>
      </c>
      <c r="AC17">
        <f ca="1"/>
        <v>3</v>
      </c>
    </row>
    <row r="18" spans="1:29" x14ac:dyDescent="0.3">
      <c r="A18" s="19" t="s">
        <v>199</v>
      </c>
      <c r="B18" s="19" t="s">
        <v>15</v>
      </c>
      <c r="C18" s="19">
        <v>36</v>
      </c>
      <c r="D18" s="19" t="s">
        <v>16</v>
      </c>
      <c r="E18" s="22">
        <v>43958</v>
      </c>
      <c r="F18" s="19" t="s">
        <v>12</v>
      </c>
      <c r="G18" s="21">
        <v>118840</v>
      </c>
      <c r="H18" s="19" t="s">
        <v>205</v>
      </c>
      <c r="I18" s="23">
        <f ca="1">(TODAY()-Staffs[[#This Row],[Date Joined]])/365</f>
        <v>3.8493150684931505</v>
      </c>
      <c r="J18" s="21">
        <f ca="1">ROUNDUP(IF(Staffs[[#This Row],[Tenure]]&gt;2,"3%","2%")*Staffs[[#This Row],[Salary]],0)</f>
        <v>3566</v>
      </c>
      <c r="K18" s="19">
        <f>_xlfn.XLOOKUP(Staffs[[#This Row],[Rating]],$N$28:$N$32,$O$28:$O$32)</f>
        <v>3</v>
      </c>
      <c r="N18" s="9" t="s">
        <v>3</v>
      </c>
      <c r="O18" s="13">
        <f ca="1"/>
        <v>30</v>
      </c>
      <c r="S18" t="str">
        <f ca="1"/>
        <v>Lindy Guillet</v>
      </c>
      <c r="T18" t="str">
        <f ca="1"/>
        <v>Male</v>
      </c>
      <c r="U18">
        <f ca="1"/>
        <v>22</v>
      </c>
      <c r="V18" t="str">
        <f ca="1"/>
        <v>Above average</v>
      </c>
      <c r="W18">
        <f ca="1"/>
        <v>44446</v>
      </c>
      <c r="X18" t="str">
        <f ca="1"/>
        <v>Sales</v>
      </c>
      <c r="Y18">
        <f ca="1"/>
        <v>112780</v>
      </c>
      <c r="Z18" t="str">
        <f ca="1"/>
        <v>NZ</v>
      </c>
      <c r="AA18">
        <f ca="1"/>
        <v>2.5123287671232877</v>
      </c>
      <c r="AB18">
        <f ca="1"/>
        <v>3384</v>
      </c>
      <c r="AC18">
        <f ca="1"/>
        <v>4</v>
      </c>
    </row>
    <row r="19" spans="1:29" x14ac:dyDescent="0.3">
      <c r="A19" s="19" t="s">
        <v>159</v>
      </c>
      <c r="B19" s="19" t="s">
        <v>15</v>
      </c>
      <c r="C19" s="19">
        <v>30</v>
      </c>
      <c r="D19" s="19" t="s">
        <v>16</v>
      </c>
      <c r="E19" s="22">
        <v>44789</v>
      </c>
      <c r="F19" s="19" t="s">
        <v>12</v>
      </c>
      <c r="G19" s="21">
        <v>69710</v>
      </c>
      <c r="H19" s="19" t="s">
        <v>205</v>
      </c>
      <c r="I19" s="23">
        <f ca="1">(TODAY()-Staffs[[#This Row],[Date Joined]])/365</f>
        <v>1.5726027397260274</v>
      </c>
      <c r="J19" s="21">
        <f ca="1">ROUNDUP(IF(Staffs[[#This Row],[Tenure]]&gt;2,"3%","2%")*Staffs[[#This Row],[Salary]],0)</f>
        <v>1395</v>
      </c>
      <c r="K19" s="19">
        <f>_xlfn.XLOOKUP(Staffs[[#This Row],[Rating]],$N$28:$N$32,$O$28:$O$32)</f>
        <v>3</v>
      </c>
      <c r="N19" s="9" t="s">
        <v>217</v>
      </c>
      <c r="O19" s="12" t="str">
        <f ca="1"/>
        <v>Average</v>
      </c>
      <c r="S19" t="str">
        <f ca="1"/>
        <v>Tatum Hush</v>
      </c>
      <c r="T19" t="str">
        <f ca="1"/>
        <v>Female</v>
      </c>
      <c r="U19">
        <f ca="1"/>
        <v>28</v>
      </c>
      <c r="V19" t="str">
        <f ca="1"/>
        <v>Average</v>
      </c>
      <c r="W19">
        <f ca="1"/>
        <v>44357</v>
      </c>
      <c r="X19" t="str">
        <f ca="1"/>
        <v>Sales</v>
      </c>
      <c r="Y19">
        <f ca="1"/>
        <v>53240</v>
      </c>
      <c r="Z19" t="str">
        <f ca="1"/>
        <v>NZ</v>
      </c>
      <c r="AA19">
        <f ca="1"/>
        <v>2.7561643835616438</v>
      </c>
      <c r="AB19">
        <f ca="1"/>
        <v>1598</v>
      </c>
      <c r="AC19">
        <f ca="1"/>
        <v>3</v>
      </c>
    </row>
    <row r="20" spans="1:29" x14ac:dyDescent="0.3">
      <c r="A20" s="19" t="s">
        <v>197</v>
      </c>
      <c r="B20" s="19" t="s">
        <v>15</v>
      </c>
      <c r="C20" s="19">
        <v>20</v>
      </c>
      <c r="D20" s="19" t="s">
        <v>16</v>
      </c>
      <c r="E20" s="22">
        <v>44683</v>
      </c>
      <c r="F20" s="19" t="s">
        <v>9</v>
      </c>
      <c r="G20" s="21">
        <v>79570</v>
      </c>
      <c r="H20" s="19" t="s">
        <v>205</v>
      </c>
      <c r="I20" s="23">
        <f ca="1">(TODAY()-Staffs[[#This Row],[Date Joined]])/365</f>
        <v>1.8630136986301369</v>
      </c>
      <c r="J20" s="21">
        <f ca="1">ROUNDUP(IF(Staffs[[#This Row],[Tenure]]&gt;2,"3%","2%")*Staffs[[#This Row],[Salary]],0)</f>
        <v>1592</v>
      </c>
      <c r="K20" s="19">
        <f>_xlfn.XLOOKUP(Staffs[[#This Row],[Rating]],$N$28:$N$32,$O$28:$O$32)</f>
        <v>3</v>
      </c>
      <c r="N20" s="9" t="s">
        <v>218</v>
      </c>
      <c r="O20" s="14">
        <f ca="1"/>
        <v>44850</v>
      </c>
      <c r="S20" t="str">
        <f ca="1"/>
        <v>Hoyt D'Alesco</v>
      </c>
      <c r="T20" t="str">
        <f ca="1"/>
        <v>Male</v>
      </c>
      <c r="U20">
        <f ca="1"/>
        <v>32</v>
      </c>
      <c r="V20" t="str">
        <f ca="1"/>
        <v>Average</v>
      </c>
      <c r="W20">
        <f ca="1"/>
        <v>44465</v>
      </c>
      <c r="X20" t="str">
        <f ca="1"/>
        <v>Sales</v>
      </c>
      <c r="Y20">
        <f ca="1"/>
        <v>53540</v>
      </c>
      <c r="Z20" t="str">
        <f ca="1"/>
        <v>NZ</v>
      </c>
      <c r="AA20">
        <f ca="1"/>
        <v>2.4602739726027396</v>
      </c>
      <c r="AB20">
        <f ca="1"/>
        <v>1607</v>
      </c>
      <c r="AC20">
        <f ca="1"/>
        <v>3</v>
      </c>
    </row>
    <row r="21" spans="1:29" x14ac:dyDescent="0.3">
      <c r="A21" s="19" t="s">
        <v>154</v>
      </c>
      <c r="B21" s="19" t="s">
        <v>8</v>
      </c>
      <c r="C21" s="19">
        <v>22</v>
      </c>
      <c r="D21" s="19" t="s">
        <v>13</v>
      </c>
      <c r="E21" s="22">
        <v>44388</v>
      </c>
      <c r="F21" s="19" t="s">
        <v>9</v>
      </c>
      <c r="G21" s="21">
        <v>76900</v>
      </c>
      <c r="H21" s="19" t="s">
        <v>205</v>
      </c>
      <c r="I21" s="23">
        <f ca="1">(TODAY()-Staffs[[#This Row],[Date Joined]])/365</f>
        <v>2.6712328767123288</v>
      </c>
      <c r="J21" s="21">
        <f ca="1">ROUNDUP(IF(Staffs[[#This Row],[Tenure]]&gt;2,"3%","2%")*Staffs[[#This Row],[Salary]],0)</f>
        <v>2307</v>
      </c>
      <c r="K21" s="19">
        <f>_xlfn.XLOOKUP(Staffs[[#This Row],[Rating]],$N$28:$N$32,$O$28:$O$32)</f>
        <v>4</v>
      </c>
      <c r="N21" s="9" t="s">
        <v>2</v>
      </c>
      <c r="O21" s="12" t="str">
        <f ca="1"/>
        <v>Procurement</v>
      </c>
      <c r="S21" t="str">
        <f ca="1"/>
        <v>Kath Bletsoe</v>
      </c>
      <c r="T21" t="str">
        <f ca="1"/>
        <v>Male</v>
      </c>
      <c r="U21">
        <f ca="1"/>
        <v>25</v>
      </c>
      <c r="V21" t="str">
        <f ca="1"/>
        <v>Average</v>
      </c>
      <c r="W21">
        <f ca="1"/>
        <v>44383</v>
      </c>
      <c r="X21" t="str">
        <f ca="1"/>
        <v>Sales</v>
      </c>
      <c r="Y21">
        <f ca="1"/>
        <v>65700</v>
      </c>
      <c r="Z21" t="str">
        <f ca="1"/>
        <v>NZ</v>
      </c>
      <c r="AA21">
        <f ca="1"/>
        <v>2.6849315068493151</v>
      </c>
      <c r="AB21">
        <f ca="1"/>
        <v>1971</v>
      </c>
      <c r="AC21">
        <f ca="1"/>
        <v>3</v>
      </c>
    </row>
    <row r="22" spans="1:29" x14ac:dyDescent="0.3">
      <c r="A22" s="19" t="s">
        <v>182</v>
      </c>
      <c r="B22" s="19" t="s">
        <v>15</v>
      </c>
      <c r="C22" s="19">
        <v>27</v>
      </c>
      <c r="D22" s="19" t="s">
        <v>16</v>
      </c>
      <c r="E22" s="22">
        <v>44073</v>
      </c>
      <c r="F22" s="19" t="s">
        <v>19</v>
      </c>
      <c r="G22" s="21">
        <v>54970</v>
      </c>
      <c r="H22" s="19" t="s">
        <v>205</v>
      </c>
      <c r="I22" s="23">
        <f ca="1">(TODAY()-Staffs[[#This Row],[Date Joined]])/365</f>
        <v>3.5342465753424657</v>
      </c>
      <c r="J22" s="21">
        <f ca="1">ROUNDUP(IF(Staffs[[#This Row],[Tenure]]&gt;2,"3%","2%")*Staffs[[#This Row],[Salary]],0)</f>
        <v>1650</v>
      </c>
      <c r="K22" s="19">
        <f>_xlfn.XLOOKUP(Staffs[[#This Row],[Rating]],$N$28:$N$32,$O$28:$O$32)</f>
        <v>3</v>
      </c>
      <c r="N22" s="9" t="s">
        <v>5</v>
      </c>
      <c r="O22" s="16">
        <f ca="1"/>
        <v>114180</v>
      </c>
      <c r="S22" t="str">
        <f ca="1"/>
        <v>Gray Seamon</v>
      </c>
      <c r="T22" t="str">
        <f ca="1"/>
        <v>Female</v>
      </c>
      <c r="U22">
        <f ca="1"/>
        <v>36</v>
      </c>
      <c r="V22" t="str">
        <f ca="1"/>
        <v>Average</v>
      </c>
      <c r="W22">
        <f ca="1"/>
        <v>44494</v>
      </c>
      <c r="X22" t="str">
        <f ca="1"/>
        <v>Sales</v>
      </c>
      <c r="Y22">
        <f ca="1"/>
        <v>78540</v>
      </c>
      <c r="Z22" t="str">
        <f ca="1"/>
        <v>NZ</v>
      </c>
      <c r="AA22">
        <f ca="1"/>
        <v>2.3808219178082193</v>
      </c>
      <c r="AB22">
        <f ca="1"/>
        <v>2357</v>
      </c>
      <c r="AC22">
        <f ca="1"/>
        <v>3</v>
      </c>
    </row>
    <row r="23" spans="1:29" x14ac:dyDescent="0.3">
      <c r="A23" s="19" t="s">
        <v>118</v>
      </c>
      <c r="B23" s="19" t="s">
        <v>15</v>
      </c>
      <c r="C23" s="19">
        <v>37</v>
      </c>
      <c r="D23" s="19" t="s">
        <v>24</v>
      </c>
      <c r="E23" s="22">
        <v>44277</v>
      </c>
      <c r="F23" s="19" t="s">
        <v>12</v>
      </c>
      <c r="G23" s="21">
        <v>88050</v>
      </c>
      <c r="H23" s="19" t="s">
        <v>205</v>
      </c>
      <c r="I23" s="23">
        <f ca="1">(TODAY()-Staffs[[#This Row],[Date Joined]])/365</f>
        <v>2.9753424657534246</v>
      </c>
      <c r="J23" s="21">
        <f ca="1">ROUNDUP(IF(Staffs[[#This Row],[Tenure]]&gt;2,"3%","2%")*Staffs[[#This Row],[Salary]],0)</f>
        <v>2642</v>
      </c>
      <c r="K23" s="19">
        <f>_xlfn.XLOOKUP(Staffs[[#This Row],[Rating]],$N$28:$N$32,$O$28:$O$32)</f>
        <v>2</v>
      </c>
      <c r="N23" s="9" t="s">
        <v>204</v>
      </c>
      <c r="O23" s="12" t="str">
        <f ca="1"/>
        <v>NZ</v>
      </c>
      <c r="S23" t="str">
        <f ca="1"/>
        <v>Violante Courtonne</v>
      </c>
      <c r="T23" t="str">
        <f ca="1"/>
        <v>Female</v>
      </c>
      <c r="U23">
        <f ca="1"/>
        <v>34</v>
      </c>
      <c r="V23" t="str">
        <f ca="1"/>
        <v>Poor</v>
      </c>
      <c r="W23">
        <f ca="1"/>
        <v>44721</v>
      </c>
      <c r="X23" t="str">
        <f ca="1"/>
        <v>Sales</v>
      </c>
      <c r="Y23">
        <f ca="1"/>
        <v>49630</v>
      </c>
      <c r="Z23" t="str">
        <f ca="1"/>
        <v>NZ</v>
      </c>
      <c r="AA23">
        <f ca="1"/>
        <v>1.7589041095890412</v>
      </c>
      <c r="AB23">
        <f ca="1"/>
        <v>993</v>
      </c>
      <c r="AC23">
        <f ca="1"/>
        <v>2</v>
      </c>
    </row>
    <row r="24" spans="1:29" x14ac:dyDescent="0.3">
      <c r="A24" s="19" t="s">
        <v>192</v>
      </c>
      <c r="B24" s="19" t="s">
        <v>15</v>
      </c>
      <c r="C24" s="19">
        <v>43</v>
      </c>
      <c r="D24" s="19" t="s">
        <v>16</v>
      </c>
      <c r="E24" s="22">
        <v>44558</v>
      </c>
      <c r="F24" s="19" t="s">
        <v>19</v>
      </c>
      <c r="G24" s="21">
        <v>36040</v>
      </c>
      <c r="H24" s="19" t="s">
        <v>205</v>
      </c>
      <c r="I24" s="23">
        <f ca="1">(TODAY()-Staffs[[#This Row],[Date Joined]])/365</f>
        <v>2.2054794520547945</v>
      </c>
      <c r="J24" s="21">
        <f ca="1">ROUNDUP(IF(Staffs[[#This Row],[Tenure]]&gt;2,"3%","2%")*Staffs[[#This Row],[Salary]],0)</f>
        <v>1082</v>
      </c>
      <c r="K24" s="19">
        <f>_xlfn.XLOOKUP(Staffs[[#This Row],[Rating]],$N$28:$N$32,$O$28:$O$32)</f>
        <v>3</v>
      </c>
      <c r="N24" s="9" t="s">
        <v>208</v>
      </c>
      <c r="O24" s="15">
        <f ca="1"/>
        <v>1.4054794520547946</v>
      </c>
      <c r="S24" t="str">
        <f ca="1"/>
        <v>Hyacinthie Braybrooke</v>
      </c>
      <c r="T24" t="str">
        <f ca="1"/>
        <v>Female</v>
      </c>
      <c r="U24">
        <f ca="1"/>
        <v>20</v>
      </c>
      <c r="V24" t="str">
        <f ca="1"/>
        <v>Poor</v>
      </c>
      <c r="W24">
        <f ca="1"/>
        <v>44537</v>
      </c>
      <c r="X24" t="str">
        <f ca="1"/>
        <v>Sales</v>
      </c>
      <c r="Y24">
        <f ca="1"/>
        <v>68900</v>
      </c>
      <c r="Z24" t="str">
        <f ca="1"/>
        <v>NZ</v>
      </c>
      <c r="AA24">
        <f ca="1"/>
        <v>2.2630136986301368</v>
      </c>
      <c r="AB24">
        <f ca="1"/>
        <v>2067</v>
      </c>
      <c r="AC24">
        <f ca="1"/>
        <v>2</v>
      </c>
    </row>
    <row r="25" spans="1:29" x14ac:dyDescent="0.3">
      <c r="A25" s="19" t="s">
        <v>111</v>
      </c>
      <c r="B25" s="19" t="s">
        <v>8</v>
      </c>
      <c r="C25" s="19">
        <v>42</v>
      </c>
      <c r="D25" s="19" t="s">
        <v>10</v>
      </c>
      <c r="E25" s="22">
        <v>44718</v>
      </c>
      <c r="F25" s="19" t="s">
        <v>9</v>
      </c>
      <c r="G25" s="21">
        <v>75000</v>
      </c>
      <c r="H25" s="19" t="s">
        <v>205</v>
      </c>
      <c r="I25" s="23">
        <f ca="1">(TODAY()-Staffs[[#This Row],[Date Joined]])/365</f>
        <v>1.7671232876712328</v>
      </c>
      <c r="J25" s="21">
        <f ca="1">ROUNDUP(IF(Staffs[[#This Row],[Tenure]]&gt;2,"3%","2%")*Staffs[[#This Row],[Salary]],0)</f>
        <v>1500</v>
      </c>
      <c r="K25" s="19">
        <f>_xlfn.XLOOKUP(Staffs[[#This Row],[Rating]],$N$28:$N$32,$O$28:$O$32)</f>
        <v>5</v>
      </c>
      <c r="S25" t="str">
        <f ca="1"/>
        <v>Rafaelita Blaksland</v>
      </c>
      <c r="T25" t="str">
        <f ca="1"/>
        <v>Female</v>
      </c>
      <c r="U25">
        <f ca="1"/>
        <v>38</v>
      </c>
      <c r="V25" t="str">
        <f ca="1"/>
        <v>Exceptional</v>
      </c>
      <c r="W25">
        <f ca="1"/>
        <v>44377</v>
      </c>
      <c r="X25" t="str">
        <f ca="1"/>
        <v>Sales</v>
      </c>
      <c r="Y25">
        <f ca="1"/>
        <v>109160</v>
      </c>
      <c r="Z25" t="str">
        <f ca="1"/>
        <v>NZ</v>
      </c>
      <c r="AA25">
        <f ca="1"/>
        <v>2.7013698630136984</v>
      </c>
      <c r="AB25">
        <f ca="1"/>
        <v>3275</v>
      </c>
      <c r="AC25">
        <f ca="1"/>
        <v>5</v>
      </c>
    </row>
    <row r="26" spans="1:29" x14ac:dyDescent="0.3">
      <c r="A26" s="19" t="s">
        <v>149</v>
      </c>
      <c r="B26" s="19" t="s">
        <v>15</v>
      </c>
      <c r="C26" s="19">
        <v>35</v>
      </c>
      <c r="D26" s="19" t="s">
        <v>16</v>
      </c>
      <c r="E26" s="22">
        <v>44666</v>
      </c>
      <c r="F26" s="19" t="s">
        <v>9</v>
      </c>
      <c r="G26" s="21">
        <v>40400</v>
      </c>
      <c r="H26" s="19" t="s">
        <v>205</v>
      </c>
      <c r="I26" s="23">
        <f ca="1">(TODAY()-Staffs[[#This Row],[Date Joined]])/365</f>
        <v>1.9095890410958904</v>
      </c>
      <c r="J26" s="21">
        <f ca="1">ROUNDUP(IF(Staffs[[#This Row],[Tenure]]&gt;2,"3%","2%")*Staffs[[#This Row],[Salary]],0)</f>
        <v>808</v>
      </c>
      <c r="K26" s="19">
        <f>_xlfn.XLOOKUP(Staffs[[#This Row],[Rating]],$N$28:$N$32,$O$28:$O$32)</f>
        <v>3</v>
      </c>
      <c r="S26" t="str">
        <f ca="1"/>
        <v>Alta Kaszper</v>
      </c>
      <c r="T26" t="str">
        <f ca="1"/>
        <v>Male</v>
      </c>
      <c r="U26">
        <f ca="1"/>
        <v>27</v>
      </c>
      <c r="V26" t="str">
        <f ca="1"/>
        <v>Average</v>
      </c>
      <c r="W26">
        <f ca="1"/>
        <v>44134</v>
      </c>
      <c r="X26" t="str">
        <f ca="1"/>
        <v>Sales</v>
      </c>
      <c r="Y26">
        <f ca="1"/>
        <v>54970</v>
      </c>
      <c r="Z26" t="str">
        <f ca="1"/>
        <v>NZ</v>
      </c>
      <c r="AA26">
        <f ca="1"/>
        <v>3.3671232876712329</v>
      </c>
      <c r="AB26">
        <f ca="1"/>
        <v>1650</v>
      </c>
      <c r="AC26">
        <f ca="1"/>
        <v>3</v>
      </c>
    </row>
    <row r="27" spans="1:29" x14ac:dyDescent="0.3">
      <c r="A27" s="19" t="s">
        <v>196</v>
      </c>
      <c r="B27" s="19" t="s">
        <v>15</v>
      </c>
      <c r="C27" s="19">
        <v>24</v>
      </c>
      <c r="D27" s="19" t="s">
        <v>16</v>
      </c>
      <c r="E27" s="22">
        <v>44625</v>
      </c>
      <c r="F27" s="19" t="s">
        <v>12</v>
      </c>
      <c r="G27" s="21">
        <v>100420</v>
      </c>
      <c r="H27" s="19" t="s">
        <v>205</v>
      </c>
      <c r="I27" s="23">
        <f ca="1">(TODAY()-Staffs[[#This Row],[Date Joined]])/365</f>
        <v>2.021917808219178</v>
      </c>
      <c r="J27" s="21">
        <f ca="1">ROUNDUP(IF(Staffs[[#This Row],[Tenure]]&gt;2,"3%","2%")*Staffs[[#This Row],[Salary]],0)</f>
        <v>3013</v>
      </c>
      <c r="K27" s="19">
        <f>_xlfn.XLOOKUP(Staffs[[#This Row],[Rating]],$N$28:$N$32,$O$28:$O$32)</f>
        <v>3</v>
      </c>
      <c r="S27" t="str">
        <f ca="1"/>
        <v>Oran Buxcy</v>
      </c>
      <c r="T27" t="str">
        <f ca="1"/>
        <v>Female</v>
      </c>
      <c r="U27">
        <f ca="1"/>
        <v>38</v>
      </c>
      <c r="V27" t="str">
        <f ca="1"/>
        <v>Above average</v>
      </c>
      <c r="W27">
        <f ca="1"/>
        <v>44329</v>
      </c>
      <c r="X27" t="str">
        <f ca="1"/>
        <v>Sales</v>
      </c>
      <c r="Y27">
        <f ca="1"/>
        <v>56870</v>
      </c>
      <c r="Z27" t="str">
        <f ca="1"/>
        <v>NZ</v>
      </c>
      <c r="AA27">
        <f ca="1"/>
        <v>2.8328767123287673</v>
      </c>
      <c r="AB27">
        <f ca="1"/>
        <v>1707</v>
      </c>
      <c r="AC27">
        <f ca="1"/>
        <v>4</v>
      </c>
    </row>
    <row r="28" spans="1:29" x14ac:dyDescent="0.3">
      <c r="A28" s="19" t="s">
        <v>120</v>
      </c>
      <c r="B28" s="19" t="s">
        <v>8</v>
      </c>
      <c r="C28" s="19">
        <v>31</v>
      </c>
      <c r="D28" s="19" t="s">
        <v>16</v>
      </c>
      <c r="E28" s="22">
        <v>44604</v>
      </c>
      <c r="F28" s="19" t="s">
        <v>12</v>
      </c>
      <c r="G28" s="21">
        <v>58100</v>
      </c>
      <c r="H28" s="19" t="s">
        <v>205</v>
      </c>
      <c r="I28" s="23">
        <f ca="1">(TODAY()-Staffs[[#This Row],[Date Joined]])/365</f>
        <v>2.0794520547945203</v>
      </c>
      <c r="J28" s="21">
        <f ca="1">ROUNDUP(IF(Staffs[[#This Row],[Tenure]]&gt;2,"3%","2%")*Staffs[[#This Row],[Salary]],0)</f>
        <v>1743</v>
      </c>
      <c r="K28" s="19">
        <f>_xlfn.XLOOKUP(Staffs[[#This Row],[Rating]],$N$28:$N$32,$O$28:$O$32)</f>
        <v>3</v>
      </c>
      <c r="N28" s="12" t="s">
        <v>10</v>
      </c>
      <c r="O28" s="24">
        <v>5</v>
      </c>
      <c r="S28" t="str">
        <f ca="1"/>
        <v>Hinda Label</v>
      </c>
      <c r="T28" t="str">
        <f ca="1"/>
        <v>Female</v>
      </c>
      <c r="U28">
        <f ca="1"/>
        <v>25</v>
      </c>
      <c r="V28" t="str">
        <f ca="1"/>
        <v>Average</v>
      </c>
      <c r="W28">
        <f ca="1"/>
        <v>44205</v>
      </c>
      <c r="X28" t="str">
        <f ca="1"/>
        <v>Sales</v>
      </c>
      <c r="Y28">
        <f ca="1"/>
        <v>92700</v>
      </c>
      <c r="Z28" t="str">
        <f ca="1"/>
        <v>NZ</v>
      </c>
      <c r="AA28">
        <f ca="1"/>
        <v>3.1726027397260275</v>
      </c>
      <c r="AB28">
        <f ca="1"/>
        <v>2781</v>
      </c>
      <c r="AC28">
        <f ca="1"/>
        <v>3</v>
      </c>
    </row>
    <row r="29" spans="1:29" x14ac:dyDescent="0.3">
      <c r="A29" s="19" t="s">
        <v>114</v>
      </c>
      <c r="B29" s="19" t="s">
        <v>8</v>
      </c>
      <c r="C29" s="19">
        <v>44</v>
      </c>
      <c r="D29" s="19" t="s">
        <v>16</v>
      </c>
      <c r="E29" s="22">
        <v>44985</v>
      </c>
      <c r="F29" s="19" t="s">
        <v>12</v>
      </c>
      <c r="G29" s="21">
        <v>114870</v>
      </c>
      <c r="H29" s="19" t="s">
        <v>205</v>
      </c>
      <c r="I29" s="23">
        <f ca="1">(TODAY()-Staffs[[#This Row],[Date Joined]])/365</f>
        <v>1.0356164383561643</v>
      </c>
      <c r="J29" s="21">
        <f ca="1">ROUNDUP(IF(Staffs[[#This Row],[Tenure]]&gt;2,"3%","2%")*Staffs[[#This Row],[Salary]],0)</f>
        <v>2298</v>
      </c>
      <c r="K29" s="19">
        <f>_xlfn.XLOOKUP(Staffs[[#This Row],[Rating]],$N$28:$N$32,$O$28:$O$32)</f>
        <v>3</v>
      </c>
      <c r="N29" s="12" t="s">
        <v>13</v>
      </c>
      <c r="O29" s="24">
        <v>4</v>
      </c>
      <c r="S29" t="str">
        <f ca="1"/>
        <v>Bili Sizey</v>
      </c>
      <c r="T29" t="str">
        <f ca="1"/>
        <v>Male</v>
      </c>
      <c r="U29">
        <f ca="1"/>
        <v>43</v>
      </c>
      <c r="V29" t="str">
        <f ca="1"/>
        <v>Average</v>
      </c>
      <c r="W29">
        <f ca="1"/>
        <v>44620</v>
      </c>
      <c r="X29" t="str">
        <f ca="1"/>
        <v>Sales</v>
      </c>
      <c r="Y29">
        <f ca="1"/>
        <v>36040</v>
      </c>
      <c r="Z29" t="str">
        <f ca="1"/>
        <v>NZ</v>
      </c>
      <c r="AA29">
        <f ca="1"/>
        <v>2.0356164383561643</v>
      </c>
      <c r="AB29">
        <f ca="1"/>
        <v>1082</v>
      </c>
      <c r="AC29">
        <f ca="1"/>
        <v>3</v>
      </c>
    </row>
    <row r="30" spans="1:29" x14ac:dyDescent="0.3">
      <c r="A30" s="19" t="s">
        <v>158</v>
      </c>
      <c r="B30" s="19" t="s">
        <v>8</v>
      </c>
      <c r="C30" s="19">
        <v>32</v>
      </c>
      <c r="D30" s="19" t="s">
        <v>16</v>
      </c>
      <c r="E30" s="22">
        <v>44549</v>
      </c>
      <c r="F30" s="19" t="s">
        <v>9</v>
      </c>
      <c r="G30" s="21">
        <v>41570</v>
      </c>
      <c r="H30" s="19" t="s">
        <v>205</v>
      </c>
      <c r="I30" s="23">
        <f ca="1">(TODAY()-Staffs[[#This Row],[Date Joined]])/365</f>
        <v>2.2301369863013698</v>
      </c>
      <c r="J30" s="21">
        <f ca="1">ROUNDUP(IF(Staffs[[#This Row],[Tenure]]&gt;2,"3%","2%")*Staffs[[#This Row],[Salary]],0)</f>
        <v>1248</v>
      </c>
      <c r="K30" s="19">
        <f>_xlfn.XLOOKUP(Staffs[[#This Row],[Rating]],$N$28:$N$32,$O$28:$O$32)</f>
        <v>3</v>
      </c>
      <c r="N30" s="12" t="s">
        <v>16</v>
      </c>
      <c r="O30" s="24">
        <v>3</v>
      </c>
      <c r="S30" t="str">
        <f ca="1"/>
        <v>Drusy MacCombe</v>
      </c>
      <c r="T30" t="str">
        <f ca="1"/>
        <v>Male</v>
      </c>
      <c r="U30">
        <f ca="1"/>
        <v>28</v>
      </c>
      <c r="V30" t="str">
        <f ca="1"/>
        <v>Very poor</v>
      </c>
      <c r="W30">
        <f ca="1"/>
        <v>44820</v>
      </c>
      <c r="X30" t="str">
        <f ca="1"/>
        <v>Sales</v>
      </c>
      <c r="Y30">
        <f ca="1"/>
        <v>43510</v>
      </c>
      <c r="Z30" t="str">
        <f ca="1"/>
        <v>NZ</v>
      </c>
      <c r="AA30">
        <f ca="1"/>
        <v>1.4876712328767123</v>
      </c>
      <c r="AB30">
        <f ca="1"/>
        <v>871</v>
      </c>
      <c r="AC30">
        <f ca="1"/>
        <v>1</v>
      </c>
    </row>
    <row r="31" spans="1:29" x14ac:dyDescent="0.3">
      <c r="A31" s="19" t="s">
        <v>173</v>
      </c>
      <c r="B31" s="19" t="s">
        <v>8</v>
      </c>
      <c r="C31" s="19">
        <v>30</v>
      </c>
      <c r="D31" s="19" t="s">
        <v>16</v>
      </c>
      <c r="E31" s="22">
        <v>44800</v>
      </c>
      <c r="F31" s="19" t="s">
        <v>9</v>
      </c>
      <c r="G31" s="21">
        <v>112570</v>
      </c>
      <c r="H31" s="19" t="s">
        <v>205</v>
      </c>
      <c r="I31" s="23">
        <f ca="1">(TODAY()-Staffs[[#This Row],[Date Joined]])/365</f>
        <v>1.5424657534246575</v>
      </c>
      <c r="J31" s="21">
        <f ca="1">ROUNDUP(IF(Staffs[[#This Row],[Tenure]]&gt;2,"3%","2%")*Staffs[[#This Row],[Salary]],0)</f>
        <v>2252</v>
      </c>
      <c r="K31" s="19">
        <f>_xlfn.XLOOKUP(Staffs[[#This Row],[Rating]],$N$28:$N$32,$O$28:$O$32)</f>
        <v>3</v>
      </c>
      <c r="N31" s="12" t="s">
        <v>24</v>
      </c>
      <c r="O31" s="24">
        <v>2</v>
      </c>
      <c r="S31" t="str">
        <f ca="1"/>
        <v>Gigi Bohling</v>
      </c>
      <c r="T31" t="str">
        <f ca="1"/>
        <v>Male</v>
      </c>
      <c r="U31">
        <f ca="1"/>
        <v>33</v>
      </c>
      <c r="V31" t="str">
        <f ca="1"/>
        <v>Average</v>
      </c>
      <c r="W31">
        <f ca="1"/>
        <v>44385</v>
      </c>
      <c r="X31" t="str">
        <f ca="1"/>
        <v>Sales</v>
      </c>
      <c r="Y31">
        <f ca="1"/>
        <v>74550</v>
      </c>
      <c r="Z31" t="str">
        <f ca="1"/>
        <v>NZ</v>
      </c>
      <c r="AA31">
        <f ca="1"/>
        <v>2.6794520547945204</v>
      </c>
      <c r="AB31">
        <f ca="1"/>
        <v>2237</v>
      </c>
      <c r="AC31">
        <f ca="1"/>
        <v>3</v>
      </c>
    </row>
    <row r="32" spans="1:29" x14ac:dyDescent="0.3">
      <c r="A32" s="19" t="s">
        <v>151</v>
      </c>
      <c r="B32" s="19" t="s">
        <v>15</v>
      </c>
      <c r="C32" s="19">
        <v>26</v>
      </c>
      <c r="D32" s="19" t="s">
        <v>16</v>
      </c>
      <c r="E32" s="22">
        <v>44164</v>
      </c>
      <c r="F32" s="19" t="s">
        <v>9</v>
      </c>
      <c r="G32" s="21">
        <v>47360</v>
      </c>
      <c r="H32" s="19" t="s">
        <v>205</v>
      </c>
      <c r="I32" s="23">
        <f ca="1">(TODAY()-Staffs[[#This Row],[Date Joined]])/365</f>
        <v>3.2849315068493152</v>
      </c>
      <c r="J32" s="21">
        <f ca="1">ROUNDUP(IF(Staffs[[#This Row],[Tenure]]&gt;2,"3%","2%")*Staffs[[#This Row],[Salary]],0)</f>
        <v>1421</v>
      </c>
      <c r="K32" s="19">
        <f>_xlfn.XLOOKUP(Staffs[[#This Row],[Rating]],$N$28:$N$32,$O$28:$O$32)</f>
        <v>3</v>
      </c>
      <c r="N32" s="12" t="s">
        <v>42</v>
      </c>
      <c r="O32" s="24">
        <v>1</v>
      </c>
    </row>
    <row r="33" spans="1:11" x14ac:dyDescent="0.3">
      <c r="A33" s="19" t="s">
        <v>126</v>
      </c>
      <c r="B33" s="19" t="s">
        <v>8</v>
      </c>
      <c r="C33" s="19">
        <v>21</v>
      </c>
      <c r="D33" s="19" t="s">
        <v>16</v>
      </c>
      <c r="E33" s="22">
        <v>44256</v>
      </c>
      <c r="F33" s="19" t="s">
        <v>21</v>
      </c>
      <c r="G33" s="21">
        <v>65920</v>
      </c>
      <c r="H33" s="19" t="s">
        <v>205</v>
      </c>
      <c r="I33" s="23">
        <f ca="1">(TODAY()-Staffs[[#This Row],[Date Joined]])/365</f>
        <v>3.032876712328767</v>
      </c>
      <c r="J33" s="21">
        <f ca="1">ROUNDUP(IF(Staffs[[#This Row],[Tenure]]&gt;2,"3%","2%")*Staffs[[#This Row],[Salary]],0)</f>
        <v>1978</v>
      </c>
      <c r="K33" s="19">
        <f>_xlfn.XLOOKUP(Staffs[[#This Row],[Rating]],$N$28:$N$32,$O$28:$O$32)</f>
        <v>3</v>
      </c>
    </row>
    <row r="34" spans="1:11" x14ac:dyDescent="0.3">
      <c r="A34" s="19" t="s">
        <v>200</v>
      </c>
      <c r="B34" s="19" t="s">
        <v>8</v>
      </c>
      <c r="C34" s="19">
        <v>28</v>
      </c>
      <c r="D34" s="19" t="s">
        <v>16</v>
      </c>
      <c r="E34" s="22">
        <v>44571</v>
      </c>
      <c r="F34" s="19" t="s">
        <v>9</v>
      </c>
      <c r="G34" s="21">
        <v>99970</v>
      </c>
      <c r="H34" s="19" t="s">
        <v>205</v>
      </c>
      <c r="I34" s="23">
        <f ca="1">(TODAY()-Staffs[[#This Row],[Date Joined]])/365</f>
        <v>2.1698630136986301</v>
      </c>
      <c r="J34" s="21">
        <f ca="1">ROUNDUP(IF(Staffs[[#This Row],[Tenure]]&gt;2,"3%","2%")*Staffs[[#This Row],[Salary]],0)</f>
        <v>3000</v>
      </c>
      <c r="K34" s="19">
        <f>_xlfn.XLOOKUP(Staffs[[#This Row],[Rating]],$N$28:$N$32,$O$28:$O$32)</f>
        <v>3</v>
      </c>
    </row>
    <row r="35" spans="1:11" x14ac:dyDescent="0.3">
      <c r="A35" s="19" t="s">
        <v>133</v>
      </c>
      <c r="B35" s="19" t="s">
        <v>8</v>
      </c>
      <c r="C35" s="19">
        <v>25</v>
      </c>
      <c r="D35" s="19" t="s">
        <v>13</v>
      </c>
      <c r="E35" s="22">
        <v>44633</v>
      </c>
      <c r="F35" s="19" t="s">
        <v>12</v>
      </c>
      <c r="G35" s="21">
        <v>80700</v>
      </c>
      <c r="H35" s="19" t="s">
        <v>205</v>
      </c>
      <c r="I35" s="23">
        <f ca="1">(TODAY()-Staffs[[#This Row],[Date Joined]])/365</f>
        <v>2</v>
      </c>
      <c r="J35" s="21">
        <f ca="1">ROUNDUP(IF(Staffs[[#This Row],[Tenure]]&gt;2,"3%","2%")*Staffs[[#This Row],[Salary]],0)</f>
        <v>1614</v>
      </c>
      <c r="K35" s="19">
        <f>_xlfn.XLOOKUP(Staffs[[#This Row],[Rating]],$N$28:$N$32,$O$28:$O$32)</f>
        <v>4</v>
      </c>
    </row>
    <row r="36" spans="1:11" x14ac:dyDescent="0.3">
      <c r="A36" s="19" t="s">
        <v>155</v>
      </c>
      <c r="B36" s="19" t="s">
        <v>15</v>
      </c>
      <c r="C36" s="19">
        <v>24</v>
      </c>
      <c r="D36" s="19" t="s">
        <v>24</v>
      </c>
      <c r="E36" s="22">
        <v>44375</v>
      </c>
      <c r="F36" s="19" t="s">
        <v>21</v>
      </c>
      <c r="G36" s="21">
        <v>52610</v>
      </c>
      <c r="H36" s="19" t="s">
        <v>205</v>
      </c>
      <c r="I36" s="23">
        <f ca="1">(TODAY()-Staffs[[#This Row],[Date Joined]])/365</f>
        <v>2.7068493150684931</v>
      </c>
      <c r="J36" s="21">
        <f ca="1">ROUNDUP(IF(Staffs[[#This Row],[Tenure]]&gt;2,"3%","2%")*Staffs[[#This Row],[Salary]],0)</f>
        <v>1579</v>
      </c>
      <c r="K36" s="19">
        <f>_xlfn.XLOOKUP(Staffs[[#This Row],[Rating]],$N$28:$N$32,$O$28:$O$32)</f>
        <v>2</v>
      </c>
    </row>
    <row r="37" spans="1:11" x14ac:dyDescent="0.3">
      <c r="A37" s="19" t="s">
        <v>180</v>
      </c>
      <c r="B37" s="19" t="s">
        <v>15</v>
      </c>
      <c r="C37" s="19">
        <v>29</v>
      </c>
      <c r="D37" s="19" t="s">
        <v>24</v>
      </c>
      <c r="E37" s="22">
        <v>44119</v>
      </c>
      <c r="F37" s="19" t="s">
        <v>12</v>
      </c>
      <c r="G37" s="21">
        <v>112110</v>
      </c>
      <c r="H37" s="19" t="s">
        <v>205</v>
      </c>
      <c r="I37" s="23">
        <f ca="1">(TODAY()-Staffs[[#This Row],[Date Joined]])/365</f>
        <v>3.408219178082192</v>
      </c>
      <c r="J37" s="21">
        <f ca="1">ROUNDUP(IF(Staffs[[#This Row],[Tenure]]&gt;2,"3%","2%")*Staffs[[#This Row],[Salary]],0)</f>
        <v>3364</v>
      </c>
      <c r="K37" s="19">
        <f>_xlfn.XLOOKUP(Staffs[[#This Row],[Rating]],$N$28:$N$32,$O$28:$O$32)</f>
        <v>2</v>
      </c>
    </row>
    <row r="38" spans="1:11" x14ac:dyDescent="0.3">
      <c r="A38" s="19" t="s">
        <v>152</v>
      </c>
      <c r="B38" s="19" t="s">
        <v>8</v>
      </c>
      <c r="C38" s="19">
        <v>27</v>
      </c>
      <c r="D38" s="19" t="s">
        <v>16</v>
      </c>
      <c r="E38" s="22">
        <v>44061</v>
      </c>
      <c r="F38" s="19" t="s">
        <v>56</v>
      </c>
      <c r="G38" s="21">
        <v>119110</v>
      </c>
      <c r="H38" s="19" t="s">
        <v>205</v>
      </c>
      <c r="I38" s="23">
        <f ca="1">(TODAY()-Staffs[[#This Row],[Date Joined]])/365</f>
        <v>3.5671232876712327</v>
      </c>
      <c r="J38" s="21">
        <f ca="1">ROUNDUP(IF(Staffs[[#This Row],[Tenure]]&gt;2,"3%","2%")*Staffs[[#This Row],[Salary]],0)</f>
        <v>3574</v>
      </c>
      <c r="K38" s="19">
        <f>_xlfn.XLOOKUP(Staffs[[#This Row],[Rating]],$N$28:$N$32,$O$28:$O$32)</f>
        <v>3</v>
      </c>
    </row>
    <row r="39" spans="1:11" x14ac:dyDescent="0.3">
      <c r="A39" s="19" t="s">
        <v>150</v>
      </c>
      <c r="B39" s="19" t="s">
        <v>15</v>
      </c>
      <c r="C39" s="19">
        <v>22</v>
      </c>
      <c r="D39" s="19" t="s">
        <v>13</v>
      </c>
      <c r="E39" s="22">
        <v>44384</v>
      </c>
      <c r="F39" s="19" t="s">
        <v>19</v>
      </c>
      <c r="G39" s="21">
        <v>112780</v>
      </c>
      <c r="H39" s="19" t="s">
        <v>205</v>
      </c>
      <c r="I39" s="23">
        <f ca="1">(TODAY()-Staffs[[#This Row],[Date Joined]])/365</f>
        <v>2.6821917808219178</v>
      </c>
      <c r="J39" s="21">
        <f ca="1">ROUNDUP(IF(Staffs[[#This Row],[Tenure]]&gt;2,"3%","2%")*Staffs[[#This Row],[Salary]],0)</f>
        <v>3384</v>
      </c>
      <c r="K39" s="19">
        <f>_xlfn.XLOOKUP(Staffs[[#This Row],[Rating]],$N$28:$N$32,$O$28:$O$32)</f>
        <v>4</v>
      </c>
    </row>
    <row r="40" spans="1:11" x14ac:dyDescent="0.3">
      <c r="A40" s="19" t="s">
        <v>175</v>
      </c>
      <c r="B40" s="19" t="s">
        <v>8</v>
      </c>
      <c r="C40" s="19">
        <v>36</v>
      </c>
      <c r="D40" s="19" t="s">
        <v>16</v>
      </c>
      <c r="E40" s="22">
        <v>44023</v>
      </c>
      <c r="F40" s="19" t="s">
        <v>9</v>
      </c>
      <c r="G40" s="21">
        <v>114890</v>
      </c>
      <c r="H40" s="19" t="s">
        <v>205</v>
      </c>
      <c r="I40" s="23">
        <f ca="1">(TODAY()-Staffs[[#This Row],[Date Joined]])/365</f>
        <v>3.6712328767123288</v>
      </c>
      <c r="J40" s="21">
        <f ca="1">ROUNDUP(IF(Staffs[[#This Row],[Tenure]]&gt;2,"3%","2%")*Staffs[[#This Row],[Salary]],0)</f>
        <v>3447</v>
      </c>
      <c r="K40" s="19">
        <f>_xlfn.XLOOKUP(Staffs[[#This Row],[Rating]],$N$28:$N$32,$O$28:$O$32)</f>
        <v>3</v>
      </c>
    </row>
    <row r="41" spans="1:11" x14ac:dyDescent="0.3">
      <c r="A41" s="19" t="s">
        <v>146</v>
      </c>
      <c r="B41" s="19" t="s">
        <v>15</v>
      </c>
      <c r="C41" s="19">
        <v>27</v>
      </c>
      <c r="D41" s="19" t="s">
        <v>16</v>
      </c>
      <c r="E41" s="22">
        <v>44506</v>
      </c>
      <c r="F41" s="19" t="s">
        <v>21</v>
      </c>
      <c r="G41" s="21">
        <v>48980</v>
      </c>
      <c r="H41" s="19" t="s">
        <v>205</v>
      </c>
      <c r="I41" s="23">
        <f ca="1">(TODAY()-Staffs[[#This Row],[Date Joined]])/365</f>
        <v>2.3479452054794518</v>
      </c>
      <c r="J41" s="21">
        <f ca="1">ROUNDUP(IF(Staffs[[#This Row],[Tenure]]&gt;2,"3%","2%")*Staffs[[#This Row],[Salary]],0)</f>
        <v>1470</v>
      </c>
      <c r="K41" s="19">
        <f>_xlfn.XLOOKUP(Staffs[[#This Row],[Rating]],$N$28:$N$32,$O$28:$O$32)</f>
        <v>3</v>
      </c>
    </row>
    <row r="42" spans="1:11" x14ac:dyDescent="0.3">
      <c r="A42" s="19" t="s">
        <v>170</v>
      </c>
      <c r="B42" s="19" t="s">
        <v>15</v>
      </c>
      <c r="C42" s="19">
        <v>21</v>
      </c>
      <c r="D42" s="19" t="s">
        <v>16</v>
      </c>
      <c r="E42" s="22">
        <v>44180</v>
      </c>
      <c r="F42" s="19" t="s">
        <v>56</v>
      </c>
      <c r="G42" s="21">
        <v>75880</v>
      </c>
      <c r="H42" s="19" t="s">
        <v>205</v>
      </c>
      <c r="I42" s="23">
        <f ca="1">(TODAY()-Staffs[[#This Row],[Date Joined]])/365</f>
        <v>3.2410958904109588</v>
      </c>
      <c r="J42" s="21">
        <f ca="1">ROUNDUP(IF(Staffs[[#This Row],[Tenure]]&gt;2,"3%","2%")*Staffs[[#This Row],[Salary]],0)</f>
        <v>2277</v>
      </c>
      <c r="K42" s="19">
        <f>_xlfn.XLOOKUP(Staffs[[#This Row],[Rating]],$N$28:$N$32,$O$28:$O$32)</f>
        <v>3</v>
      </c>
    </row>
    <row r="43" spans="1:11" x14ac:dyDescent="0.3">
      <c r="A43" s="19" t="s">
        <v>167</v>
      </c>
      <c r="B43" s="19" t="s">
        <v>8</v>
      </c>
      <c r="C43" s="19">
        <v>28</v>
      </c>
      <c r="D43" s="19" t="s">
        <v>16</v>
      </c>
      <c r="E43" s="22">
        <v>44296</v>
      </c>
      <c r="F43" s="19" t="s">
        <v>19</v>
      </c>
      <c r="G43" s="21">
        <v>53240</v>
      </c>
      <c r="H43" s="19" t="s">
        <v>205</v>
      </c>
      <c r="I43" s="23">
        <f ca="1">(TODAY()-Staffs[[#This Row],[Date Joined]])/365</f>
        <v>2.9232876712328766</v>
      </c>
      <c r="J43" s="21">
        <f ca="1">ROUNDUP(IF(Staffs[[#This Row],[Tenure]]&gt;2,"3%","2%")*Staffs[[#This Row],[Salary]],0)</f>
        <v>1598</v>
      </c>
      <c r="K43" s="19">
        <f>_xlfn.XLOOKUP(Staffs[[#This Row],[Rating]],$N$28:$N$32,$O$28:$O$32)</f>
        <v>3</v>
      </c>
    </row>
    <row r="44" spans="1:11" x14ac:dyDescent="0.3">
      <c r="A44" s="19" t="s">
        <v>122</v>
      </c>
      <c r="B44" s="19" t="s">
        <v>8</v>
      </c>
      <c r="C44" s="19">
        <v>34</v>
      </c>
      <c r="D44" s="19" t="s">
        <v>16</v>
      </c>
      <c r="E44" s="22">
        <v>44397</v>
      </c>
      <c r="F44" s="19" t="s">
        <v>21</v>
      </c>
      <c r="G44" s="21">
        <v>85000</v>
      </c>
      <c r="H44" s="19" t="s">
        <v>205</v>
      </c>
      <c r="I44" s="23">
        <f ca="1">(TODAY()-Staffs[[#This Row],[Date Joined]])/365</f>
        <v>2.6465753424657534</v>
      </c>
      <c r="J44" s="21">
        <f ca="1">ROUNDUP(IF(Staffs[[#This Row],[Tenure]]&gt;2,"3%","2%")*Staffs[[#This Row],[Salary]],0)</f>
        <v>2550</v>
      </c>
      <c r="K44" s="19">
        <f>_xlfn.XLOOKUP(Staffs[[#This Row],[Rating]],$N$28:$N$32,$O$28:$O$32)</f>
        <v>3</v>
      </c>
    </row>
    <row r="45" spans="1:11" x14ac:dyDescent="0.3">
      <c r="A45" s="19" t="s">
        <v>179</v>
      </c>
      <c r="B45" s="19" t="s">
        <v>8</v>
      </c>
      <c r="C45" s="19">
        <v>21</v>
      </c>
      <c r="D45" s="19" t="s">
        <v>16</v>
      </c>
      <c r="E45" s="22">
        <v>44619</v>
      </c>
      <c r="F45" s="19" t="s">
        <v>12</v>
      </c>
      <c r="G45" s="21">
        <v>33920</v>
      </c>
      <c r="H45" s="19" t="s">
        <v>205</v>
      </c>
      <c r="I45" s="23">
        <f ca="1">(TODAY()-Staffs[[#This Row],[Date Joined]])/365</f>
        <v>2.0383561643835617</v>
      </c>
      <c r="J45" s="21">
        <f ca="1">ROUNDUP(IF(Staffs[[#This Row],[Tenure]]&gt;2,"3%","2%")*Staffs[[#This Row],[Salary]],0)</f>
        <v>1018</v>
      </c>
      <c r="K45" s="19">
        <f>_xlfn.XLOOKUP(Staffs[[#This Row],[Rating]],$N$28:$N$32,$O$28:$O$32)</f>
        <v>3</v>
      </c>
    </row>
    <row r="46" spans="1:11" x14ac:dyDescent="0.3">
      <c r="A46" s="19" t="s">
        <v>188</v>
      </c>
      <c r="B46" s="19" t="s">
        <v>8</v>
      </c>
      <c r="C46" s="19">
        <v>33</v>
      </c>
      <c r="D46" s="19" t="s">
        <v>16</v>
      </c>
      <c r="E46" s="22">
        <v>44253</v>
      </c>
      <c r="F46" s="19" t="s">
        <v>12</v>
      </c>
      <c r="G46" s="21">
        <v>75280</v>
      </c>
      <c r="H46" s="19" t="s">
        <v>205</v>
      </c>
      <c r="I46" s="23">
        <f ca="1">(TODAY()-Staffs[[#This Row],[Date Joined]])/365</f>
        <v>3.0410958904109591</v>
      </c>
      <c r="J46" s="21">
        <f ca="1">ROUNDUP(IF(Staffs[[#This Row],[Tenure]]&gt;2,"3%","2%")*Staffs[[#This Row],[Salary]],0)</f>
        <v>2259</v>
      </c>
      <c r="K46" s="19">
        <f>_xlfn.XLOOKUP(Staffs[[#This Row],[Rating]],$N$28:$N$32,$O$28:$O$32)</f>
        <v>3</v>
      </c>
    </row>
    <row r="47" spans="1:11" x14ac:dyDescent="0.3">
      <c r="A47" s="19" t="s">
        <v>130</v>
      </c>
      <c r="B47" s="19" t="s">
        <v>8</v>
      </c>
      <c r="C47" s="19">
        <v>34</v>
      </c>
      <c r="D47" s="19" t="s">
        <v>16</v>
      </c>
      <c r="E47" s="22">
        <v>44594</v>
      </c>
      <c r="F47" s="19" t="s">
        <v>21</v>
      </c>
      <c r="G47" s="21">
        <v>58940</v>
      </c>
      <c r="H47" s="19" t="s">
        <v>205</v>
      </c>
      <c r="I47" s="23">
        <f ca="1">(TODAY()-Staffs[[#This Row],[Date Joined]])/365</f>
        <v>2.106849315068493</v>
      </c>
      <c r="J47" s="21">
        <f ca="1">ROUNDUP(IF(Staffs[[#This Row],[Tenure]]&gt;2,"3%","2%")*Staffs[[#This Row],[Salary]],0)</f>
        <v>1769</v>
      </c>
      <c r="K47" s="19">
        <f>_xlfn.XLOOKUP(Staffs[[#This Row],[Rating]],$N$28:$N$32,$O$28:$O$32)</f>
        <v>3</v>
      </c>
    </row>
    <row r="48" spans="1:11" x14ac:dyDescent="0.3">
      <c r="A48" s="19" t="s">
        <v>136</v>
      </c>
      <c r="B48" s="19" t="s">
        <v>8</v>
      </c>
      <c r="C48" s="19">
        <v>28</v>
      </c>
      <c r="D48" s="19" t="s">
        <v>16</v>
      </c>
      <c r="E48" s="22">
        <v>44425</v>
      </c>
      <c r="F48" s="19" t="s">
        <v>9</v>
      </c>
      <c r="G48" s="21">
        <v>104770</v>
      </c>
      <c r="H48" s="19" t="s">
        <v>205</v>
      </c>
      <c r="I48" s="23">
        <f ca="1">(TODAY()-Staffs[[#This Row],[Date Joined]])/365</f>
        <v>2.56986301369863</v>
      </c>
      <c r="J48" s="21">
        <f ca="1">ROUNDUP(IF(Staffs[[#This Row],[Tenure]]&gt;2,"3%","2%")*Staffs[[#This Row],[Salary]],0)</f>
        <v>3144</v>
      </c>
      <c r="K48" s="19">
        <f>_xlfn.XLOOKUP(Staffs[[#This Row],[Rating]],$N$28:$N$32,$O$28:$O$32)</f>
        <v>3</v>
      </c>
    </row>
    <row r="49" spans="1:11" x14ac:dyDescent="0.3">
      <c r="A49" s="19" t="s">
        <v>125</v>
      </c>
      <c r="B49" s="19" t="s">
        <v>15</v>
      </c>
      <c r="C49" s="19">
        <v>21</v>
      </c>
      <c r="D49" s="19" t="s">
        <v>16</v>
      </c>
      <c r="E49" s="22">
        <v>44701</v>
      </c>
      <c r="F49" s="19" t="s">
        <v>9</v>
      </c>
      <c r="G49" s="21">
        <v>57090</v>
      </c>
      <c r="H49" s="19" t="s">
        <v>205</v>
      </c>
      <c r="I49" s="23">
        <f ca="1">(TODAY()-Staffs[[#This Row],[Date Joined]])/365</f>
        <v>1.8136986301369864</v>
      </c>
      <c r="J49" s="21">
        <f ca="1">ROUNDUP(IF(Staffs[[#This Row],[Tenure]]&gt;2,"3%","2%")*Staffs[[#This Row],[Salary]],0)</f>
        <v>1142</v>
      </c>
      <c r="K49" s="19">
        <f>_xlfn.XLOOKUP(Staffs[[#This Row],[Rating]],$N$28:$N$32,$O$28:$O$32)</f>
        <v>3</v>
      </c>
    </row>
    <row r="50" spans="1:11" x14ac:dyDescent="0.3">
      <c r="A50" s="19" t="s">
        <v>160</v>
      </c>
      <c r="B50" s="19" t="s">
        <v>15</v>
      </c>
      <c r="C50" s="19">
        <v>27</v>
      </c>
      <c r="D50" s="19" t="s">
        <v>13</v>
      </c>
      <c r="E50" s="22">
        <v>44174</v>
      </c>
      <c r="F50" s="19" t="s">
        <v>21</v>
      </c>
      <c r="G50" s="21">
        <v>91650</v>
      </c>
      <c r="H50" s="19" t="s">
        <v>205</v>
      </c>
      <c r="I50" s="23">
        <f ca="1">(TODAY()-Staffs[[#This Row],[Date Joined]])/365</f>
        <v>3.2575342465753425</v>
      </c>
      <c r="J50" s="21">
        <f ca="1">ROUNDUP(IF(Staffs[[#This Row],[Tenure]]&gt;2,"3%","2%")*Staffs[[#This Row],[Salary]],0)</f>
        <v>2750</v>
      </c>
      <c r="K50" s="19">
        <f>_xlfn.XLOOKUP(Staffs[[#This Row],[Rating]],$N$28:$N$32,$O$28:$O$32)</f>
        <v>4</v>
      </c>
    </row>
    <row r="51" spans="1:11" x14ac:dyDescent="0.3">
      <c r="A51" s="19" t="s">
        <v>183</v>
      </c>
      <c r="B51" s="19" t="s">
        <v>15</v>
      </c>
      <c r="C51" s="19">
        <v>42</v>
      </c>
      <c r="D51" s="19" t="s">
        <v>24</v>
      </c>
      <c r="E51" s="22">
        <v>44670</v>
      </c>
      <c r="F51" s="19" t="s">
        <v>21</v>
      </c>
      <c r="G51" s="21">
        <v>70270</v>
      </c>
      <c r="H51" s="19" t="s">
        <v>205</v>
      </c>
      <c r="I51" s="23">
        <f ca="1">(TODAY()-Staffs[[#This Row],[Date Joined]])/365</f>
        <v>1.8986301369863015</v>
      </c>
      <c r="J51" s="21">
        <f ca="1">ROUNDUP(IF(Staffs[[#This Row],[Tenure]]&gt;2,"3%","2%")*Staffs[[#This Row],[Salary]],0)</f>
        <v>1406</v>
      </c>
      <c r="K51" s="19">
        <f>_xlfn.XLOOKUP(Staffs[[#This Row],[Rating]],$N$28:$N$32,$O$28:$O$32)</f>
        <v>2</v>
      </c>
    </row>
    <row r="52" spans="1:11" x14ac:dyDescent="0.3">
      <c r="A52" s="19" t="s">
        <v>129</v>
      </c>
      <c r="B52" s="19" t="s">
        <v>8</v>
      </c>
      <c r="C52" s="19">
        <v>28</v>
      </c>
      <c r="D52" s="19" t="s">
        <v>16</v>
      </c>
      <c r="E52" s="22">
        <v>44124</v>
      </c>
      <c r="F52" s="19" t="s">
        <v>21</v>
      </c>
      <c r="G52" s="21">
        <v>75970</v>
      </c>
      <c r="H52" s="19" t="s">
        <v>205</v>
      </c>
      <c r="I52" s="23">
        <f ca="1">(TODAY()-Staffs[[#This Row],[Date Joined]])/365</f>
        <v>3.3945205479452056</v>
      </c>
      <c r="J52" s="21">
        <f ca="1">ROUNDUP(IF(Staffs[[#This Row],[Tenure]]&gt;2,"3%","2%")*Staffs[[#This Row],[Salary]],0)</f>
        <v>2280</v>
      </c>
      <c r="K52" s="19">
        <f>_xlfn.XLOOKUP(Staffs[[#This Row],[Rating]],$N$28:$N$32,$O$28:$O$32)</f>
        <v>3</v>
      </c>
    </row>
    <row r="53" spans="1:11" x14ac:dyDescent="0.3">
      <c r="A53" s="19" t="s">
        <v>112</v>
      </c>
      <c r="B53" s="19" t="s">
        <v>206</v>
      </c>
      <c r="C53" s="19">
        <v>27</v>
      </c>
      <c r="D53" s="19" t="s">
        <v>13</v>
      </c>
      <c r="E53" s="22">
        <v>44212</v>
      </c>
      <c r="F53" s="19" t="s">
        <v>12</v>
      </c>
      <c r="G53" s="21">
        <v>90700</v>
      </c>
      <c r="H53" s="19" t="s">
        <v>205</v>
      </c>
      <c r="I53" s="23">
        <f ca="1">(TODAY()-Staffs[[#This Row],[Date Joined]])/365</f>
        <v>3.1534246575342464</v>
      </c>
      <c r="J53" s="21">
        <f ca="1">ROUNDUP(IF(Staffs[[#This Row],[Tenure]]&gt;2,"3%","2%")*Staffs[[#This Row],[Salary]],0)</f>
        <v>2721</v>
      </c>
      <c r="K53" s="19">
        <f>_xlfn.XLOOKUP(Staffs[[#This Row],[Rating]],$N$28:$N$32,$O$28:$O$32)</f>
        <v>4</v>
      </c>
    </row>
    <row r="54" spans="1:11" x14ac:dyDescent="0.3">
      <c r="A54" s="19" t="s">
        <v>131</v>
      </c>
      <c r="B54" s="19" t="s">
        <v>15</v>
      </c>
      <c r="C54" s="19">
        <v>30</v>
      </c>
      <c r="D54" s="19" t="s">
        <v>16</v>
      </c>
      <c r="E54" s="22">
        <v>44607</v>
      </c>
      <c r="F54" s="19" t="s">
        <v>9</v>
      </c>
      <c r="G54" s="21">
        <v>60570</v>
      </c>
      <c r="H54" s="19" t="s">
        <v>205</v>
      </c>
      <c r="I54" s="23">
        <f ca="1">(TODAY()-Staffs[[#This Row],[Date Joined]])/365</f>
        <v>2.0712328767123287</v>
      </c>
      <c r="J54" s="21">
        <f ca="1">ROUNDUP(IF(Staffs[[#This Row],[Tenure]]&gt;2,"3%","2%")*Staffs[[#This Row],[Salary]],0)</f>
        <v>1818</v>
      </c>
      <c r="K54" s="19">
        <f>_xlfn.XLOOKUP(Staffs[[#This Row],[Rating]],$N$28:$N$32,$O$28:$O$32)</f>
        <v>3</v>
      </c>
    </row>
    <row r="55" spans="1:11" x14ac:dyDescent="0.3">
      <c r="A55" s="19" t="s">
        <v>134</v>
      </c>
      <c r="B55" s="19" t="s">
        <v>15</v>
      </c>
      <c r="C55" s="19">
        <v>33</v>
      </c>
      <c r="D55" s="19" t="s">
        <v>16</v>
      </c>
      <c r="E55" s="22">
        <v>44103</v>
      </c>
      <c r="F55" s="19" t="s">
        <v>9</v>
      </c>
      <c r="G55" s="21">
        <v>115920</v>
      </c>
      <c r="H55" s="19" t="s">
        <v>205</v>
      </c>
      <c r="I55" s="23">
        <f ca="1">(TODAY()-Staffs[[#This Row],[Date Joined]])/365</f>
        <v>3.452054794520548</v>
      </c>
      <c r="J55" s="21">
        <f ca="1">ROUNDUP(IF(Staffs[[#This Row],[Tenure]]&gt;2,"3%","2%")*Staffs[[#This Row],[Salary]],0)</f>
        <v>3478</v>
      </c>
      <c r="K55" s="19">
        <f>_xlfn.XLOOKUP(Staffs[[#This Row],[Rating]],$N$28:$N$32,$O$28:$O$32)</f>
        <v>3</v>
      </c>
    </row>
    <row r="56" spans="1:11" x14ac:dyDescent="0.3">
      <c r="A56" s="19" t="s">
        <v>186</v>
      </c>
      <c r="B56" s="19" t="s">
        <v>8</v>
      </c>
      <c r="C56" s="19">
        <v>33</v>
      </c>
      <c r="D56" s="19" t="s">
        <v>16</v>
      </c>
      <c r="E56" s="22">
        <v>44006</v>
      </c>
      <c r="F56" s="19" t="s">
        <v>21</v>
      </c>
      <c r="G56" s="21">
        <v>65360</v>
      </c>
      <c r="H56" s="19" t="s">
        <v>205</v>
      </c>
      <c r="I56" s="23">
        <f ca="1">(TODAY()-Staffs[[#This Row],[Date Joined]])/365</f>
        <v>3.7178082191780821</v>
      </c>
      <c r="J56" s="21">
        <f ca="1">ROUNDUP(IF(Staffs[[#This Row],[Tenure]]&gt;2,"3%","2%")*Staffs[[#This Row],[Salary]],0)</f>
        <v>1961</v>
      </c>
      <c r="K56" s="19">
        <f>_xlfn.XLOOKUP(Staffs[[#This Row],[Rating]],$N$28:$N$32,$O$28:$O$32)</f>
        <v>3</v>
      </c>
    </row>
    <row r="57" spans="1:11" x14ac:dyDescent="0.3">
      <c r="A57" s="19" t="s">
        <v>116</v>
      </c>
      <c r="B57" s="19" t="s">
        <v>206</v>
      </c>
      <c r="C57" s="19">
        <v>30</v>
      </c>
      <c r="D57" s="19" t="s">
        <v>16</v>
      </c>
      <c r="E57" s="22">
        <v>44535</v>
      </c>
      <c r="F57" s="19" t="s">
        <v>21</v>
      </c>
      <c r="G57" s="21">
        <v>64000</v>
      </c>
      <c r="H57" s="19" t="s">
        <v>205</v>
      </c>
      <c r="I57" s="23">
        <f ca="1">(TODAY()-Staffs[[#This Row],[Date Joined]])/365</f>
        <v>2.2684931506849315</v>
      </c>
      <c r="J57" s="21">
        <f ca="1">ROUNDUP(IF(Staffs[[#This Row],[Tenure]]&gt;2,"3%","2%")*Staffs[[#This Row],[Salary]],0)</f>
        <v>1920</v>
      </c>
      <c r="K57" s="19">
        <f>_xlfn.XLOOKUP(Staffs[[#This Row],[Rating]],$N$28:$N$32,$O$28:$O$32)</f>
        <v>3</v>
      </c>
    </row>
    <row r="58" spans="1:11" x14ac:dyDescent="0.3">
      <c r="A58" s="19" t="s">
        <v>195</v>
      </c>
      <c r="B58" s="19" t="s">
        <v>8</v>
      </c>
      <c r="C58" s="19">
        <v>34</v>
      </c>
      <c r="D58" s="19" t="s">
        <v>16</v>
      </c>
      <c r="E58" s="22">
        <v>44383</v>
      </c>
      <c r="F58" s="19" t="s">
        <v>21</v>
      </c>
      <c r="G58" s="21">
        <v>92450</v>
      </c>
      <c r="H58" s="19" t="s">
        <v>205</v>
      </c>
      <c r="I58" s="23">
        <f ca="1">(TODAY()-Staffs[[#This Row],[Date Joined]])/365</f>
        <v>2.6849315068493151</v>
      </c>
      <c r="J58" s="21">
        <f ca="1">ROUNDUP(IF(Staffs[[#This Row],[Tenure]]&gt;2,"3%","2%")*Staffs[[#This Row],[Salary]],0)</f>
        <v>2774</v>
      </c>
      <c r="K58" s="19">
        <f>_xlfn.XLOOKUP(Staffs[[#This Row],[Rating]],$N$28:$N$32,$O$28:$O$32)</f>
        <v>3</v>
      </c>
    </row>
    <row r="59" spans="1:11" x14ac:dyDescent="0.3">
      <c r="A59" s="19" t="s">
        <v>113</v>
      </c>
      <c r="B59" s="19" t="s">
        <v>15</v>
      </c>
      <c r="C59" s="19">
        <v>31</v>
      </c>
      <c r="D59" s="19" t="s">
        <v>16</v>
      </c>
      <c r="E59" s="22">
        <v>44450</v>
      </c>
      <c r="F59" s="19" t="s">
        <v>12</v>
      </c>
      <c r="G59" s="21">
        <v>48950</v>
      </c>
      <c r="H59" s="19" t="s">
        <v>205</v>
      </c>
      <c r="I59" s="23">
        <f ca="1">(TODAY()-Staffs[[#This Row],[Date Joined]])/365</f>
        <v>2.5013698630136987</v>
      </c>
      <c r="J59" s="21">
        <f ca="1">ROUNDUP(IF(Staffs[[#This Row],[Tenure]]&gt;2,"3%","2%")*Staffs[[#This Row],[Salary]],0)</f>
        <v>1469</v>
      </c>
      <c r="K59" s="19">
        <f>_xlfn.XLOOKUP(Staffs[[#This Row],[Rating]],$N$28:$N$32,$O$28:$O$32)</f>
        <v>3</v>
      </c>
    </row>
    <row r="60" spans="1:11" x14ac:dyDescent="0.3">
      <c r="A60" s="19" t="s">
        <v>185</v>
      </c>
      <c r="B60" s="19" t="s">
        <v>8</v>
      </c>
      <c r="C60" s="19">
        <v>27</v>
      </c>
      <c r="D60" s="19" t="s">
        <v>16</v>
      </c>
      <c r="E60" s="22">
        <v>44625</v>
      </c>
      <c r="F60" s="19" t="s">
        <v>12</v>
      </c>
      <c r="G60" s="21">
        <v>83750</v>
      </c>
      <c r="H60" s="19" t="s">
        <v>205</v>
      </c>
      <c r="I60" s="23">
        <f ca="1">(TODAY()-Staffs[[#This Row],[Date Joined]])/365</f>
        <v>2.021917808219178</v>
      </c>
      <c r="J60" s="21">
        <f ca="1">ROUNDUP(IF(Staffs[[#This Row],[Tenure]]&gt;2,"3%","2%")*Staffs[[#This Row],[Salary]],0)</f>
        <v>2513</v>
      </c>
      <c r="K60" s="19">
        <f>_xlfn.XLOOKUP(Staffs[[#This Row],[Rating]],$N$28:$N$32,$O$28:$O$32)</f>
        <v>3</v>
      </c>
    </row>
    <row r="61" spans="1:11" x14ac:dyDescent="0.3">
      <c r="A61" s="19" t="s">
        <v>166</v>
      </c>
      <c r="B61" s="19" t="s">
        <v>8</v>
      </c>
      <c r="C61" s="19">
        <v>40</v>
      </c>
      <c r="D61" s="19" t="s">
        <v>16</v>
      </c>
      <c r="E61" s="22">
        <v>44276</v>
      </c>
      <c r="F61" s="19" t="s">
        <v>12</v>
      </c>
      <c r="G61" s="21">
        <v>87620</v>
      </c>
      <c r="H61" s="19" t="s">
        <v>205</v>
      </c>
      <c r="I61" s="23">
        <f ca="1">(TODAY()-Staffs[[#This Row],[Date Joined]])/365</f>
        <v>2.978082191780822</v>
      </c>
      <c r="J61" s="21">
        <f ca="1">ROUNDUP(IF(Staffs[[#This Row],[Tenure]]&gt;2,"3%","2%")*Staffs[[#This Row],[Salary]],0)</f>
        <v>2629</v>
      </c>
      <c r="K61" s="19">
        <f>_xlfn.XLOOKUP(Staffs[[#This Row],[Rating]],$N$28:$N$32,$O$28:$O$32)</f>
        <v>3</v>
      </c>
    </row>
    <row r="62" spans="1:11" x14ac:dyDescent="0.3">
      <c r="A62" s="19" t="s">
        <v>184</v>
      </c>
      <c r="B62" s="19" t="s">
        <v>8</v>
      </c>
      <c r="C62" s="19">
        <v>20</v>
      </c>
      <c r="D62" s="19" t="s">
        <v>24</v>
      </c>
      <c r="E62" s="22">
        <v>44476</v>
      </c>
      <c r="F62" s="19" t="s">
        <v>19</v>
      </c>
      <c r="G62" s="21">
        <v>68900</v>
      </c>
      <c r="H62" s="19" t="s">
        <v>205</v>
      </c>
      <c r="I62" s="23">
        <f ca="1">(TODAY()-Staffs[[#This Row],[Date Joined]])/365</f>
        <v>2.43013698630137</v>
      </c>
      <c r="J62" s="21">
        <f ca="1">ROUNDUP(IF(Staffs[[#This Row],[Tenure]]&gt;2,"3%","2%")*Staffs[[#This Row],[Salary]],0)</f>
        <v>2067</v>
      </c>
      <c r="K62" s="19">
        <f>_xlfn.XLOOKUP(Staffs[[#This Row],[Rating]],$N$28:$N$32,$O$28:$O$32)</f>
        <v>2</v>
      </c>
    </row>
    <row r="63" spans="1:11" x14ac:dyDescent="0.3">
      <c r="A63" s="19" t="s">
        <v>157</v>
      </c>
      <c r="B63" s="19" t="s">
        <v>15</v>
      </c>
      <c r="C63" s="19">
        <v>32</v>
      </c>
      <c r="D63" s="19" t="s">
        <v>16</v>
      </c>
      <c r="E63" s="22">
        <v>44403</v>
      </c>
      <c r="F63" s="19" t="s">
        <v>19</v>
      </c>
      <c r="G63" s="21">
        <v>53540</v>
      </c>
      <c r="H63" s="19" t="s">
        <v>205</v>
      </c>
      <c r="I63" s="23">
        <f ca="1">(TODAY()-Staffs[[#This Row],[Date Joined]])/365</f>
        <v>2.6301369863013697</v>
      </c>
      <c r="J63" s="21">
        <f ca="1">ROUNDUP(IF(Staffs[[#This Row],[Tenure]]&gt;2,"3%","2%")*Staffs[[#This Row],[Salary]],0)</f>
        <v>1607</v>
      </c>
      <c r="K63" s="19">
        <f>_xlfn.XLOOKUP(Staffs[[#This Row],[Rating]],$N$28:$N$32,$O$28:$O$32)</f>
        <v>3</v>
      </c>
    </row>
    <row r="64" spans="1:11" x14ac:dyDescent="0.3">
      <c r="A64" s="19" t="s">
        <v>172</v>
      </c>
      <c r="B64" s="19" t="s">
        <v>15</v>
      </c>
      <c r="C64" s="19">
        <v>28</v>
      </c>
      <c r="D64" s="19" t="s">
        <v>42</v>
      </c>
      <c r="E64" s="22">
        <v>44758</v>
      </c>
      <c r="F64" s="19" t="s">
        <v>19</v>
      </c>
      <c r="G64" s="21">
        <v>43510</v>
      </c>
      <c r="H64" s="19" t="s">
        <v>205</v>
      </c>
      <c r="I64" s="23">
        <f ca="1">(TODAY()-Staffs[[#This Row],[Date Joined]])/365</f>
        <v>1.6575342465753424</v>
      </c>
      <c r="J64" s="21">
        <f ca="1">ROUNDUP(IF(Staffs[[#This Row],[Tenure]]&gt;2,"3%","2%")*Staffs[[#This Row],[Salary]],0)</f>
        <v>871</v>
      </c>
      <c r="K64" s="19">
        <f>_xlfn.XLOOKUP(Staffs[[#This Row],[Rating]],$N$28:$N$32,$O$28:$O$32)</f>
        <v>1</v>
      </c>
    </row>
    <row r="65" spans="1:11" x14ac:dyDescent="0.3">
      <c r="A65" s="19" t="s">
        <v>127</v>
      </c>
      <c r="B65" s="19" t="s">
        <v>8</v>
      </c>
      <c r="C65" s="19">
        <v>38</v>
      </c>
      <c r="D65" s="19" t="s">
        <v>10</v>
      </c>
      <c r="E65" s="22">
        <v>44316</v>
      </c>
      <c r="F65" s="19" t="s">
        <v>19</v>
      </c>
      <c r="G65" s="21">
        <v>109160</v>
      </c>
      <c r="H65" s="19" t="s">
        <v>205</v>
      </c>
      <c r="I65" s="23">
        <f ca="1">(TODAY()-Staffs[[#This Row],[Date Joined]])/365</f>
        <v>2.8684931506849316</v>
      </c>
      <c r="J65" s="21">
        <f ca="1">ROUNDUP(IF(Staffs[[#This Row],[Tenure]]&gt;2,"3%","2%")*Staffs[[#This Row],[Salary]],0)</f>
        <v>3275</v>
      </c>
      <c r="K65" s="19">
        <f>_xlfn.XLOOKUP(Staffs[[#This Row],[Rating]],$N$28:$N$32,$O$28:$O$32)</f>
        <v>5</v>
      </c>
    </row>
    <row r="66" spans="1:11" x14ac:dyDescent="0.3">
      <c r="A66" s="19" t="s">
        <v>198</v>
      </c>
      <c r="B66" s="19" t="s">
        <v>15</v>
      </c>
      <c r="C66" s="19">
        <v>40</v>
      </c>
      <c r="D66" s="19" t="s">
        <v>16</v>
      </c>
      <c r="E66" s="22">
        <v>44204</v>
      </c>
      <c r="F66" s="19" t="s">
        <v>9</v>
      </c>
      <c r="G66" s="21">
        <v>99750</v>
      </c>
      <c r="H66" s="19" t="s">
        <v>205</v>
      </c>
      <c r="I66" s="23">
        <f ca="1">(TODAY()-Staffs[[#This Row],[Date Joined]])/365</f>
        <v>3.1753424657534248</v>
      </c>
      <c r="J66" s="21">
        <f ca="1">ROUNDUP(IF(Staffs[[#This Row],[Tenure]]&gt;2,"3%","2%")*Staffs[[#This Row],[Salary]],0)</f>
        <v>2993</v>
      </c>
      <c r="K66" s="19">
        <f>_xlfn.XLOOKUP(Staffs[[#This Row],[Rating]],$N$28:$N$32,$O$28:$O$32)</f>
        <v>3</v>
      </c>
    </row>
    <row r="67" spans="1:11" x14ac:dyDescent="0.3">
      <c r="A67" s="19" t="s">
        <v>124</v>
      </c>
      <c r="B67" s="19" t="s">
        <v>8</v>
      </c>
      <c r="C67" s="19">
        <v>31</v>
      </c>
      <c r="D67" s="19" t="s">
        <v>16</v>
      </c>
      <c r="E67" s="22">
        <v>44084</v>
      </c>
      <c r="F67" s="19" t="s">
        <v>12</v>
      </c>
      <c r="G67" s="21">
        <v>41980</v>
      </c>
      <c r="H67" s="19" t="s">
        <v>205</v>
      </c>
      <c r="I67" s="23">
        <f ca="1">(TODAY()-Staffs[[#This Row],[Date Joined]])/365</f>
        <v>3.504109589041096</v>
      </c>
      <c r="J67" s="21">
        <f ca="1">ROUNDUP(IF(Staffs[[#This Row],[Tenure]]&gt;2,"3%","2%")*Staffs[[#This Row],[Salary]],0)</f>
        <v>1260</v>
      </c>
      <c r="K67" s="19">
        <f>_xlfn.XLOOKUP(Staffs[[#This Row],[Rating]],$N$28:$N$32,$O$28:$O$32)</f>
        <v>3</v>
      </c>
    </row>
    <row r="68" spans="1:11" x14ac:dyDescent="0.3">
      <c r="A68" s="19" t="s">
        <v>187</v>
      </c>
      <c r="B68" s="19" t="s">
        <v>15</v>
      </c>
      <c r="C68" s="19">
        <v>36</v>
      </c>
      <c r="D68" s="19" t="s">
        <v>16</v>
      </c>
      <c r="E68" s="22">
        <v>44272</v>
      </c>
      <c r="F68" s="19" t="s">
        <v>21</v>
      </c>
      <c r="G68" s="21">
        <v>71380</v>
      </c>
      <c r="H68" s="19" t="s">
        <v>205</v>
      </c>
      <c r="I68" s="23">
        <f ca="1">(TODAY()-Staffs[[#This Row],[Date Joined]])/365</f>
        <v>2.989041095890411</v>
      </c>
      <c r="J68" s="21">
        <f ca="1">ROUNDUP(IF(Staffs[[#This Row],[Tenure]]&gt;2,"3%","2%")*Staffs[[#This Row],[Salary]],0)</f>
        <v>2142</v>
      </c>
      <c r="K68" s="19">
        <f>_xlfn.XLOOKUP(Staffs[[#This Row],[Rating]],$N$28:$N$32,$O$28:$O$32)</f>
        <v>3</v>
      </c>
    </row>
    <row r="69" spans="1:11" x14ac:dyDescent="0.3">
      <c r="A69" s="19" t="s">
        <v>191</v>
      </c>
      <c r="B69" s="19" t="s">
        <v>15</v>
      </c>
      <c r="C69" s="19">
        <v>27</v>
      </c>
      <c r="D69" s="19" t="s">
        <v>42</v>
      </c>
      <c r="E69" s="22">
        <v>44547</v>
      </c>
      <c r="F69" s="19" t="s">
        <v>9</v>
      </c>
      <c r="G69" s="21">
        <v>113280</v>
      </c>
      <c r="H69" s="19" t="s">
        <v>205</v>
      </c>
      <c r="I69" s="23">
        <f ca="1">(TODAY()-Staffs[[#This Row],[Date Joined]])/365</f>
        <v>2.2356164383561645</v>
      </c>
      <c r="J69" s="21">
        <f ca="1">ROUNDUP(IF(Staffs[[#This Row],[Tenure]]&gt;2,"3%","2%")*Staffs[[#This Row],[Salary]],0)</f>
        <v>3399</v>
      </c>
      <c r="K69" s="19">
        <f>_xlfn.XLOOKUP(Staffs[[#This Row],[Rating]],$N$28:$N$32,$O$28:$O$32)</f>
        <v>1</v>
      </c>
    </row>
    <row r="70" spans="1:11" x14ac:dyDescent="0.3">
      <c r="A70" s="19" t="s">
        <v>181</v>
      </c>
      <c r="B70" s="19" t="s">
        <v>8</v>
      </c>
      <c r="C70" s="19">
        <v>33</v>
      </c>
      <c r="D70" s="19" t="s">
        <v>16</v>
      </c>
      <c r="E70" s="22">
        <v>44747</v>
      </c>
      <c r="F70" s="19" t="s">
        <v>21</v>
      </c>
      <c r="G70" s="21">
        <v>86570</v>
      </c>
      <c r="H70" s="19" t="s">
        <v>205</v>
      </c>
      <c r="I70" s="23">
        <f ca="1">(TODAY()-Staffs[[#This Row],[Date Joined]])/365</f>
        <v>1.6876712328767123</v>
      </c>
      <c r="J70" s="21">
        <f ca="1">ROUNDUP(IF(Staffs[[#This Row],[Tenure]]&gt;2,"3%","2%")*Staffs[[#This Row],[Salary]],0)</f>
        <v>1732</v>
      </c>
      <c r="K70" s="19">
        <f>_xlfn.XLOOKUP(Staffs[[#This Row],[Rating]],$N$28:$N$32,$O$28:$O$32)</f>
        <v>3</v>
      </c>
    </row>
    <row r="71" spans="1:11" x14ac:dyDescent="0.3">
      <c r="A71" s="19" t="s">
        <v>139</v>
      </c>
      <c r="B71" s="19" t="s">
        <v>15</v>
      </c>
      <c r="C71" s="19">
        <v>26</v>
      </c>
      <c r="D71" s="19" t="s">
        <v>16</v>
      </c>
      <c r="E71" s="22">
        <v>44350</v>
      </c>
      <c r="F71" s="19" t="s">
        <v>9</v>
      </c>
      <c r="G71" s="21">
        <v>53540</v>
      </c>
      <c r="H71" s="19" t="s">
        <v>205</v>
      </c>
      <c r="I71" s="23">
        <f ca="1">(TODAY()-Staffs[[#This Row],[Date Joined]])/365</f>
        <v>2.7753424657534245</v>
      </c>
      <c r="J71" s="21">
        <f ca="1">ROUNDUP(IF(Staffs[[#This Row],[Tenure]]&gt;2,"3%","2%")*Staffs[[#This Row],[Salary]],0)</f>
        <v>1607</v>
      </c>
      <c r="K71" s="19">
        <f>_xlfn.XLOOKUP(Staffs[[#This Row],[Rating]],$N$28:$N$32,$O$28:$O$32)</f>
        <v>3</v>
      </c>
    </row>
    <row r="72" spans="1:11" x14ac:dyDescent="0.3">
      <c r="A72" s="19" t="s">
        <v>190</v>
      </c>
      <c r="B72" s="19" t="s">
        <v>15</v>
      </c>
      <c r="C72" s="19">
        <v>37</v>
      </c>
      <c r="D72" s="19" t="s">
        <v>16</v>
      </c>
      <c r="E72" s="22">
        <v>44640</v>
      </c>
      <c r="F72" s="19" t="s">
        <v>12</v>
      </c>
      <c r="G72" s="21">
        <v>69070</v>
      </c>
      <c r="H72" s="19" t="s">
        <v>205</v>
      </c>
      <c r="I72" s="23">
        <f ca="1">(TODAY()-Staffs[[#This Row],[Date Joined]])/365</f>
        <v>1.9808219178082191</v>
      </c>
      <c r="J72" s="21">
        <f ca="1">ROUNDUP(IF(Staffs[[#This Row],[Tenure]]&gt;2,"3%","2%")*Staffs[[#This Row],[Salary]],0)</f>
        <v>1382</v>
      </c>
      <c r="K72" s="19">
        <f>_xlfn.XLOOKUP(Staffs[[#This Row],[Rating]],$N$28:$N$32,$O$28:$O$32)</f>
        <v>3</v>
      </c>
    </row>
    <row r="73" spans="1:11" x14ac:dyDescent="0.3">
      <c r="A73" s="19" t="s">
        <v>121</v>
      </c>
      <c r="B73" s="19" t="s">
        <v>8</v>
      </c>
      <c r="C73" s="19">
        <v>30</v>
      </c>
      <c r="D73" s="19" t="s">
        <v>24</v>
      </c>
      <c r="E73" s="22">
        <v>44328</v>
      </c>
      <c r="F73" s="19" t="s">
        <v>21</v>
      </c>
      <c r="G73" s="21">
        <v>67910</v>
      </c>
      <c r="H73" s="19" t="s">
        <v>205</v>
      </c>
      <c r="I73" s="23">
        <f ca="1">(TODAY()-Staffs[[#This Row],[Date Joined]])/365</f>
        <v>2.8356164383561642</v>
      </c>
      <c r="J73" s="21">
        <f ca="1">ROUNDUP(IF(Staffs[[#This Row],[Tenure]]&gt;2,"3%","2%")*Staffs[[#This Row],[Salary]],0)</f>
        <v>2038</v>
      </c>
      <c r="K73" s="19">
        <f>_xlfn.XLOOKUP(Staffs[[#This Row],[Rating]],$N$28:$N$32,$O$28:$O$32)</f>
        <v>2</v>
      </c>
    </row>
    <row r="74" spans="1:11" x14ac:dyDescent="0.3">
      <c r="A74" s="19" t="s">
        <v>119</v>
      </c>
      <c r="B74" s="19" t="s">
        <v>15</v>
      </c>
      <c r="C74" s="19">
        <v>30</v>
      </c>
      <c r="D74" s="19" t="s">
        <v>16</v>
      </c>
      <c r="E74" s="22">
        <v>44214</v>
      </c>
      <c r="F74" s="19" t="s">
        <v>12</v>
      </c>
      <c r="G74" s="21">
        <v>69120</v>
      </c>
      <c r="H74" s="19" t="s">
        <v>205</v>
      </c>
      <c r="I74" s="23">
        <f ca="1">(TODAY()-Staffs[[#This Row],[Date Joined]])/365</f>
        <v>3.1479452054794521</v>
      </c>
      <c r="J74" s="21">
        <f ca="1">ROUNDUP(IF(Staffs[[#This Row],[Tenure]]&gt;2,"3%","2%")*Staffs[[#This Row],[Salary]],0)</f>
        <v>2074</v>
      </c>
      <c r="K74" s="19">
        <f>_xlfn.XLOOKUP(Staffs[[#This Row],[Rating]],$N$28:$N$32,$O$28:$O$32)</f>
        <v>3</v>
      </c>
    </row>
    <row r="75" spans="1:11" x14ac:dyDescent="0.3">
      <c r="A75" s="19" t="s">
        <v>132</v>
      </c>
      <c r="B75" s="19" t="s">
        <v>8</v>
      </c>
      <c r="C75" s="19">
        <v>34</v>
      </c>
      <c r="D75" s="19" t="s">
        <v>16</v>
      </c>
      <c r="E75" s="22">
        <v>44550</v>
      </c>
      <c r="F75" s="19" t="s">
        <v>21</v>
      </c>
      <c r="G75" s="21">
        <v>60130</v>
      </c>
      <c r="H75" s="19" t="s">
        <v>205</v>
      </c>
      <c r="I75" s="23">
        <f ca="1">(TODAY()-Staffs[[#This Row],[Date Joined]])/365</f>
        <v>2.2273972602739724</v>
      </c>
      <c r="J75" s="21">
        <f ca="1">ROUNDUP(IF(Staffs[[#This Row],[Tenure]]&gt;2,"3%","2%")*Staffs[[#This Row],[Salary]],0)</f>
        <v>1804</v>
      </c>
      <c r="K75" s="19">
        <f>_xlfn.XLOOKUP(Staffs[[#This Row],[Rating]],$N$28:$N$32,$O$28:$O$32)</f>
        <v>3</v>
      </c>
    </row>
    <row r="76" spans="1:11" x14ac:dyDescent="0.3">
      <c r="A76" s="19" t="s">
        <v>161</v>
      </c>
      <c r="B76" s="19" t="s">
        <v>15</v>
      </c>
      <c r="C76" s="19">
        <v>23</v>
      </c>
      <c r="D76" s="19" t="s">
        <v>16</v>
      </c>
      <c r="E76" s="22">
        <v>44378</v>
      </c>
      <c r="F76" s="19" t="s">
        <v>9</v>
      </c>
      <c r="G76" s="21">
        <v>106460</v>
      </c>
      <c r="H76" s="19" t="s">
        <v>205</v>
      </c>
      <c r="I76" s="23">
        <f ca="1">(TODAY()-Staffs[[#This Row],[Date Joined]])/365</f>
        <v>2.6986301369863015</v>
      </c>
      <c r="J76" s="21">
        <f ca="1">ROUNDUP(IF(Staffs[[#This Row],[Tenure]]&gt;2,"3%","2%")*Staffs[[#This Row],[Salary]],0)</f>
        <v>3194</v>
      </c>
      <c r="K76" s="19">
        <f>_xlfn.XLOOKUP(Staffs[[#This Row],[Rating]],$N$28:$N$32,$O$28:$O$32)</f>
        <v>3</v>
      </c>
    </row>
    <row r="77" spans="1:11" x14ac:dyDescent="0.3">
      <c r="A77" s="19" t="s">
        <v>148</v>
      </c>
      <c r="B77" s="19" t="s">
        <v>8</v>
      </c>
      <c r="C77" s="19">
        <v>37</v>
      </c>
      <c r="D77" s="19" t="s">
        <v>16</v>
      </c>
      <c r="E77" s="22">
        <v>44389</v>
      </c>
      <c r="F77" s="19" t="s">
        <v>56</v>
      </c>
      <c r="G77" s="21">
        <v>118100</v>
      </c>
      <c r="H77" s="19" t="s">
        <v>205</v>
      </c>
      <c r="I77" s="23">
        <f ca="1">(TODAY()-Staffs[[#This Row],[Date Joined]])/365</f>
        <v>2.6684931506849314</v>
      </c>
      <c r="J77" s="21">
        <f ca="1">ROUNDUP(IF(Staffs[[#This Row],[Tenure]]&gt;2,"3%","2%")*Staffs[[#This Row],[Salary]],0)</f>
        <v>3543</v>
      </c>
      <c r="K77" s="19">
        <f>_xlfn.XLOOKUP(Staffs[[#This Row],[Rating]],$N$28:$N$32,$O$28:$O$32)</f>
        <v>3</v>
      </c>
    </row>
    <row r="78" spans="1:11" x14ac:dyDescent="0.3">
      <c r="A78" s="19" t="s">
        <v>164</v>
      </c>
      <c r="B78" s="19" t="s">
        <v>8</v>
      </c>
      <c r="C78" s="19">
        <v>36</v>
      </c>
      <c r="D78" s="19" t="s">
        <v>16</v>
      </c>
      <c r="E78" s="22">
        <v>44468</v>
      </c>
      <c r="F78" s="19" t="s">
        <v>9</v>
      </c>
      <c r="G78" s="21">
        <v>78390</v>
      </c>
      <c r="H78" s="19" t="s">
        <v>205</v>
      </c>
      <c r="I78" s="23">
        <f ca="1">(TODAY()-Staffs[[#This Row],[Date Joined]])/365</f>
        <v>2.452054794520548</v>
      </c>
      <c r="J78" s="21">
        <f ca="1">ROUNDUP(IF(Staffs[[#This Row],[Tenure]]&gt;2,"3%","2%")*Staffs[[#This Row],[Salary]],0)</f>
        <v>2352</v>
      </c>
      <c r="K78" s="19">
        <f>_xlfn.XLOOKUP(Staffs[[#This Row],[Rating]],$N$28:$N$32,$O$28:$O$32)</f>
        <v>3</v>
      </c>
    </row>
    <row r="79" spans="1:11" x14ac:dyDescent="0.3">
      <c r="A79" s="19" t="s">
        <v>147</v>
      </c>
      <c r="B79" s="19" t="s">
        <v>8</v>
      </c>
      <c r="C79" s="19">
        <v>30</v>
      </c>
      <c r="D79" s="19" t="s">
        <v>16</v>
      </c>
      <c r="E79" s="22">
        <v>44789</v>
      </c>
      <c r="F79" s="19" t="s">
        <v>9</v>
      </c>
      <c r="G79" s="21">
        <v>114180</v>
      </c>
      <c r="H79" s="19" t="s">
        <v>205</v>
      </c>
      <c r="I79" s="23">
        <f ca="1">(TODAY()-Staffs[[#This Row],[Date Joined]])/365</f>
        <v>1.5726027397260274</v>
      </c>
      <c r="J79" s="21">
        <f ca="1">ROUNDUP(IF(Staffs[[#This Row],[Tenure]]&gt;2,"3%","2%")*Staffs[[#This Row],[Salary]],0)</f>
        <v>2284</v>
      </c>
      <c r="K79" s="19">
        <f>_xlfn.XLOOKUP(Staffs[[#This Row],[Rating]],$N$28:$N$32,$O$28:$O$32)</f>
        <v>3</v>
      </c>
    </row>
    <row r="80" spans="1:11" x14ac:dyDescent="0.3">
      <c r="A80" s="19" t="s">
        <v>189</v>
      </c>
      <c r="B80" s="19" t="s">
        <v>8</v>
      </c>
      <c r="C80" s="19">
        <v>28</v>
      </c>
      <c r="D80" s="19" t="s">
        <v>16</v>
      </c>
      <c r="E80" s="22">
        <v>44590</v>
      </c>
      <c r="F80" s="19" t="s">
        <v>9</v>
      </c>
      <c r="G80" s="21">
        <v>104120</v>
      </c>
      <c r="H80" s="19" t="s">
        <v>205</v>
      </c>
      <c r="I80" s="23">
        <f ca="1">(TODAY()-Staffs[[#This Row],[Date Joined]])/365</f>
        <v>2.117808219178082</v>
      </c>
      <c r="J80" s="21">
        <f ca="1">ROUNDUP(IF(Staffs[[#This Row],[Tenure]]&gt;2,"3%","2%")*Staffs[[#This Row],[Salary]],0)</f>
        <v>3124</v>
      </c>
      <c r="K80" s="19">
        <f>_xlfn.XLOOKUP(Staffs[[#This Row],[Rating]],$N$28:$N$32,$O$28:$O$32)</f>
        <v>3</v>
      </c>
    </row>
    <row r="81" spans="1:11" x14ac:dyDescent="0.3">
      <c r="A81" s="19" t="s">
        <v>138</v>
      </c>
      <c r="B81" s="19" t="s">
        <v>15</v>
      </c>
      <c r="C81" s="19">
        <v>30</v>
      </c>
      <c r="D81" s="19" t="s">
        <v>16</v>
      </c>
      <c r="E81" s="22">
        <v>44640</v>
      </c>
      <c r="F81" s="19" t="s">
        <v>9</v>
      </c>
      <c r="G81" s="21">
        <v>67950</v>
      </c>
      <c r="H81" s="19" t="s">
        <v>205</v>
      </c>
      <c r="I81" s="23">
        <f ca="1">(TODAY()-Staffs[[#This Row],[Date Joined]])/365</f>
        <v>1.9808219178082191</v>
      </c>
      <c r="J81" s="21">
        <f ca="1">ROUNDUP(IF(Staffs[[#This Row],[Tenure]]&gt;2,"3%","2%")*Staffs[[#This Row],[Salary]],0)</f>
        <v>1359</v>
      </c>
      <c r="K81" s="19">
        <f>_xlfn.XLOOKUP(Staffs[[#This Row],[Rating]],$N$28:$N$32,$O$28:$O$32)</f>
        <v>3</v>
      </c>
    </row>
    <row r="82" spans="1:11" x14ac:dyDescent="0.3">
      <c r="A82" s="19" t="s">
        <v>137</v>
      </c>
      <c r="B82" s="19" t="s">
        <v>8</v>
      </c>
      <c r="C82" s="19">
        <v>29</v>
      </c>
      <c r="D82" s="19" t="s">
        <v>16</v>
      </c>
      <c r="E82" s="22">
        <v>43962</v>
      </c>
      <c r="F82" s="19" t="s">
        <v>12</v>
      </c>
      <c r="G82" s="21">
        <v>34980</v>
      </c>
      <c r="H82" s="19" t="s">
        <v>205</v>
      </c>
      <c r="I82" s="23">
        <f ca="1">(TODAY()-Staffs[[#This Row],[Date Joined]])/365</f>
        <v>3.8383561643835615</v>
      </c>
      <c r="J82" s="21">
        <f ca="1">ROUNDUP(IF(Staffs[[#This Row],[Tenure]]&gt;2,"3%","2%")*Staffs[[#This Row],[Salary]],0)</f>
        <v>1050</v>
      </c>
      <c r="K82" s="19">
        <f>_xlfn.XLOOKUP(Staffs[[#This Row],[Rating]],$N$28:$N$32,$O$28:$O$32)</f>
        <v>3</v>
      </c>
    </row>
    <row r="83" spans="1:11" x14ac:dyDescent="0.3">
      <c r="A83" s="19" t="s">
        <v>153</v>
      </c>
      <c r="B83" s="19" t="s">
        <v>8</v>
      </c>
      <c r="C83" s="19">
        <v>24</v>
      </c>
      <c r="D83" s="19" t="s">
        <v>16</v>
      </c>
      <c r="E83" s="22">
        <v>44087</v>
      </c>
      <c r="F83" s="19" t="s">
        <v>12</v>
      </c>
      <c r="G83" s="21">
        <v>62780</v>
      </c>
      <c r="H83" s="19" t="s">
        <v>205</v>
      </c>
      <c r="I83" s="23">
        <f ca="1">(TODAY()-Staffs[[#This Row],[Date Joined]])/365</f>
        <v>3.495890410958904</v>
      </c>
      <c r="J83" s="21">
        <f ca="1">ROUNDUP(IF(Staffs[[#This Row],[Tenure]]&gt;2,"3%","2%")*Staffs[[#This Row],[Salary]],0)</f>
        <v>1884</v>
      </c>
      <c r="K83" s="19">
        <f>_xlfn.XLOOKUP(Staffs[[#This Row],[Rating]],$N$28:$N$32,$O$28:$O$32)</f>
        <v>3</v>
      </c>
    </row>
    <row r="84" spans="1:11" x14ac:dyDescent="0.3">
      <c r="A84" s="19" t="s">
        <v>117</v>
      </c>
      <c r="B84" s="19" t="s">
        <v>15</v>
      </c>
      <c r="C84" s="19">
        <v>20</v>
      </c>
      <c r="D84" s="19" t="s">
        <v>16</v>
      </c>
      <c r="E84" s="22">
        <v>44397</v>
      </c>
      <c r="F84" s="19" t="s">
        <v>12</v>
      </c>
      <c r="G84" s="21">
        <v>107700</v>
      </c>
      <c r="H84" s="19" t="s">
        <v>205</v>
      </c>
      <c r="I84" s="23">
        <f ca="1">(TODAY()-Staffs[[#This Row],[Date Joined]])/365</f>
        <v>2.6465753424657534</v>
      </c>
      <c r="J84" s="21">
        <f ca="1">ROUNDUP(IF(Staffs[[#This Row],[Tenure]]&gt;2,"3%","2%")*Staffs[[#This Row],[Salary]],0)</f>
        <v>3231</v>
      </c>
      <c r="K84" s="19">
        <f>_xlfn.XLOOKUP(Staffs[[#This Row],[Rating]],$N$28:$N$32,$O$28:$O$32)</f>
        <v>3</v>
      </c>
    </row>
    <row r="85" spans="1:11" x14ac:dyDescent="0.3">
      <c r="A85" s="19" t="s">
        <v>168</v>
      </c>
      <c r="B85" s="19" t="s">
        <v>15</v>
      </c>
      <c r="C85" s="19">
        <v>25</v>
      </c>
      <c r="D85" s="19" t="s">
        <v>16</v>
      </c>
      <c r="E85" s="22">
        <v>44322</v>
      </c>
      <c r="F85" s="19" t="s">
        <v>19</v>
      </c>
      <c r="G85" s="21">
        <v>65700</v>
      </c>
      <c r="H85" s="19" t="s">
        <v>205</v>
      </c>
      <c r="I85" s="23">
        <f ca="1">(TODAY()-Staffs[[#This Row],[Date Joined]])/365</f>
        <v>2.8520547945205479</v>
      </c>
      <c r="J85" s="21">
        <f ca="1">ROUNDUP(IF(Staffs[[#This Row],[Tenure]]&gt;2,"3%","2%")*Staffs[[#This Row],[Salary]],0)</f>
        <v>1971</v>
      </c>
      <c r="K85" s="19">
        <f>_xlfn.XLOOKUP(Staffs[[#This Row],[Rating]],$N$28:$N$32,$O$28:$O$32)</f>
        <v>3</v>
      </c>
    </row>
    <row r="86" spans="1:11" x14ac:dyDescent="0.3">
      <c r="A86" s="19" t="s">
        <v>135</v>
      </c>
      <c r="B86" s="19" t="s">
        <v>8</v>
      </c>
      <c r="C86" s="19">
        <v>33</v>
      </c>
      <c r="D86" s="19" t="s">
        <v>42</v>
      </c>
      <c r="E86" s="22">
        <v>44313</v>
      </c>
      <c r="F86" s="19" t="s">
        <v>12</v>
      </c>
      <c r="G86" s="21">
        <v>75480</v>
      </c>
      <c r="H86" s="19" t="s">
        <v>205</v>
      </c>
      <c r="I86" s="23">
        <f ca="1">(TODAY()-Staffs[[#This Row],[Date Joined]])/365</f>
        <v>2.8767123287671232</v>
      </c>
      <c r="J86" s="21">
        <f ca="1">ROUNDUP(IF(Staffs[[#This Row],[Tenure]]&gt;2,"3%","2%")*Staffs[[#This Row],[Salary]],0)</f>
        <v>2265</v>
      </c>
      <c r="K86" s="19">
        <f>_xlfn.XLOOKUP(Staffs[[#This Row],[Rating]],$N$28:$N$32,$O$28:$O$32)</f>
        <v>1</v>
      </c>
    </row>
    <row r="87" spans="1:11" x14ac:dyDescent="0.3">
      <c r="A87" s="19" t="s">
        <v>174</v>
      </c>
      <c r="B87" s="19" t="s">
        <v>15</v>
      </c>
      <c r="C87" s="19">
        <v>33</v>
      </c>
      <c r="D87" s="19" t="s">
        <v>16</v>
      </c>
      <c r="E87" s="22">
        <v>44448</v>
      </c>
      <c r="F87" s="19" t="s">
        <v>12</v>
      </c>
      <c r="G87" s="21">
        <v>53870</v>
      </c>
      <c r="H87" s="19" t="s">
        <v>205</v>
      </c>
      <c r="I87" s="23">
        <f ca="1">(TODAY()-Staffs[[#This Row],[Date Joined]])/365</f>
        <v>2.506849315068493</v>
      </c>
      <c r="J87" s="21">
        <f ca="1">ROUNDUP(IF(Staffs[[#This Row],[Tenure]]&gt;2,"3%","2%")*Staffs[[#This Row],[Salary]],0)</f>
        <v>1617</v>
      </c>
      <c r="K87" s="19">
        <f>_xlfn.XLOOKUP(Staffs[[#This Row],[Rating]],$N$28:$N$32,$O$28:$O$32)</f>
        <v>3</v>
      </c>
    </row>
    <row r="88" spans="1:11" x14ac:dyDescent="0.3">
      <c r="A88" s="19" t="s">
        <v>141</v>
      </c>
      <c r="B88" s="19" t="s">
        <v>8</v>
      </c>
      <c r="C88" s="19">
        <v>36</v>
      </c>
      <c r="D88" s="19" t="s">
        <v>16</v>
      </c>
      <c r="E88" s="22">
        <v>44433</v>
      </c>
      <c r="F88" s="19" t="s">
        <v>19</v>
      </c>
      <c r="G88" s="21">
        <v>78540</v>
      </c>
      <c r="H88" s="19" t="s">
        <v>205</v>
      </c>
      <c r="I88" s="23">
        <f ca="1">(TODAY()-Staffs[[#This Row],[Date Joined]])/365</f>
        <v>2.547945205479452</v>
      </c>
      <c r="J88" s="21">
        <f ca="1">ROUNDUP(IF(Staffs[[#This Row],[Tenure]]&gt;2,"3%","2%")*Staffs[[#This Row],[Salary]],0)</f>
        <v>2357</v>
      </c>
      <c r="K88" s="19">
        <f>_xlfn.XLOOKUP(Staffs[[#This Row],[Rating]],$N$28:$N$32,$O$28:$O$32)</f>
        <v>3</v>
      </c>
    </row>
    <row r="89" spans="1:11" x14ac:dyDescent="0.3">
      <c r="A89" s="19" t="s">
        <v>193</v>
      </c>
      <c r="B89" s="19" t="s">
        <v>15</v>
      </c>
      <c r="C89" s="19">
        <v>19</v>
      </c>
      <c r="D89" s="19" t="s">
        <v>16</v>
      </c>
      <c r="E89" s="22">
        <v>44218</v>
      </c>
      <c r="F89" s="19" t="s">
        <v>9</v>
      </c>
      <c r="G89" s="21">
        <v>58960</v>
      </c>
      <c r="H89" s="19" t="s">
        <v>205</v>
      </c>
      <c r="I89" s="23">
        <f ca="1">(TODAY()-Staffs[[#This Row],[Date Joined]])/365</f>
        <v>3.1369863013698631</v>
      </c>
      <c r="J89" s="21">
        <f ca="1">ROUNDUP(IF(Staffs[[#This Row],[Tenure]]&gt;2,"3%","2%")*Staffs[[#This Row],[Salary]],0)</f>
        <v>1769</v>
      </c>
      <c r="K89" s="19">
        <f>_xlfn.XLOOKUP(Staffs[[#This Row],[Rating]],$N$28:$N$32,$O$28:$O$32)</f>
        <v>3</v>
      </c>
    </row>
    <row r="90" spans="1:11" x14ac:dyDescent="0.3">
      <c r="A90" s="19" t="s">
        <v>162</v>
      </c>
      <c r="B90" s="19" t="s">
        <v>15</v>
      </c>
      <c r="C90" s="19">
        <v>46</v>
      </c>
      <c r="D90" s="19" t="s">
        <v>16</v>
      </c>
      <c r="E90" s="22">
        <v>44697</v>
      </c>
      <c r="F90" s="19" t="s">
        <v>9</v>
      </c>
      <c r="G90" s="21">
        <v>70610</v>
      </c>
      <c r="H90" s="19" t="s">
        <v>205</v>
      </c>
      <c r="I90" s="23">
        <f ca="1">(TODAY()-Staffs[[#This Row],[Date Joined]])/365</f>
        <v>1.8246575342465754</v>
      </c>
      <c r="J90" s="21">
        <f ca="1">ROUNDUP(IF(Staffs[[#This Row],[Tenure]]&gt;2,"3%","2%")*Staffs[[#This Row],[Salary]],0)</f>
        <v>1413</v>
      </c>
      <c r="K90" s="19">
        <f>_xlfn.XLOOKUP(Staffs[[#This Row],[Rating]],$N$28:$N$32,$O$28:$O$32)</f>
        <v>3</v>
      </c>
    </row>
    <row r="91" spans="1:11" x14ac:dyDescent="0.3">
      <c r="A91" s="19" t="s">
        <v>171</v>
      </c>
      <c r="B91" s="19" t="s">
        <v>15</v>
      </c>
      <c r="C91" s="19">
        <v>33</v>
      </c>
      <c r="D91" s="19" t="s">
        <v>16</v>
      </c>
      <c r="E91" s="22">
        <v>44181</v>
      </c>
      <c r="F91" s="19" t="s">
        <v>21</v>
      </c>
      <c r="G91" s="21">
        <v>59430</v>
      </c>
      <c r="H91" s="19" t="s">
        <v>205</v>
      </c>
      <c r="I91" s="23">
        <f ca="1">(TODAY()-Staffs[[#This Row],[Date Joined]])/365</f>
        <v>3.2383561643835614</v>
      </c>
      <c r="J91" s="21">
        <f ca="1">ROUNDUP(IF(Staffs[[#This Row],[Tenure]]&gt;2,"3%","2%")*Staffs[[#This Row],[Salary]],0)</f>
        <v>1783</v>
      </c>
      <c r="K91" s="19">
        <f>_xlfn.XLOOKUP(Staffs[[#This Row],[Rating]],$N$28:$N$32,$O$28:$O$32)</f>
        <v>3</v>
      </c>
    </row>
    <row r="92" spans="1:11" x14ac:dyDescent="0.3">
      <c r="A92" s="19" t="s">
        <v>144</v>
      </c>
      <c r="B92" s="19" t="s">
        <v>15</v>
      </c>
      <c r="C92" s="19">
        <v>33</v>
      </c>
      <c r="D92" s="19" t="s">
        <v>13</v>
      </c>
      <c r="E92" s="22">
        <v>44640</v>
      </c>
      <c r="F92" s="19" t="s">
        <v>9</v>
      </c>
      <c r="G92" s="21">
        <v>48530</v>
      </c>
      <c r="H92" s="19" t="s">
        <v>205</v>
      </c>
      <c r="I92" s="23">
        <f ca="1">(TODAY()-Staffs[[#This Row],[Date Joined]])/365</f>
        <v>1.9808219178082191</v>
      </c>
      <c r="J92" s="21">
        <f ca="1">ROUNDUP(IF(Staffs[[#This Row],[Tenure]]&gt;2,"3%","2%")*Staffs[[#This Row],[Salary]],0)</f>
        <v>971</v>
      </c>
      <c r="K92" s="19">
        <f>_xlfn.XLOOKUP(Staffs[[#This Row],[Rating]],$N$28:$N$32,$O$28:$O$32)</f>
        <v>4</v>
      </c>
    </row>
    <row r="93" spans="1:11" x14ac:dyDescent="0.3">
      <c r="A93" s="19" t="s">
        <v>163</v>
      </c>
      <c r="B93" s="19" t="s">
        <v>8</v>
      </c>
      <c r="C93" s="19">
        <v>33</v>
      </c>
      <c r="D93" s="19" t="s">
        <v>16</v>
      </c>
      <c r="E93" s="22">
        <v>44129</v>
      </c>
      <c r="F93" s="19" t="s">
        <v>12</v>
      </c>
      <c r="G93" s="21">
        <v>96140</v>
      </c>
      <c r="H93" s="19" t="s">
        <v>205</v>
      </c>
      <c r="I93" s="23">
        <f ca="1">(TODAY()-Staffs[[#This Row],[Date Joined]])/365</f>
        <v>3.3808219178082193</v>
      </c>
      <c r="J93" s="21">
        <f ca="1">ROUNDUP(IF(Staffs[[#This Row],[Tenure]]&gt;2,"3%","2%")*Staffs[[#This Row],[Salary]],0)</f>
        <v>2885</v>
      </c>
      <c r="K93" s="19">
        <f>_xlfn.XLOOKUP(Staffs[[#This Row],[Rating]],$N$28:$N$32,$O$28:$O$32)</f>
        <v>3</v>
      </c>
    </row>
    <row r="94" spans="1:11" x14ac:dyDescent="0.3">
      <c r="A94" s="19" t="s">
        <v>58</v>
      </c>
      <c r="B94" s="19" t="s">
        <v>15</v>
      </c>
      <c r="C94" s="19">
        <v>22</v>
      </c>
      <c r="D94" s="19" t="s">
        <v>13</v>
      </c>
      <c r="E94" s="22">
        <v>44446</v>
      </c>
      <c r="F94" s="19" t="s">
        <v>19</v>
      </c>
      <c r="G94" s="21">
        <v>112780</v>
      </c>
      <c r="H94" s="19" t="s">
        <v>207</v>
      </c>
      <c r="I94" s="23">
        <f ca="1">(TODAY()-Staffs[[#This Row],[Date Joined]])/365</f>
        <v>2.5123287671232877</v>
      </c>
      <c r="J94" s="21">
        <f ca="1">ROUNDUP(IF(Staffs[[#This Row],[Tenure]]&gt;2,"3%","2%")*Staffs[[#This Row],[Salary]],0)</f>
        <v>3384</v>
      </c>
      <c r="K94" s="19">
        <f>_xlfn.XLOOKUP(Staffs[[#This Row],[Rating]],$N$28:$N$32,$O$28:$O$32)</f>
        <v>4</v>
      </c>
    </row>
    <row r="95" spans="1:11" x14ac:dyDescent="0.3">
      <c r="A95" s="19" t="s">
        <v>70</v>
      </c>
      <c r="B95" s="19" t="s">
        <v>15</v>
      </c>
      <c r="C95" s="19">
        <v>46</v>
      </c>
      <c r="D95" s="19" t="s">
        <v>16</v>
      </c>
      <c r="E95" s="22">
        <v>44758</v>
      </c>
      <c r="F95" s="19" t="s">
        <v>9</v>
      </c>
      <c r="G95" s="21">
        <v>70610</v>
      </c>
      <c r="H95" s="19" t="s">
        <v>207</v>
      </c>
      <c r="I95" s="23">
        <f ca="1">(TODAY()-Staffs[[#This Row],[Date Joined]])/365</f>
        <v>1.6575342465753424</v>
      </c>
      <c r="J95" s="21">
        <f ca="1">ROUNDUP(IF(Staffs[[#This Row],[Tenure]]&gt;2,"3%","2%")*Staffs[[#This Row],[Salary]],0)</f>
        <v>1413</v>
      </c>
      <c r="K95" s="19">
        <f>_xlfn.XLOOKUP(Staffs[[#This Row],[Rating]],$N$28:$N$32,$O$28:$O$32)</f>
        <v>3</v>
      </c>
    </row>
    <row r="96" spans="1:11" x14ac:dyDescent="0.3">
      <c r="A96" s="19" t="s">
        <v>75</v>
      </c>
      <c r="B96" s="19" t="s">
        <v>8</v>
      </c>
      <c r="C96" s="19">
        <v>28</v>
      </c>
      <c r="D96" s="19" t="s">
        <v>16</v>
      </c>
      <c r="E96" s="22">
        <v>44357</v>
      </c>
      <c r="F96" s="19" t="s">
        <v>19</v>
      </c>
      <c r="G96" s="21">
        <v>53240</v>
      </c>
      <c r="H96" s="19" t="s">
        <v>207</v>
      </c>
      <c r="I96" s="23">
        <f ca="1">(TODAY()-Staffs[[#This Row],[Date Joined]])/365</f>
        <v>2.7561643835616438</v>
      </c>
      <c r="J96" s="21">
        <f ca="1">ROUNDUP(IF(Staffs[[#This Row],[Tenure]]&gt;2,"3%","2%")*Staffs[[#This Row],[Salary]],0)</f>
        <v>1598</v>
      </c>
      <c r="K96" s="19">
        <f>_xlfn.XLOOKUP(Staffs[[#This Row],[Rating]],$N$28:$N$32,$O$28:$O$32)</f>
        <v>3</v>
      </c>
    </row>
    <row r="97" spans="1:11" x14ac:dyDescent="0.3">
      <c r="A97" s="19" t="s">
        <v>49</v>
      </c>
      <c r="B97" s="19" t="s">
        <v>206</v>
      </c>
      <c r="C97" s="19">
        <v>37</v>
      </c>
      <c r="D97" s="19" t="s">
        <v>24</v>
      </c>
      <c r="E97" s="22">
        <v>44146</v>
      </c>
      <c r="F97" s="19" t="s">
        <v>21</v>
      </c>
      <c r="G97" s="21">
        <v>115440</v>
      </c>
      <c r="H97" s="19" t="s">
        <v>207</v>
      </c>
      <c r="I97" s="23">
        <f ca="1">(TODAY()-Staffs[[#This Row],[Date Joined]])/365</f>
        <v>3.3342465753424659</v>
      </c>
      <c r="J97" s="21">
        <f ca="1">ROUNDUP(IF(Staffs[[#This Row],[Tenure]]&gt;2,"3%","2%")*Staffs[[#This Row],[Salary]],0)</f>
        <v>3464</v>
      </c>
      <c r="K97" s="19">
        <f>_xlfn.XLOOKUP(Staffs[[#This Row],[Rating]],$N$28:$N$32,$O$28:$O$32)</f>
        <v>2</v>
      </c>
    </row>
    <row r="98" spans="1:11" x14ac:dyDescent="0.3">
      <c r="A98" s="19" t="s">
        <v>65</v>
      </c>
      <c r="B98" s="19" t="s">
        <v>15</v>
      </c>
      <c r="C98" s="19">
        <v>32</v>
      </c>
      <c r="D98" s="19" t="s">
        <v>16</v>
      </c>
      <c r="E98" s="22">
        <v>44465</v>
      </c>
      <c r="F98" s="19" t="s">
        <v>19</v>
      </c>
      <c r="G98" s="21">
        <v>53540</v>
      </c>
      <c r="H98" s="19" t="s">
        <v>207</v>
      </c>
      <c r="I98" s="23">
        <f ca="1">(TODAY()-Staffs[[#This Row],[Date Joined]])/365</f>
        <v>2.4602739726027396</v>
      </c>
      <c r="J98" s="21">
        <f ca="1">ROUNDUP(IF(Staffs[[#This Row],[Tenure]]&gt;2,"3%","2%")*Staffs[[#This Row],[Salary]],0)</f>
        <v>1607</v>
      </c>
      <c r="K98" s="19">
        <f>_xlfn.XLOOKUP(Staffs[[#This Row],[Rating]],$N$28:$N$32,$O$28:$O$32)</f>
        <v>3</v>
      </c>
    </row>
    <row r="99" spans="1:11" x14ac:dyDescent="0.3">
      <c r="A99" s="19" t="s">
        <v>81</v>
      </c>
      <c r="B99" s="19" t="s">
        <v>8</v>
      </c>
      <c r="C99" s="19">
        <v>30</v>
      </c>
      <c r="D99" s="19" t="s">
        <v>16</v>
      </c>
      <c r="E99" s="22">
        <v>44861</v>
      </c>
      <c r="F99" s="19" t="s">
        <v>9</v>
      </c>
      <c r="G99" s="21">
        <v>112570</v>
      </c>
      <c r="H99" s="19" t="s">
        <v>207</v>
      </c>
      <c r="I99" s="23">
        <f ca="1">(TODAY()-Staffs[[#This Row],[Date Joined]])/365</f>
        <v>1.3753424657534246</v>
      </c>
      <c r="J99" s="21">
        <f ca="1">ROUNDUP(IF(Staffs[[#This Row],[Tenure]]&gt;2,"3%","2%")*Staffs[[#This Row],[Salary]],0)</f>
        <v>2252</v>
      </c>
      <c r="K99" s="19">
        <f>_xlfn.XLOOKUP(Staffs[[#This Row],[Rating]],$N$28:$N$32,$O$28:$O$32)</f>
        <v>3</v>
      </c>
    </row>
    <row r="100" spans="1:11" x14ac:dyDescent="0.3">
      <c r="A100" s="19" t="s">
        <v>51</v>
      </c>
      <c r="B100" s="19" t="s">
        <v>15</v>
      </c>
      <c r="C100" s="19">
        <v>33</v>
      </c>
      <c r="D100" s="19" t="s">
        <v>13</v>
      </c>
      <c r="E100" s="22">
        <v>44701</v>
      </c>
      <c r="F100" s="19" t="s">
        <v>9</v>
      </c>
      <c r="G100" s="21">
        <v>48530</v>
      </c>
      <c r="H100" s="19" t="s">
        <v>207</v>
      </c>
      <c r="I100" s="23">
        <f ca="1">(TODAY()-Staffs[[#This Row],[Date Joined]])/365</f>
        <v>1.8136986301369864</v>
      </c>
      <c r="J100" s="21">
        <f ca="1">ROUNDUP(IF(Staffs[[#This Row],[Tenure]]&gt;2,"3%","2%")*Staffs[[#This Row],[Salary]],0)</f>
        <v>971</v>
      </c>
      <c r="K100" s="19">
        <f>_xlfn.XLOOKUP(Staffs[[#This Row],[Rating]],$N$28:$N$32,$O$28:$O$32)</f>
        <v>4</v>
      </c>
    </row>
    <row r="101" spans="1:11" x14ac:dyDescent="0.3">
      <c r="A101" s="19" t="s">
        <v>61</v>
      </c>
      <c r="B101" s="19" t="s">
        <v>8</v>
      </c>
      <c r="C101" s="19">
        <v>24</v>
      </c>
      <c r="D101" s="19" t="s">
        <v>16</v>
      </c>
      <c r="E101" s="22">
        <v>44148</v>
      </c>
      <c r="F101" s="19" t="s">
        <v>12</v>
      </c>
      <c r="G101" s="21">
        <v>62780</v>
      </c>
      <c r="H101" s="19" t="s">
        <v>207</v>
      </c>
      <c r="I101" s="23">
        <f ca="1">(TODAY()-Staffs[[#This Row],[Date Joined]])/365</f>
        <v>3.3287671232876712</v>
      </c>
      <c r="J101" s="21">
        <f ca="1">ROUNDUP(IF(Staffs[[#This Row],[Tenure]]&gt;2,"3%","2%")*Staffs[[#This Row],[Salary]],0)</f>
        <v>1884</v>
      </c>
      <c r="K101" s="19">
        <f>_xlfn.XLOOKUP(Staffs[[#This Row],[Rating]],$N$28:$N$32,$O$28:$O$32)</f>
        <v>3</v>
      </c>
    </row>
    <row r="102" spans="1:11" x14ac:dyDescent="0.3">
      <c r="A102" s="19" t="s">
        <v>82</v>
      </c>
      <c r="B102" s="19" t="s">
        <v>15</v>
      </c>
      <c r="C102" s="19">
        <v>33</v>
      </c>
      <c r="D102" s="19" t="s">
        <v>16</v>
      </c>
      <c r="E102" s="22">
        <v>44509</v>
      </c>
      <c r="F102" s="19" t="s">
        <v>12</v>
      </c>
      <c r="G102" s="21">
        <v>53870</v>
      </c>
      <c r="H102" s="19" t="s">
        <v>207</v>
      </c>
      <c r="I102" s="23">
        <f ca="1">(TODAY()-Staffs[[#This Row],[Date Joined]])/365</f>
        <v>2.3397260273972602</v>
      </c>
      <c r="J102" s="21">
        <f ca="1">ROUNDUP(IF(Staffs[[#This Row],[Tenure]]&gt;2,"3%","2%")*Staffs[[#This Row],[Salary]],0)</f>
        <v>1617</v>
      </c>
      <c r="K102" s="19">
        <f>_xlfn.XLOOKUP(Staffs[[#This Row],[Rating]],$N$28:$N$32,$O$28:$O$32)</f>
        <v>3</v>
      </c>
    </row>
    <row r="103" spans="1:11" x14ac:dyDescent="0.3">
      <c r="A103" s="19" t="s">
        <v>60</v>
      </c>
      <c r="B103" s="19" t="s">
        <v>8</v>
      </c>
      <c r="C103" s="19">
        <v>27</v>
      </c>
      <c r="D103" s="19" t="s">
        <v>16</v>
      </c>
      <c r="E103" s="22">
        <v>44122</v>
      </c>
      <c r="F103" s="19" t="s">
        <v>56</v>
      </c>
      <c r="G103" s="21">
        <v>119110</v>
      </c>
      <c r="H103" s="19" t="s">
        <v>207</v>
      </c>
      <c r="I103" s="23">
        <f ca="1">(TODAY()-Staffs[[#This Row],[Date Joined]])/365</f>
        <v>3.4</v>
      </c>
      <c r="J103" s="21">
        <f ca="1">ROUNDUP(IF(Staffs[[#This Row],[Tenure]]&gt;2,"3%","2%")*Staffs[[#This Row],[Salary]],0)</f>
        <v>3574</v>
      </c>
      <c r="K103" s="19">
        <f>_xlfn.XLOOKUP(Staffs[[#This Row],[Rating]],$N$28:$N$32,$O$28:$O$32)</f>
        <v>3</v>
      </c>
    </row>
    <row r="104" spans="1:11" x14ac:dyDescent="0.3">
      <c r="A104" s="19" t="s">
        <v>87</v>
      </c>
      <c r="B104" s="19" t="s">
        <v>15</v>
      </c>
      <c r="C104" s="19">
        <v>29</v>
      </c>
      <c r="D104" s="19" t="s">
        <v>24</v>
      </c>
      <c r="E104" s="22">
        <v>44180</v>
      </c>
      <c r="F104" s="19" t="s">
        <v>12</v>
      </c>
      <c r="G104" s="21">
        <v>112110</v>
      </c>
      <c r="H104" s="19" t="s">
        <v>207</v>
      </c>
      <c r="I104" s="23">
        <f ca="1">(TODAY()-Staffs[[#This Row],[Date Joined]])/365</f>
        <v>3.2410958904109588</v>
      </c>
      <c r="J104" s="21">
        <f ca="1">ROUNDUP(IF(Staffs[[#This Row],[Tenure]]&gt;2,"3%","2%")*Staffs[[#This Row],[Salary]],0)</f>
        <v>3364</v>
      </c>
      <c r="K104" s="19">
        <f>_xlfn.XLOOKUP(Staffs[[#This Row],[Rating]],$N$28:$N$32,$O$28:$O$32)</f>
        <v>2</v>
      </c>
    </row>
    <row r="105" spans="1:11" x14ac:dyDescent="0.3">
      <c r="A105" s="19" t="s">
        <v>76</v>
      </c>
      <c r="B105" s="19" t="s">
        <v>15</v>
      </c>
      <c r="C105" s="19">
        <v>25</v>
      </c>
      <c r="D105" s="19" t="s">
        <v>16</v>
      </c>
      <c r="E105" s="22">
        <v>44383</v>
      </c>
      <c r="F105" s="19" t="s">
        <v>19</v>
      </c>
      <c r="G105" s="21">
        <v>65700</v>
      </c>
      <c r="H105" s="19" t="s">
        <v>207</v>
      </c>
      <c r="I105" s="23">
        <f ca="1">(TODAY()-Staffs[[#This Row],[Date Joined]])/365</f>
        <v>2.6849315068493151</v>
      </c>
      <c r="J105" s="21">
        <f ca="1">ROUNDUP(IF(Staffs[[#This Row],[Tenure]]&gt;2,"3%","2%")*Staffs[[#This Row],[Salary]],0)</f>
        <v>1971</v>
      </c>
      <c r="K105" s="19">
        <f>_xlfn.XLOOKUP(Staffs[[#This Row],[Rating]],$N$28:$N$32,$O$28:$O$32)</f>
        <v>3</v>
      </c>
    </row>
    <row r="106" spans="1:11" x14ac:dyDescent="0.3">
      <c r="A106" s="19" t="s">
        <v>97</v>
      </c>
      <c r="B106" s="19" t="s">
        <v>15</v>
      </c>
      <c r="C106" s="19">
        <v>37</v>
      </c>
      <c r="D106" s="19" t="s">
        <v>16</v>
      </c>
      <c r="E106" s="22">
        <v>44701</v>
      </c>
      <c r="F106" s="19" t="s">
        <v>12</v>
      </c>
      <c r="G106" s="21">
        <v>69070</v>
      </c>
      <c r="H106" s="19" t="s">
        <v>207</v>
      </c>
      <c r="I106" s="23">
        <f ca="1">(TODAY()-Staffs[[#This Row],[Date Joined]])/365</f>
        <v>1.8136986301369864</v>
      </c>
      <c r="J106" s="21">
        <f ca="1">ROUNDUP(IF(Staffs[[#This Row],[Tenure]]&gt;2,"3%","2%")*Staffs[[#This Row],[Salary]],0)</f>
        <v>1382</v>
      </c>
      <c r="K106" s="19">
        <f>_xlfn.XLOOKUP(Staffs[[#This Row],[Rating]],$N$28:$N$32,$O$28:$O$32)</f>
        <v>3</v>
      </c>
    </row>
    <row r="107" spans="1:11" x14ac:dyDescent="0.3">
      <c r="A107" s="19" t="s">
        <v>22</v>
      </c>
      <c r="B107" s="19" t="s">
        <v>15</v>
      </c>
      <c r="C107" s="19">
        <v>20</v>
      </c>
      <c r="D107" s="19" t="s">
        <v>16</v>
      </c>
      <c r="E107" s="22">
        <v>44459</v>
      </c>
      <c r="F107" s="19" t="s">
        <v>12</v>
      </c>
      <c r="G107" s="21">
        <v>107700</v>
      </c>
      <c r="H107" s="19" t="s">
        <v>207</v>
      </c>
      <c r="I107" s="23">
        <f ca="1">(TODAY()-Staffs[[#This Row],[Date Joined]])/365</f>
        <v>2.4767123287671233</v>
      </c>
      <c r="J107" s="21">
        <f ca="1">ROUNDUP(IF(Staffs[[#This Row],[Tenure]]&gt;2,"3%","2%")*Staffs[[#This Row],[Salary]],0)</f>
        <v>3231</v>
      </c>
      <c r="K107" s="19">
        <f>_xlfn.XLOOKUP(Staffs[[#This Row],[Rating]],$N$28:$N$32,$O$28:$O$32)</f>
        <v>3</v>
      </c>
    </row>
    <row r="108" spans="1:11" x14ac:dyDescent="0.3">
      <c r="A108" s="19" t="s">
        <v>84</v>
      </c>
      <c r="B108" s="19" t="s">
        <v>8</v>
      </c>
      <c r="C108" s="19">
        <v>32</v>
      </c>
      <c r="D108" s="19" t="s">
        <v>13</v>
      </c>
      <c r="E108" s="22">
        <v>44354</v>
      </c>
      <c r="F108" s="19" t="s">
        <v>12</v>
      </c>
      <c r="G108" s="21">
        <v>43840</v>
      </c>
      <c r="H108" s="19" t="s">
        <v>207</v>
      </c>
      <c r="I108" s="23">
        <f ca="1">(TODAY()-Staffs[[#This Row],[Date Joined]])/365</f>
        <v>2.7643835616438355</v>
      </c>
      <c r="J108" s="21">
        <f ca="1">ROUNDUP(IF(Staffs[[#This Row],[Tenure]]&gt;2,"3%","2%")*Staffs[[#This Row],[Salary]],0)</f>
        <v>1316</v>
      </c>
      <c r="K108" s="19">
        <f>_xlfn.XLOOKUP(Staffs[[#This Row],[Rating]],$N$28:$N$32,$O$28:$O$32)</f>
        <v>4</v>
      </c>
    </row>
    <row r="109" spans="1:11" x14ac:dyDescent="0.3">
      <c r="A109" s="19" t="s">
        <v>105</v>
      </c>
      <c r="B109" s="19" t="s">
        <v>15</v>
      </c>
      <c r="C109" s="19">
        <v>40</v>
      </c>
      <c r="D109" s="19" t="s">
        <v>16</v>
      </c>
      <c r="E109" s="22">
        <v>44263</v>
      </c>
      <c r="F109" s="19" t="s">
        <v>9</v>
      </c>
      <c r="G109" s="21">
        <v>99750</v>
      </c>
      <c r="H109" s="19" t="s">
        <v>207</v>
      </c>
      <c r="I109" s="23">
        <f ca="1">(TODAY()-Staffs[[#This Row],[Date Joined]])/365</f>
        <v>3.0136986301369864</v>
      </c>
      <c r="J109" s="21">
        <f ca="1">ROUNDUP(IF(Staffs[[#This Row],[Tenure]]&gt;2,"3%","2%")*Staffs[[#This Row],[Salary]],0)</f>
        <v>2993</v>
      </c>
      <c r="K109" s="19">
        <f>_xlfn.XLOOKUP(Staffs[[#This Row],[Rating]],$N$28:$N$32,$O$28:$O$32)</f>
        <v>3</v>
      </c>
    </row>
    <row r="110" spans="1:11" x14ac:dyDescent="0.3">
      <c r="A110" s="19" t="s">
        <v>47</v>
      </c>
      <c r="B110" s="19" t="s">
        <v>15</v>
      </c>
      <c r="C110" s="19">
        <v>21</v>
      </c>
      <c r="D110" s="19" t="s">
        <v>16</v>
      </c>
      <c r="E110" s="22">
        <v>44104</v>
      </c>
      <c r="F110" s="19" t="s">
        <v>9</v>
      </c>
      <c r="G110" s="21">
        <v>37920</v>
      </c>
      <c r="H110" s="19" t="s">
        <v>207</v>
      </c>
      <c r="I110" s="23">
        <f ca="1">(TODAY()-Staffs[[#This Row],[Date Joined]])/365</f>
        <v>3.4493150684931506</v>
      </c>
      <c r="J110" s="21">
        <f ca="1">ROUNDUP(IF(Staffs[[#This Row],[Tenure]]&gt;2,"3%","2%")*Staffs[[#This Row],[Salary]],0)</f>
        <v>1138</v>
      </c>
      <c r="K110" s="19">
        <f>_xlfn.XLOOKUP(Staffs[[#This Row],[Rating]],$N$28:$N$32,$O$28:$O$32)</f>
        <v>3</v>
      </c>
    </row>
    <row r="111" spans="1:11" x14ac:dyDescent="0.3">
      <c r="A111" s="19" t="s">
        <v>31</v>
      </c>
      <c r="B111" s="19" t="s">
        <v>15</v>
      </c>
      <c r="C111" s="19">
        <v>21</v>
      </c>
      <c r="D111" s="19" t="s">
        <v>16</v>
      </c>
      <c r="E111" s="22">
        <v>44762</v>
      </c>
      <c r="F111" s="19" t="s">
        <v>9</v>
      </c>
      <c r="G111" s="21">
        <v>57090</v>
      </c>
      <c r="H111" s="19" t="s">
        <v>207</v>
      </c>
      <c r="I111" s="23">
        <f ca="1">(TODAY()-Staffs[[#This Row],[Date Joined]])/365</f>
        <v>1.6465753424657534</v>
      </c>
      <c r="J111" s="21">
        <f ca="1">ROUNDUP(IF(Staffs[[#This Row],[Tenure]]&gt;2,"3%","2%")*Staffs[[#This Row],[Salary]],0)</f>
        <v>1142</v>
      </c>
      <c r="K111" s="19">
        <f>_xlfn.XLOOKUP(Staffs[[#This Row],[Rating]],$N$28:$N$32,$O$28:$O$32)</f>
        <v>3</v>
      </c>
    </row>
    <row r="112" spans="1:11" x14ac:dyDescent="0.3">
      <c r="A112" s="19" t="s">
        <v>30</v>
      </c>
      <c r="B112" s="19" t="s">
        <v>8</v>
      </c>
      <c r="C112" s="19">
        <v>31</v>
      </c>
      <c r="D112" s="19" t="s">
        <v>16</v>
      </c>
      <c r="E112" s="22">
        <v>44145</v>
      </c>
      <c r="F112" s="19" t="s">
        <v>12</v>
      </c>
      <c r="G112" s="21">
        <v>41980</v>
      </c>
      <c r="H112" s="19" t="s">
        <v>207</v>
      </c>
      <c r="I112" s="23">
        <f ca="1">(TODAY()-Staffs[[#This Row],[Date Joined]])/365</f>
        <v>3.3369863013698629</v>
      </c>
      <c r="J112" s="21">
        <f ca="1">ROUNDUP(IF(Staffs[[#This Row],[Tenure]]&gt;2,"3%","2%")*Staffs[[#This Row],[Salary]],0)</f>
        <v>1260</v>
      </c>
      <c r="K112" s="19">
        <f>_xlfn.XLOOKUP(Staffs[[#This Row],[Rating]],$N$28:$N$32,$O$28:$O$32)</f>
        <v>3</v>
      </c>
    </row>
    <row r="113" spans="1:11" x14ac:dyDescent="0.3">
      <c r="A113" s="19" t="s">
        <v>78</v>
      </c>
      <c r="B113" s="19" t="s">
        <v>15</v>
      </c>
      <c r="C113" s="19">
        <v>21</v>
      </c>
      <c r="D113" s="19" t="s">
        <v>16</v>
      </c>
      <c r="E113" s="22">
        <v>44242</v>
      </c>
      <c r="F113" s="19" t="s">
        <v>56</v>
      </c>
      <c r="G113" s="21">
        <v>75880</v>
      </c>
      <c r="H113" s="19" t="s">
        <v>207</v>
      </c>
      <c r="I113" s="23">
        <f ca="1">(TODAY()-Staffs[[#This Row],[Date Joined]])/365</f>
        <v>3.0712328767123287</v>
      </c>
      <c r="J113" s="21">
        <f ca="1">ROUNDUP(IF(Staffs[[#This Row],[Tenure]]&gt;2,"3%","2%")*Staffs[[#This Row],[Salary]],0)</f>
        <v>2277</v>
      </c>
      <c r="K113" s="19">
        <f>_xlfn.XLOOKUP(Staffs[[#This Row],[Rating]],$N$28:$N$32,$O$28:$O$32)</f>
        <v>3</v>
      </c>
    </row>
    <row r="114" spans="1:11" x14ac:dyDescent="0.3">
      <c r="A114" s="19" t="s">
        <v>36</v>
      </c>
      <c r="B114" s="19" t="s">
        <v>8</v>
      </c>
      <c r="C114" s="19">
        <v>34</v>
      </c>
      <c r="D114" s="19" t="s">
        <v>16</v>
      </c>
      <c r="E114" s="22">
        <v>44653</v>
      </c>
      <c r="F114" s="19" t="s">
        <v>21</v>
      </c>
      <c r="G114" s="21">
        <v>58940</v>
      </c>
      <c r="H114" s="19" t="s">
        <v>207</v>
      </c>
      <c r="I114" s="23">
        <f ca="1">(TODAY()-Staffs[[#This Row],[Date Joined]])/365</f>
        <v>1.9452054794520548</v>
      </c>
      <c r="J114" s="21">
        <f ca="1">ROUNDUP(IF(Staffs[[#This Row],[Tenure]]&gt;2,"3%","2%")*Staffs[[#This Row],[Salary]],0)</f>
        <v>1179</v>
      </c>
      <c r="K114" s="19">
        <f>_xlfn.XLOOKUP(Staffs[[#This Row],[Rating]],$N$28:$N$32,$O$28:$O$32)</f>
        <v>3</v>
      </c>
    </row>
    <row r="115" spans="1:11" x14ac:dyDescent="0.3">
      <c r="A115" s="19" t="s">
        <v>27</v>
      </c>
      <c r="B115" s="19" t="s">
        <v>8</v>
      </c>
      <c r="C115" s="19">
        <v>30</v>
      </c>
      <c r="D115" s="19" t="s">
        <v>24</v>
      </c>
      <c r="E115" s="22">
        <v>44389</v>
      </c>
      <c r="F115" s="19" t="s">
        <v>21</v>
      </c>
      <c r="G115" s="21">
        <v>67910</v>
      </c>
      <c r="H115" s="19" t="s">
        <v>207</v>
      </c>
      <c r="I115" s="23">
        <f ca="1">(TODAY()-Staffs[[#This Row],[Date Joined]])/365</f>
        <v>2.6684931506849314</v>
      </c>
      <c r="J115" s="21">
        <f ca="1">ROUNDUP(IF(Staffs[[#This Row],[Tenure]]&gt;2,"3%","2%")*Staffs[[#This Row],[Salary]],0)</f>
        <v>2038</v>
      </c>
      <c r="K115" s="19">
        <f>_xlfn.XLOOKUP(Staffs[[#This Row],[Rating]],$N$28:$N$32,$O$28:$O$32)</f>
        <v>2</v>
      </c>
    </row>
    <row r="116" spans="1:11" x14ac:dyDescent="0.3">
      <c r="A116" s="19" t="s">
        <v>26</v>
      </c>
      <c r="B116" s="19" t="s">
        <v>8</v>
      </c>
      <c r="C116" s="19">
        <v>31</v>
      </c>
      <c r="D116" s="19" t="s">
        <v>16</v>
      </c>
      <c r="E116" s="22">
        <v>44663</v>
      </c>
      <c r="F116" s="19" t="s">
        <v>12</v>
      </c>
      <c r="G116" s="21">
        <v>58100</v>
      </c>
      <c r="H116" s="19" t="s">
        <v>207</v>
      </c>
      <c r="I116" s="23">
        <f ca="1">(TODAY()-Staffs[[#This Row],[Date Joined]])/365</f>
        <v>1.9178082191780821</v>
      </c>
      <c r="J116" s="21">
        <f ca="1">ROUNDUP(IF(Staffs[[#This Row],[Tenure]]&gt;2,"3%","2%")*Staffs[[#This Row],[Salary]],0)</f>
        <v>1162</v>
      </c>
      <c r="K116" s="19">
        <f>_xlfn.XLOOKUP(Staffs[[#This Row],[Rating]],$N$28:$N$32,$O$28:$O$32)</f>
        <v>3</v>
      </c>
    </row>
    <row r="117" spans="1:11" x14ac:dyDescent="0.3">
      <c r="A117" s="19" t="s">
        <v>53</v>
      </c>
      <c r="B117" s="19" t="s">
        <v>15</v>
      </c>
      <c r="C117" s="19">
        <v>27</v>
      </c>
      <c r="D117" s="19" t="s">
        <v>16</v>
      </c>
      <c r="E117" s="22">
        <v>44567</v>
      </c>
      <c r="F117" s="19" t="s">
        <v>21</v>
      </c>
      <c r="G117" s="21">
        <v>48980</v>
      </c>
      <c r="H117" s="19" t="s">
        <v>207</v>
      </c>
      <c r="I117" s="23">
        <f ca="1">(TODAY()-Staffs[[#This Row],[Date Joined]])/365</f>
        <v>2.1808219178082191</v>
      </c>
      <c r="J117" s="21">
        <f ca="1">ROUNDUP(IF(Staffs[[#This Row],[Tenure]]&gt;2,"3%","2%")*Staffs[[#This Row],[Salary]],0)</f>
        <v>1470</v>
      </c>
      <c r="K117" s="19">
        <f>_xlfn.XLOOKUP(Staffs[[#This Row],[Rating]],$N$28:$N$32,$O$28:$O$32)</f>
        <v>3</v>
      </c>
    </row>
    <row r="118" spans="1:11" x14ac:dyDescent="0.3">
      <c r="A118" s="19" t="s">
        <v>20</v>
      </c>
      <c r="B118" s="19" t="s">
        <v>206</v>
      </c>
      <c r="C118" s="19">
        <v>30</v>
      </c>
      <c r="D118" s="19" t="s">
        <v>16</v>
      </c>
      <c r="E118" s="22">
        <v>44597</v>
      </c>
      <c r="F118" s="19" t="s">
        <v>21</v>
      </c>
      <c r="G118" s="21">
        <v>64000</v>
      </c>
      <c r="H118" s="19" t="s">
        <v>207</v>
      </c>
      <c r="I118" s="23">
        <f ca="1">(TODAY()-Staffs[[#This Row],[Date Joined]])/365</f>
        <v>2.0986301369863014</v>
      </c>
      <c r="J118" s="21">
        <f ca="1">ROUNDUP(IF(Staffs[[#This Row],[Tenure]]&gt;2,"3%","2%")*Staffs[[#This Row],[Salary]],0)</f>
        <v>1920</v>
      </c>
      <c r="K118" s="19">
        <f>_xlfn.XLOOKUP(Staffs[[#This Row],[Rating]],$N$28:$N$32,$O$28:$O$32)</f>
        <v>3</v>
      </c>
    </row>
    <row r="119" spans="1:11" x14ac:dyDescent="0.3">
      <c r="A119" s="19" t="s">
        <v>7</v>
      </c>
      <c r="B119" s="19" t="s">
        <v>8</v>
      </c>
      <c r="C119" s="19">
        <v>42</v>
      </c>
      <c r="D119" s="19" t="s">
        <v>10</v>
      </c>
      <c r="E119" s="22">
        <v>44779</v>
      </c>
      <c r="F119" s="19" t="s">
        <v>9</v>
      </c>
      <c r="G119" s="21">
        <v>75000</v>
      </c>
      <c r="H119" s="19" t="s">
        <v>207</v>
      </c>
      <c r="I119" s="23">
        <f ca="1">(TODAY()-Staffs[[#This Row],[Date Joined]])/365</f>
        <v>1.6</v>
      </c>
      <c r="J119" s="21">
        <f ca="1">ROUNDUP(IF(Staffs[[#This Row],[Tenure]]&gt;2,"3%","2%")*Staffs[[#This Row],[Salary]],0)</f>
        <v>1500</v>
      </c>
      <c r="K119" s="19">
        <f>_xlfn.XLOOKUP(Staffs[[#This Row],[Rating]],$N$28:$N$32,$O$28:$O$32)</f>
        <v>5</v>
      </c>
    </row>
    <row r="120" spans="1:11" x14ac:dyDescent="0.3">
      <c r="A120" s="19" t="s">
        <v>74</v>
      </c>
      <c r="B120" s="19" t="s">
        <v>8</v>
      </c>
      <c r="C120" s="19">
        <v>40</v>
      </c>
      <c r="D120" s="19" t="s">
        <v>16</v>
      </c>
      <c r="E120" s="22">
        <v>44337</v>
      </c>
      <c r="F120" s="19" t="s">
        <v>12</v>
      </c>
      <c r="G120" s="21">
        <v>87620</v>
      </c>
      <c r="H120" s="19" t="s">
        <v>207</v>
      </c>
      <c r="I120" s="23">
        <f ca="1">(TODAY()-Staffs[[#This Row],[Date Joined]])/365</f>
        <v>2.8109589041095893</v>
      </c>
      <c r="J120" s="21">
        <f ca="1">ROUNDUP(IF(Staffs[[#This Row],[Tenure]]&gt;2,"3%","2%")*Staffs[[#This Row],[Salary]],0)</f>
        <v>2629</v>
      </c>
      <c r="K120" s="19">
        <f>_xlfn.XLOOKUP(Staffs[[#This Row],[Rating]],$N$28:$N$32,$O$28:$O$32)</f>
        <v>3</v>
      </c>
    </row>
    <row r="121" spans="1:11" x14ac:dyDescent="0.3">
      <c r="A121" s="19" t="s">
        <v>44</v>
      </c>
      <c r="B121" s="19" t="s">
        <v>8</v>
      </c>
      <c r="C121" s="19">
        <v>29</v>
      </c>
      <c r="D121" s="19" t="s">
        <v>16</v>
      </c>
      <c r="E121" s="22">
        <v>44023</v>
      </c>
      <c r="F121" s="19" t="s">
        <v>12</v>
      </c>
      <c r="G121" s="21">
        <v>34980</v>
      </c>
      <c r="H121" s="19" t="s">
        <v>207</v>
      </c>
      <c r="I121" s="23">
        <f ca="1">(TODAY()-Staffs[[#This Row],[Date Joined]])/365</f>
        <v>3.6712328767123288</v>
      </c>
      <c r="J121" s="21">
        <f ca="1">ROUNDUP(IF(Staffs[[#This Row],[Tenure]]&gt;2,"3%","2%")*Staffs[[#This Row],[Salary]],0)</f>
        <v>1050</v>
      </c>
      <c r="K121" s="19">
        <f>_xlfn.XLOOKUP(Staffs[[#This Row],[Rating]],$N$28:$N$32,$O$28:$O$32)</f>
        <v>3</v>
      </c>
    </row>
    <row r="122" spans="1:11" x14ac:dyDescent="0.3">
      <c r="A122" s="19" t="s">
        <v>35</v>
      </c>
      <c r="B122" s="19" t="s">
        <v>8</v>
      </c>
      <c r="C122" s="19">
        <v>28</v>
      </c>
      <c r="D122" s="19" t="s">
        <v>16</v>
      </c>
      <c r="E122" s="22">
        <v>44185</v>
      </c>
      <c r="F122" s="19" t="s">
        <v>21</v>
      </c>
      <c r="G122" s="21">
        <v>75970</v>
      </c>
      <c r="H122" s="19" t="s">
        <v>207</v>
      </c>
      <c r="I122" s="23">
        <f ca="1">(TODAY()-Staffs[[#This Row],[Date Joined]])/365</f>
        <v>3.2273972602739724</v>
      </c>
      <c r="J122" s="21">
        <f ca="1">ROUNDUP(IF(Staffs[[#This Row],[Tenure]]&gt;2,"3%","2%")*Staffs[[#This Row],[Salary]],0)</f>
        <v>2280</v>
      </c>
      <c r="K122" s="19">
        <f>_xlfn.XLOOKUP(Staffs[[#This Row],[Rating]],$N$28:$N$32,$O$28:$O$32)</f>
        <v>3</v>
      </c>
    </row>
    <row r="123" spans="1:11" x14ac:dyDescent="0.3">
      <c r="A123" s="19" t="s">
        <v>38</v>
      </c>
      <c r="B123" s="19" t="s">
        <v>8</v>
      </c>
      <c r="C123" s="19">
        <v>34</v>
      </c>
      <c r="D123" s="19" t="s">
        <v>16</v>
      </c>
      <c r="E123" s="22">
        <v>44612</v>
      </c>
      <c r="F123" s="19" t="s">
        <v>21</v>
      </c>
      <c r="G123" s="21">
        <v>60130</v>
      </c>
      <c r="H123" s="19" t="s">
        <v>207</v>
      </c>
      <c r="I123" s="23">
        <f ca="1">(TODAY()-Staffs[[#This Row],[Date Joined]])/365</f>
        <v>2.0575342465753423</v>
      </c>
      <c r="J123" s="21">
        <f ca="1">ROUNDUP(IF(Staffs[[#This Row],[Tenure]]&gt;2,"3%","2%")*Staffs[[#This Row],[Salary]],0)</f>
        <v>1804</v>
      </c>
      <c r="K123" s="19">
        <f>_xlfn.XLOOKUP(Staffs[[#This Row],[Rating]],$N$28:$N$32,$O$28:$O$32)</f>
        <v>3</v>
      </c>
    </row>
    <row r="124" spans="1:11" x14ac:dyDescent="0.3">
      <c r="A124" s="19" t="s">
        <v>41</v>
      </c>
      <c r="B124" s="19" t="s">
        <v>8</v>
      </c>
      <c r="C124" s="19">
        <v>33</v>
      </c>
      <c r="D124" s="19" t="s">
        <v>42</v>
      </c>
      <c r="E124" s="22">
        <v>44374</v>
      </c>
      <c r="F124" s="19" t="s">
        <v>12</v>
      </c>
      <c r="G124" s="21">
        <v>75480</v>
      </c>
      <c r="H124" s="19" t="s">
        <v>207</v>
      </c>
      <c r="I124" s="23">
        <f ca="1">(TODAY()-Staffs[[#This Row],[Date Joined]])/365</f>
        <v>2.7095890410958905</v>
      </c>
      <c r="J124" s="21">
        <f ca="1">ROUNDUP(IF(Staffs[[#This Row],[Tenure]]&gt;2,"3%","2%")*Staffs[[#This Row],[Salary]],0)</f>
        <v>2265</v>
      </c>
      <c r="K124" s="19">
        <f>_xlfn.XLOOKUP(Staffs[[#This Row],[Rating]],$N$28:$N$32,$O$28:$O$32)</f>
        <v>1</v>
      </c>
    </row>
    <row r="125" spans="1:11" x14ac:dyDescent="0.3">
      <c r="A125" s="19" t="s">
        <v>40</v>
      </c>
      <c r="B125" s="19" t="s">
        <v>15</v>
      </c>
      <c r="C125" s="19">
        <v>33</v>
      </c>
      <c r="D125" s="19" t="s">
        <v>16</v>
      </c>
      <c r="E125" s="22">
        <v>44164</v>
      </c>
      <c r="F125" s="19" t="s">
        <v>9</v>
      </c>
      <c r="G125" s="21">
        <v>115920</v>
      </c>
      <c r="H125" s="19" t="s">
        <v>207</v>
      </c>
      <c r="I125" s="23">
        <f ca="1">(TODAY()-Staffs[[#This Row],[Date Joined]])/365</f>
        <v>3.2849315068493152</v>
      </c>
      <c r="J125" s="21">
        <f ca="1">ROUNDUP(IF(Staffs[[#This Row],[Tenure]]&gt;2,"3%","2%")*Staffs[[#This Row],[Salary]],0)</f>
        <v>3478</v>
      </c>
      <c r="K125" s="19">
        <f>_xlfn.XLOOKUP(Staffs[[#This Row],[Rating]],$N$28:$N$32,$O$28:$O$32)</f>
        <v>3</v>
      </c>
    </row>
    <row r="126" spans="1:11" x14ac:dyDescent="0.3">
      <c r="A126" s="19" t="s">
        <v>48</v>
      </c>
      <c r="B126" s="19" t="s">
        <v>8</v>
      </c>
      <c r="C126" s="19">
        <v>36</v>
      </c>
      <c r="D126" s="19" t="s">
        <v>16</v>
      </c>
      <c r="E126" s="22">
        <v>44494</v>
      </c>
      <c r="F126" s="19" t="s">
        <v>19</v>
      </c>
      <c r="G126" s="21">
        <v>78540</v>
      </c>
      <c r="H126" s="19" t="s">
        <v>207</v>
      </c>
      <c r="I126" s="23">
        <f ca="1">(TODAY()-Staffs[[#This Row],[Date Joined]])/365</f>
        <v>2.3808219178082193</v>
      </c>
      <c r="J126" s="21">
        <f ca="1">ROUNDUP(IF(Staffs[[#This Row],[Tenure]]&gt;2,"3%","2%")*Staffs[[#This Row],[Salary]],0)</f>
        <v>2357</v>
      </c>
      <c r="K126" s="19">
        <f>_xlfn.XLOOKUP(Staffs[[#This Row],[Rating]],$N$28:$N$32,$O$28:$O$32)</f>
        <v>3</v>
      </c>
    </row>
    <row r="127" spans="1:11" x14ac:dyDescent="0.3">
      <c r="A127" s="19" t="s">
        <v>34</v>
      </c>
      <c r="B127" s="19" t="s">
        <v>15</v>
      </c>
      <c r="C127" s="19">
        <v>25</v>
      </c>
      <c r="D127" s="19" t="s">
        <v>13</v>
      </c>
      <c r="E127" s="22">
        <v>44726</v>
      </c>
      <c r="F127" s="19" t="s">
        <v>9</v>
      </c>
      <c r="G127" s="21">
        <v>109190</v>
      </c>
      <c r="H127" s="19" t="s">
        <v>207</v>
      </c>
      <c r="I127" s="23">
        <f ca="1">(TODAY()-Staffs[[#This Row],[Date Joined]])/365</f>
        <v>1.7452054794520548</v>
      </c>
      <c r="J127" s="21">
        <f ca="1">ROUNDUP(IF(Staffs[[#This Row],[Tenure]]&gt;2,"3%","2%")*Staffs[[#This Row],[Salary]],0)</f>
        <v>2184</v>
      </c>
      <c r="K127" s="19">
        <f>_xlfn.XLOOKUP(Staffs[[#This Row],[Rating]],$N$28:$N$32,$O$28:$O$32)</f>
        <v>4</v>
      </c>
    </row>
    <row r="128" spans="1:11" x14ac:dyDescent="0.3">
      <c r="A128" s="19" t="s">
        <v>73</v>
      </c>
      <c r="B128" s="19" t="s">
        <v>8</v>
      </c>
      <c r="C128" s="19">
        <v>34</v>
      </c>
      <c r="D128" s="19" t="s">
        <v>24</v>
      </c>
      <c r="E128" s="22">
        <v>44721</v>
      </c>
      <c r="F128" s="19" t="s">
        <v>19</v>
      </c>
      <c r="G128" s="21">
        <v>49630</v>
      </c>
      <c r="H128" s="19" t="s">
        <v>207</v>
      </c>
      <c r="I128" s="23">
        <f ca="1">(TODAY()-Staffs[[#This Row],[Date Joined]])/365</f>
        <v>1.7589041095890412</v>
      </c>
      <c r="J128" s="21">
        <f ca="1">ROUNDUP(IF(Staffs[[#This Row],[Tenure]]&gt;2,"3%","2%")*Staffs[[#This Row],[Salary]],0)</f>
        <v>993</v>
      </c>
      <c r="K128" s="19">
        <f>_xlfn.XLOOKUP(Staffs[[#This Row],[Rating]],$N$28:$N$32,$O$28:$O$32)</f>
        <v>2</v>
      </c>
    </row>
    <row r="129" spans="1:11" x14ac:dyDescent="0.3">
      <c r="A129" s="19" t="s">
        <v>107</v>
      </c>
      <c r="B129" s="19" t="s">
        <v>8</v>
      </c>
      <c r="C129" s="19">
        <v>28</v>
      </c>
      <c r="D129" s="19" t="s">
        <v>16</v>
      </c>
      <c r="E129" s="22">
        <v>44630</v>
      </c>
      <c r="F129" s="19" t="s">
        <v>9</v>
      </c>
      <c r="G129" s="21">
        <v>99970</v>
      </c>
      <c r="H129" s="19" t="s">
        <v>207</v>
      </c>
      <c r="I129" s="23">
        <f ca="1">(TODAY()-Staffs[[#This Row],[Date Joined]])/365</f>
        <v>2.0082191780821916</v>
      </c>
      <c r="J129" s="21">
        <f ca="1">ROUNDUP(IF(Staffs[[#This Row],[Tenure]]&gt;2,"3%","2%")*Staffs[[#This Row],[Salary]],0)</f>
        <v>3000</v>
      </c>
      <c r="K129" s="19">
        <f>_xlfn.XLOOKUP(Staffs[[#This Row],[Rating]],$N$28:$N$32,$O$28:$O$32)</f>
        <v>3</v>
      </c>
    </row>
    <row r="130" spans="1:11" x14ac:dyDescent="0.3">
      <c r="A130" s="19" t="s">
        <v>71</v>
      </c>
      <c r="B130" s="19" t="s">
        <v>8</v>
      </c>
      <c r="C130" s="19">
        <v>33</v>
      </c>
      <c r="D130" s="19" t="s">
        <v>16</v>
      </c>
      <c r="E130" s="22">
        <v>44190</v>
      </c>
      <c r="F130" s="19" t="s">
        <v>12</v>
      </c>
      <c r="G130" s="21">
        <v>96140</v>
      </c>
      <c r="H130" s="19" t="s">
        <v>207</v>
      </c>
      <c r="I130" s="23">
        <f ca="1">(TODAY()-Staffs[[#This Row],[Date Joined]])/365</f>
        <v>3.2136986301369861</v>
      </c>
      <c r="J130" s="21">
        <f ca="1">ROUNDUP(IF(Staffs[[#This Row],[Tenure]]&gt;2,"3%","2%")*Staffs[[#This Row],[Salary]],0)</f>
        <v>2885</v>
      </c>
      <c r="K130" s="19">
        <f>_xlfn.XLOOKUP(Staffs[[#This Row],[Rating]],$N$28:$N$32,$O$28:$O$32)</f>
        <v>3</v>
      </c>
    </row>
    <row r="131" spans="1:11" x14ac:dyDescent="0.3">
      <c r="A131" s="19" t="s">
        <v>50</v>
      </c>
      <c r="B131" s="19" t="s">
        <v>15</v>
      </c>
      <c r="C131" s="19">
        <v>31</v>
      </c>
      <c r="D131" s="19" t="s">
        <v>16</v>
      </c>
      <c r="E131" s="22">
        <v>44724</v>
      </c>
      <c r="F131" s="19" t="s">
        <v>9</v>
      </c>
      <c r="G131" s="21">
        <v>103550</v>
      </c>
      <c r="H131" s="19" t="s">
        <v>207</v>
      </c>
      <c r="I131" s="23">
        <f ca="1">(TODAY()-Staffs[[#This Row],[Date Joined]])/365</f>
        <v>1.7506849315068493</v>
      </c>
      <c r="J131" s="21">
        <f ca="1">ROUNDUP(IF(Staffs[[#This Row],[Tenure]]&gt;2,"3%","2%")*Staffs[[#This Row],[Salary]],0)</f>
        <v>2071</v>
      </c>
      <c r="K131" s="19">
        <f>_xlfn.XLOOKUP(Staffs[[#This Row],[Rating]],$N$28:$N$32,$O$28:$O$32)</f>
        <v>3</v>
      </c>
    </row>
    <row r="132" spans="1:11" x14ac:dyDescent="0.3">
      <c r="A132" s="19" t="s">
        <v>14</v>
      </c>
      <c r="B132" s="19" t="s">
        <v>15</v>
      </c>
      <c r="C132" s="19">
        <v>31</v>
      </c>
      <c r="D132" s="19" t="s">
        <v>16</v>
      </c>
      <c r="E132" s="22">
        <v>44511</v>
      </c>
      <c r="F132" s="19" t="s">
        <v>12</v>
      </c>
      <c r="G132" s="21">
        <v>48950</v>
      </c>
      <c r="H132" s="19" t="s">
        <v>207</v>
      </c>
      <c r="I132" s="23">
        <f ca="1">(TODAY()-Staffs[[#This Row],[Date Joined]])/365</f>
        <v>2.3342465753424659</v>
      </c>
      <c r="J132" s="21">
        <f ca="1">ROUNDUP(IF(Staffs[[#This Row],[Tenure]]&gt;2,"3%","2%")*Staffs[[#This Row],[Salary]],0)</f>
        <v>1469</v>
      </c>
      <c r="K132" s="19">
        <f>_xlfn.XLOOKUP(Staffs[[#This Row],[Rating]],$N$28:$N$32,$O$28:$O$32)</f>
        <v>3</v>
      </c>
    </row>
    <row r="133" spans="1:11" x14ac:dyDescent="0.3">
      <c r="A133" s="19" t="s">
        <v>63</v>
      </c>
      <c r="B133" s="19" t="s">
        <v>15</v>
      </c>
      <c r="C133" s="19">
        <v>24</v>
      </c>
      <c r="D133" s="19" t="s">
        <v>24</v>
      </c>
      <c r="E133" s="22">
        <v>44436</v>
      </c>
      <c r="F133" s="19" t="s">
        <v>21</v>
      </c>
      <c r="G133" s="21">
        <v>52610</v>
      </c>
      <c r="H133" s="19" t="s">
        <v>207</v>
      </c>
      <c r="I133" s="23">
        <f ca="1">(TODAY()-Staffs[[#This Row],[Date Joined]])/365</f>
        <v>2.5397260273972604</v>
      </c>
      <c r="J133" s="21">
        <f ca="1">ROUNDUP(IF(Staffs[[#This Row],[Tenure]]&gt;2,"3%","2%")*Staffs[[#This Row],[Salary]],0)</f>
        <v>1579</v>
      </c>
      <c r="K133" s="19">
        <f>_xlfn.XLOOKUP(Staffs[[#This Row],[Rating]],$N$28:$N$32,$O$28:$O$32)</f>
        <v>2</v>
      </c>
    </row>
    <row r="134" spans="1:11" x14ac:dyDescent="0.3">
      <c r="A134" s="19" t="s">
        <v>72</v>
      </c>
      <c r="B134" s="19" t="s">
        <v>8</v>
      </c>
      <c r="C134" s="19">
        <v>36</v>
      </c>
      <c r="D134" s="19" t="s">
        <v>16</v>
      </c>
      <c r="E134" s="22">
        <v>44529</v>
      </c>
      <c r="F134" s="19" t="s">
        <v>9</v>
      </c>
      <c r="G134" s="21">
        <v>78390</v>
      </c>
      <c r="H134" s="19" t="s">
        <v>207</v>
      </c>
      <c r="I134" s="23">
        <f ca="1">(TODAY()-Staffs[[#This Row],[Date Joined]])/365</f>
        <v>2.2849315068493152</v>
      </c>
      <c r="J134" s="21">
        <f ca="1">ROUNDUP(IF(Staffs[[#This Row],[Tenure]]&gt;2,"3%","2%")*Staffs[[#This Row],[Salary]],0)</f>
        <v>2352</v>
      </c>
      <c r="K134" s="19">
        <f>_xlfn.XLOOKUP(Staffs[[#This Row],[Rating]],$N$28:$N$32,$O$28:$O$32)</f>
        <v>3</v>
      </c>
    </row>
    <row r="135" spans="1:11" x14ac:dyDescent="0.3">
      <c r="A135" s="19" t="s">
        <v>88</v>
      </c>
      <c r="B135" s="19" t="s">
        <v>8</v>
      </c>
      <c r="C135" s="19">
        <v>33</v>
      </c>
      <c r="D135" s="19" t="s">
        <v>16</v>
      </c>
      <c r="E135" s="22">
        <v>44809</v>
      </c>
      <c r="F135" s="19" t="s">
        <v>21</v>
      </c>
      <c r="G135" s="21">
        <v>86570</v>
      </c>
      <c r="H135" s="19" t="s">
        <v>207</v>
      </c>
      <c r="I135" s="23">
        <f ca="1">(TODAY()-Staffs[[#This Row],[Date Joined]])/365</f>
        <v>1.5178082191780822</v>
      </c>
      <c r="J135" s="21">
        <f ca="1">ROUNDUP(IF(Staffs[[#This Row],[Tenure]]&gt;2,"3%","2%")*Staffs[[#This Row],[Salary]],0)</f>
        <v>1732</v>
      </c>
      <c r="K135" s="19">
        <f>_xlfn.XLOOKUP(Staffs[[#This Row],[Rating]],$N$28:$N$32,$O$28:$O$32)</f>
        <v>3</v>
      </c>
    </row>
    <row r="136" spans="1:11" x14ac:dyDescent="0.3">
      <c r="A136" s="19" t="s">
        <v>92</v>
      </c>
      <c r="B136" s="19" t="s">
        <v>8</v>
      </c>
      <c r="C136" s="19">
        <v>27</v>
      </c>
      <c r="D136" s="19" t="s">
        <v>16</v>
      </c>
      <c r="E136" s="22">
        <v>44686</v>
      </c>
      <c r="F136" s="19" t="s">
        <v>12</v>
      </c>
      <c r="G136" s="21">
        <v>83750</v>
      </c>
      <c r="H136" s="19" t="s">
        <v>207</v>
      </c>
      <c r="I136" s="23">
        <f ca="1">(TODAY()-Staffs[[#This Row],[Date Joined]])/365</f>
        <v>1.8547945205479452</v>
      </c>
      <c r="J136" s="21">
        <f ca="1">ROUNDUP(IF(Staffs[[#This Row],[Tenure]]&gt;2,"3%","2%")*Staffs[[#This Row],[Salary]],0)</f>
        <v>1675</v>
      </c>
      <c r="K136" s="19">
        <f>_xlfn.XLOOKUP(Staffs[[#This Row],[Rating]],$N$28:$N$32,$O$28:$O$32)</f>
        <v>3</v>
      </c>
    </row>
    <row r="137" spans="1:11" x14ac:dyDescent="0.3">
      <c r="A137" s="19" t="s">
        <v>102</v>
      </c>
      <c r="B137" s="19" t="s">
        <v>8</v>
      </c>
      <c r="C137" s="19">
        <v>34</v>
      </c>
      <c r="D137" s="19" t="s">
        <v>16</v>
      </c>
      <c r="E137" s="22">
        <v>44445</v>
      </c>
      <c r="F137" s="19" t="s">
        <v>21</v>
      </c>
      <c r="G137" s="21">
        <v>92450</v>
      </c>
      <c r="H137" s="19" t="s">
        <v>207</v>
      </c>
      <c r="I137" s="23">
        <f ca="1">(TODAY()-Staffs[[#This Row],[Date Joined]])/365</f>
        <v>2.515068493150685</v>
      </c>
      <c r="J137" s="21">
        <f ca="1">ROUNDUP(IF(Staffs[[#This Row],[Tenure]]&gt;2,"3%","2%")*Staffs[[#This Row],[Salary]],0)</f>
        <v>2774</v>
      </c>
      <c r="K137" s="19">
        <f>_xlfn.XLOOKUP(Staffs[[#This Row],[Rating]],$N$28:$N$32,$O$28:$O$32)</f>
        <v>3</v>
      </c>
    </row>
    <row r="138" spans="1:11" x14ac:dyDescent="0.3">
      <c r="A138" s="19" t="s">
        <v>64</v>
      </c>
      <c r="B138" s="19" t="s">
        <v>15</v>
      </c>
      <c r="C138" s="19">
        <v>20</v>
      </c>
      <c r="D138" s="19" t="s">
        <v>16</v>
      </c>
      <c r="E138" s="22">
        <v>44183</v>
      </c>
      <c r="F138" s="19" t="s">
        <v>12</v>
      </c>
      <c r="G138" s="21">
        <v>112650</v>
      </c>
      <c r="H138" s="19" t="s">
        <v>207</v>
      </c>
      <c r="I138" s="23">
        <f ca="1">(TODAY()-Staffs[[#This Row],[Date Joined]])/365</f>
        <v>3.2328767123287672</v>
      </c>
      <c r="J138" s="21">
        <f ca="1">ROUNDUP(IF(Staffs[[#This Row],[Tenure]]&gt;2,"3%","2%")*Staffs[[#This Row],[Salary]],0)</f>
        <v>3380</v>
      </c>
      <c r="K138" s="19">
        <f>_xlfn.XLOOKUP(Staffs[[#This Row],[Rating]],$N$28:$N$32,$O$28:$O$32)</f>
        <v>3</v>
      </c>
    </row>
    <row r="139" spans="1:11" x14ac:dyDescent="0.3">
      <c r="A139" s="19" t="s">
        <v>104</v>
      </c>
      <c r="B139" s="19" t="s">
        <v>15</v>
      </c>
      <c r="C139" s="19">
        <v>20</v>
      </c>
      <c r="D139" s="19" t="s">
        <v>16</v>
      </c>
      <c r="E139" s="22">
        <v>44744</v>
      </c>
      <c r="F139" s="19" t="s">
        <v>9</v>
      </c>
      <c r="G139" s="21">
        <v>79570</v>
      </c>
      <c r="H139" s="19" t="s">
        <v>207</v>
      </c>
      <c r="I139" s="23">
        <f ca="1">(TODAY()-Staffs[[#This Row],[Date Joined]])/365</f>
        <v>1.6958904109589041</v>
      </c>
      <c r="J139" s="21">
        <f ca="1">ROUNDUP(IF(Staffs[[#This Row],[Tenure]]&gt;2,"3%","2%")*Staffs[[#This Row],[Salary]],0)</f>
        <v>1592</v>
      </c>
      <c r="K139" s="19">
        <f>_xlfn.XLOOKUP(Staffs[[#This Row],[Rating]],$N$28:$N$32,$O$28:$O$32)</f>
        <v>3</v>
      </c>
    </row>
    <row r="140" spans="1:11" x14ac:dyDescent="0.3">
      <c r="A140" s="19" t="s">
        <v>91</v>
      </c>
      <c r="B140" s="19" t="s">
        <v>8</v>
      </c>
      <c r="C140" s="19">
        <v>20</v>
      </c>
      <c r="D140" s="19" t="s">
        <v>24</v>
      </c>
      <c r="E140" s="22">
        <v>44537</v>
      </c>
      <c r="F140" s="19" t="s">
        <v>19</v>
      </c>
      <c r="G140" s="21">
        <v>68900</v>
      </c>
      <c r="H140" s="19" t="s">
        <v>207</v>
      </c>
      <c r="I140" s="23">
        <f ca="1">(TODAY()-Staffs[[#This Row],[Date Joined]])/365</f>
        <v>2.2630136986301368</v>
      </c>
      <c r="J140" s="21">
        <f ca="1">ROUNDUP(IF(Staffs[[#This Row],[Tenure]]&gt;2,"3%","2%")*Staffs[[#This Row],[Salary]],0)</f>
        <v>2067</v>
      </c>
      <c r="K140" s="19">
        <f>_xlfn.XLOOKUP(Staffs[[#This Row],[Rating]],$N$28:$N$32,$O$28:$O$32)</f>
        <v>2</v>
      </c>
    </row>
    <row r="141" spans="1:11" x14ac:dyDescent="0.3">
      <c r="A141" s="19" t="s">
        <v>39</v>
      </c>
      <c r="B141" s="19" t="s">
        <v>8</v>
      </c>
      <c r="C141" s="19">
        <v>25</v>
      </c>
      <c r="D141" s="19" t="s">
        <v>13</v>
      </c>
      <c r="E141" s="22">
        <v>44694</v>
      </c>
      <c r="F141" s="19" t="s">
        <v>12</v>
      </c>
      <c r="G141" s="21">
        <v>80700</v>
      </c>
      <c r="H141" s="19" t="s">
        <v>207</v>
      </c>
      <c r="I141" s="23">
        <f ca="1">(TODAY()-Staffs[[#This Row],[Date Joined]])/365</f>
        <v>1.832876712328767</v>
      </c>
      <c r="J141" s="21">
        <f ca="1">ROUNDUP(IF(Staffs[[#This Row],[Tenure]]&gt;2,"3%","2%")*Staffs[[#This Row],[Salary]],0)</f>
        <v>1614</v>
      </c>
      <c r="K141" s="19">
        <f>_xlfn.XLOOKUP(Staffs[[#This Row],[Rating]],$N$28:$N$32,$O$28:$O$32)</f>
        <v>4</v>
      </c>
    </row>
    <row r="142" spans="1:11" x14ac:dyDescent="0.3">
      <c r="A142" s="19" t="s">
        <v>100</v>
      </c>
      <c r="B142" s="19" t="s">
        <v>15</v>
      </c>
      <c r="C142" s="19">
        <v>19</v>
      </c>
      <c r="D142" s="19" t="s">
        <v>16</v>
      </c>
      <c r="E142" s="22">
        <v>44277</v>
      </c>
      <c r="F142" s="19" t="s">
        <v>9</v>
      </c>
      <c r="G142" s="21">
        <v>58960</v>
      </c>
      <c r="H142" s="19" t="s">
        <v>207</v>
      </c>
      <c r="I142" s="23">
        <f ca="1">(TODAY()-Staffs[[#This Row],[Date Joined]])/365</f>
        <v>2.9753424657534246</v>
      </c>
      <c r="J142" s="21">
        <f ca="1">ROUNDUP(IF(Staffs[[#This Row],[Tenure]]&gt;2,"3%","2%")*Staffs[[#This Row],[Salary]],0)</f>
        <v>1769</v>
      </c>
      <c r="K142" s="19">
        <f>_xlfn.XLOOKUP(Staffs[[#This Row],[Rating]],$N$28:$N$32,$O$28:$O$32)</f>
        <v>3</v>
      </c>
    </row>
    <row r="143" spans="1:11" x14ac:dyDescent="0.3">
      <c r="A143" s="19" t="s">
        <v>106</v>
      </c>
      <c r="B143" s="19" t="s">
        <v>15</v>
      </c>
      <c r="C143" s="19">
        <v>36</v>
      </c>
      <c r="D143" s="19" t="s">
        <v>16</v>
      </c>
      <c r="E143" s="22">
        <v>44019</v>
      </c>
      <c r="F143" s="19" t="s">
        <v>12</v>
      </c>
      <c r="G143" s="21">
        <v>118840</v>
      </c>
      <c r="H143" s="19" t="s">
        <v>207</v>
      </c>
      <c r="I143" s="23">
        <f ca="1">(TODAY()-Staffs[[#This Row],[Date Joined]])/365</f>
        <v>3.6821917808219178</v>
      </c>
      <c r="J143" s="21">
        <f ca="1">ROUNDUP(IF(Staffs[[#This Row],[Tenure]]&gt;2,"3%","2%")*Staffs[[#This Row],[Salary]],0)</f>
        <v>3566</v>
      </c>
      <c r="K143" s="19">
        <f>_xlfn.XLOOKUP(Staffs[[#This Row],[Rating]],$N$28:$N$32,$O$28:$O$32)</f>
        <v>3</v>
      </c>
    </row>
    <row r="144" spans="1:11" x14ac:dyDescent="0.3">
      <c r="A144" s="19" t="s">
        <v>29</v>
      </c>
      <c r="B144" s="19" t="s">
        <v>15</v>
      </c>
      <c r="C144" s="19">
        <v>28</v>
      </c>
      <c r="D144" s="19" t="s">
        <v>13</v>
      </c>
      <c r="E144" s="22">
        <v>44041</v>
      </c>
      <c r="F144" s="19" t="s">
        <v>21</v>
      </c>
      <c r="G144" s="21">
        <v>48170</v>
      </c>
      <c r="H144" s="19" t="s">
        <v>207</v>
      </c>
      <c r="I144" s="23">
        <f ca="1">(TODAY()-Staffs[[#This Row],[Date Joined]])/365</f>
        <v>3.6219178082191781</v>
      </c>
      <c r="J144" s="21">
        <f ca="1">ROUNDUP(IF(Staffs[[#This Row],[Tenure]]&gt;2,"3%","2%")*Staffs[[#This Row],[Salary]],0)</f>
        <v>1446</v>
      </c>
      <c r="K144" s="19">
        <f>_xlfn.XLOOKUP(Staffs[[#This Row],[Rating]],$N$28:$N$32,$O$28:$O$32)</f>
        <v>4</v>
      </c>
    </row>
    <row r="145" spans="1:11" x14ac:dyDescent="0.3">
      <c r="A145" s="19" t="s">
        <v>108</v>
      </c>
      <c r="B145" s="19" t="s">
        <v>8</v>
      </c>
      <c r="C145" s="19">
        <v>32</v>
      </c>
      <c r="D145" s="19" t="s">
        <v>16</v>
      </c>
      <c r="E145" s="22">
        <v>44400</v>
      </c>
      <c r="F145" s="19" t="s">
        <v>56</v>
      </c>
      <c r="G145" s="21">
        <v>45510</v>
      </c>
      <c r="H145" s="19" t="s">
        <v>207</v>
      </c>
      <c r="I145" s="23">
        <f ca="1">(TODAY()-Staffs[[#This Row],[Date Joined]])/365</f>
        <v>2.6383561643835618</v>
      </c>
      <c r="J145" s="21">
        <f ca="1">ROUNDUP(IF(Staffs[[#This Row],[Tenure]]&gt;2,"3%","2%")*Staffs[[#This Row],[Salary]],0)</f>
        <v>1366</v>
      </c>
      <c r="K145" s="19">
        <f>_xlfn.XLOOKUP(Staffs[[#This Row],[Rating]],$N$28:$N$32,$O$28:$O$32)</f>
        <v>3</v>
      </c>
    </row>
    <row r="146" spans="1:11" x14ac:dyDescent="0.3">
      <c r="A146" s="19" t="s">
        <v>83</v>
      </c>
      <c r="B146" s="19" t="s">
        <v>8</v>
      </c>
      <c r="C146" s="19">
        <v>36</v>
      </c>
      <c r="D146" s="19" t="s">
        <v>16</v>
      </c>
      <c r="E146" s="22">
        <v>44085</v>
      </c>
      <c r="F146" s="19" t="s">
        <v>9</v>
      </c>
      <c r="G146" s="21">
        <v>114890</v>
      </c>
      <c r="H146" s="19" t="s">
        <v>207</v>
      </c>
      <c r="I146" s="23">
        <f ca="1">(TODAY()-Staffs[[#This Row],[Date Joined]])/365</f>
        <v>3.5013698630136987</v>
      </c>
      <c r="J146" s="21">
        <f ca="1">ROUNDUP(IF(Staffs[[#This Row],[Tenure]]&gt;2,"3%","2%")*Staffs[[#This Row],[Salary]],0)</f>
        <v>3447</v>
      </c>
      <c r="K146" s="19">
        <f>_xlfn.XLOOKUP(Staffs[[#This Row],[Rating]],$N$28:$N$32,$O$28:$O$32)</f>
        <v>3</v>
      </c>
    </row>
    <row r="147" spans="1:11" x14ac:dyDescent="0.3">
      <c r="A147" s="19" t="s">
        <v>67</v>
      </c>
      <c r="B147" s="19" t="s">
        <v>15</v>
      </c>
      <c r="C147" s="19">
        <v>30</v>
      </c>
      <c r="D147" s="19" t="s">
        <v>16</v>
      </c>
      <c r="E147" s="22">
        <v>44850</v>
      </c>
      <c r="F147" s="19" t="s">
        <v>12</v>
      </c>
      <c r="G147" s="21">
        <v>69710</v>
      </c>
      <c r="H147" s="19" t="s">
        <v>207</v>
      </c>
      <c r="I147" s="23">
        <f ca="1">(TODAY()-Staffs[[#This Row],[Date Joined]])/365</f>
        <v>1.4054794520547946</v>
      </c>
      <c r="J147" s="21">
        <f ca="1">ROUNDUP(IF(Staffs[[#This Row],[Tenure]]&gt;2,"3%","2%")*Staffs[[#This Row],[Salary]],0)</f>
        <v>1395</v>
      </c>
      <c r="K147" s="19">
        <f>_xlfn.XLOOKUP(Staffs[[#This Row],[Rating]],$N$28:$N$32,$O$28:$O$32)</f>
        <v>3</v>
      </c>
    </row>
    <row r="148" spans="1:11" x14ac:dyDescent="0.3">
      <c r="A148" s="19" t="s">
        <v>94</v>
      </c>
      <c r="B148" s="19" t="s">
        <v>15</v>
      </c>
      <c r="C148" s="19">
        <v>36</v>
      </c>
      <c r="D148" s="19" t="s">
        <v>16</v>
      </c>
      <c r="E148" s="22">
        <v>44333</v>
      </c>
      <c r="F148" s="19" t="s">
        <v>21</v>
      </c>
      <c r="G148" s="21">
        <v>71380</v>
      </c>
      <c r="H148" s="19" t="s">
        <v>207</v>
      </c>
      <c r="I148" s="23">
        <f ca="1">(TODAY()-Staffs[[#This Row],[Date Joined]])/365</f>
        <v>2.8219178082191783</v>
      </c>
      <c r="J148" s="21">
        <f ca="1">ROUNDUP(IF(Staffs[[#This Row],[Tenure]]&gt;2,"3%","2%")*Staffs[[#This Row],[Salary]],0)</f>
        <v>2142</v>
      </c>
      <c r="K148" s="19">
        <f>_xlfn.XLOOKUP(Staffs[[#This Row],[Rating]],$N$28:$N$32,$O$28:$O$32)</f>
        <v>3</v>
      </c>
    </row>
    <row r="149" spans="1:11" x14ac:dyDescent="0.3">
      <c r="A149" s="19" t="s">
        <v>33</v>
      </c>
      <c r="B149" s="19" t="s">
        <v>8</v>
      </c>
      <c r="C149" s="19">
        <v>38</v>
      </c>
      <c r="D149" s="19" t="s">
        <v>10</v>
      </c>
      <c r="E149" s="22">
        <v>44377</v>
      </c>
      <c r="F149" s="19" t="s">
        <v>19</v>
      </c>
      <c r="G149" s="21">
        <v>109160</v>
      </c>
      <c r="H149" s="19" t="s">
        <v>207</v>
      </c>
      <c r="I149" s="23">
        <f ca="1">(TODAY()-Staffs[[#This Row],[Date Joined]])/365</f>
        <v>2.7013698630136984</v>
      </c>
      <c r="J149" s="21">
        <f ca="1">ROUNDUP(IF(Staffs[[#This Row],[Tenure]]&gt;2,"3%","2%")*Staffs[[#This Row],[Salary]],0)</f>
        <v>3275</v>
      </c>
      <c r="K149" s="19">
        <f>_xlfn.XLOOKUP(Staffs[[#This Row],[Rating]],$N$28:$N$32,$O$28:$O$32)</f>
        <v>5</v>
      </c>
    </row>
    <row r="150" spans="1:11" x14ac:dyDescent="0.3">
      <c r="A150" s="19" t="s">
        <v>98</v>
      </c>
      <c r="B150" s="19" t="s">
        <v>15</v>
      </c>
      <c r="C150" s="19">
        <v>27</v>
      </c>
      <c r="D150" s="19" t="s">
        <v>42</v>
      </c>
      <c r="E150" s="22">
        <v>44609</v>
      </c>
      <c r="F150" s="19" t="s">
        <v>9</v>
      </c>
      <c r="G150" s="21">
        <v>113280</v>
      </c>
      <c r="H150" s="19" t="s">
        <v>207</v>
      </c>
      <c r="I150" s="23">
        <f ca="1">(TODAY()-Staffs[[#This Row],[Date Joined]])/365</f>
        <v>2.0657534246575344</v>
      </c>
      <c r="J150" s="21">
        <f ca="1">ROUNDUP(IF(Staffs[[#This Row],[Tenure]]&gt;2,"3%","2%")*Staffs[[#This Row],[Salary]],0)</f>
        <v>3399</v>
      </c>
      <c r="K150" s="19">
        <f>_xlfn.XLOOKUP(Staffs[[#This Row],[Rating]],$N$28:$N$32,$O$28:$O$32)</f>
        <v>1</v>
      </c>
    </row>
    <row r="151" spans="1:11" x14ac:dyDescent="0.3">
      <c r="A151" s="19" t="s">
        <v>25</v>
      </c>
      <c r="B151" s="19" t="s">
        <v>15</v>
      </c>
      <c r="C151" s="19">
        <v>30</v>
      </c>
      <c r="D151" s="19" t="s">
        <v>16</v>
      </c>
      <c r="E151" s="22">
        <v>44273</v>
      </c>
      <c r="F151" s="19" t="s">
        <v>12</v>
      </c>
      <c r="G151" s="21">
        <v>69120</v>
      </c>
      <c r="H151" s="19" t="s">
        <v>207</v>
      </c>
      <c r="I151" s="23">
        <f ca="1">(TODAY()-Staffs[[#This Row],[Date Joined]])/365</f>
        <v>2.9863013698630136</v>
      </c>
      <c r="J151" s="21">
        <f ca="1">ROUNDUP(IF(Staffs[[#This Row],[Tenure]]&gt;2,"3%","2%")*Staffs[[#This Row],[Salary]],0)</f>
        <v>2074</v>
      </c>
      <c r="K151" s="19">
        <f>_xlfn.XLOOKUP(Staffs[[#This Row],[Rating]],$N$28:$N$32,$O$28:$O$32)</f>
        <v>3</v>
      </c>
    </row>
    <row r="152" spans="1:11" x14ac:dyDescent="0.3">
      <c r="A152" s="19" t="s">
        <v>55</v>
      </c>
      <c r="B152" s="19" t="s">
        <v>8</v>
      </c>
      <c r="C152" s="19">
        <v>37</v>
      </c>
      <c r="D152" s="19" t="s">
        <v>16</v>
      </c>
      <c r="E152" s="22">
        <v>44451</v>
      </c>
      <c r="F152" s="19" t="s">
        <v>56</v>
      </c>
      <c r="G152" s="21">
        <v>118100</v>
      </c>
      <c r="H152" s="19" t="s">
        <v>207</v>
      </c>
      <c r="I152" s="23">
        <f ca="1">(TODAY()-Staffs[[#This Row],[Date Joined]])/365</f>
        <v>2.4986301369863013</v>
      </c>
      <c r="J152" s="21">
        <f ca="1">ROUNDUP(IF(Staffs[[#This Row],[Tenure]]&gt;2,"3%","2%")*Staffs[[#This Row],[Salary]],0)</f>
        <v>3543</v>
      </c>
      <c r="K152" s="19">
        <f>_xlfn.XLOOKUP(Staffs[[#This Row],[Rating]],$N$28:$N$32,$O$28:$O$32)</f>
        <v>3</v>
      </c>
    </row>
    <row r="153" spans="1:11" x14ac:dyDescent="0.3">
      <c r="A153" s="19" t="s">
        <v>62</v>
      </c>
      <c r="B153" s="19" t="s">
        <v>8</v>
      </c>
      <c r="C153" s="19">
        <v>22</v>
      </c>
      <c r="D153" s="19" t="s">
        <v>13</v>
      </c>
      <c r="E153" s="22">
        <v>44450</v>
      </c>
      <c r="F153" s="19" t="s">
        <v>9</v>
      </c>
      <c r="G153" s="21">
        <v>76900</v>
      </c>
      <c r="H153" s="19" t="s">
        <v>207</v>
      </c>
      <c r="I153" s="23">
        <f ca="1">(TODAY()-Staffs[[#This Row],[Date Joined]])/365</f>
        <v>2.5013698630136987</v>
      </c>
      <c r="J153" s="21">
        <f ca="1">ROUNDUP(IF(Staffs[[#This Row],[Tenure]]&gt;2,"3%","2%")*Staffs[[#This Row],[Salary]],0)</f>
        <v>2307</v>
      </c>
      <c r="K153" s="19">
        <f>_xlfn.XLOOKUP(Staffs[[#This Row],[Rating]],$N$28:$N$32,$O$28:$O$32)</f>
        <v>4</v>
      </c>
    </row>
    <row r="154" spans="1:11" x14ac:dyDescent="0.3">
      <c r="A154" s="19" t="s">
        <v>17</v>
      </c>
      <c r="B154" s="19" t="s">
        <v>8</v>
      </c>
      <c r="C154" s="19">
        <v>43</v>
      </c>
      <c r="D154" s="19" t="s">
        <v>16</v>
      </c>
      <c r="E154" s="22">
        <v>45045</v>
      </c>
      <c r="F154" s="19" t="s">
        <v>12</v>
      </c>
      <c r="G154" s="21">
        <v>114870</v>
      </c>
      <c r="H154" s="19" t="s">
        <v>207</v>
      </c>
      <c r="I154" s="23">
        <f ca="1">(TODAY()-Staffs[[#This Row],[Date Joined]])/365</f>
        <v>0.87123287671232874</v>
      </c>
      <c r="J154" s="21">
        <f ca="1">ROUNDUP(IF(Staffs[[#This Row],[Tenure]]&gt;2,"3%","2%")*Staffs[[#This Row],[Salary]],0)</f>
        <v>2298</v>
      </c>
      <c r="K154" s="19">
        <f>_xlfn.XLOOKUP(Staffs[[#This Row],[Rating]],$N$28:$N$32,$O$28:$O$32)</f>
        <v>3</v>
      </c>
    </row>
    <row r="155" spans="1:11" x14ac:dyDescent="0.3">
      <c r="A155" s="19" t="s">
        <v>52</v>
      </c>
      <c r="B155" s="19" t="s">
        <v>206</v>
      </c>
      <c r="C155" s="19">
        <v>32</v>
      </c>
      <c r="D155" s="19" t="s">
        <v>16</v>
      </c>
      <c r="E155" s="22">
        <v>44774</v>
      </c>
      <c r="F155" s="19" t="s">
        <v>12</v>
      </c>
      <c r="G155" s="21">
        <v>91310</v>
      </c>
      <c r="H155" s="19" t="s">
        <v>207</v>
      </c>
      <c r="I155" s="23">
        <f ca="1">(TODAY()-Staffs[[#This Row],[Date Joined]])/365</f>
        <v>1.6136986301369862</v>
      </c>
      <c r="J155" s="21">
        <f ca="1">ROUNDUP(IF(Staffs[[#This Row],[Tenure]]&gt;2,"3%","2%")*Staffs[[#This Row],[Salary]],0)</f>
        <v>1827</v>
      </c>
      <c r="K155" s="19">
        <f>_xlfn.XLOOKUP(Staffs[[#This Row],[Rating]],$N$28:$N$32,$O$28:$O$32)</f>
        <v>3</v>
      </c>
    </row>
    <row r="156" spans="1:11" x14ac:dyDescent="0.3">
      <c r="A156" s="19" t="s">
        <v>43</v>
      </c>
      <c r="B156" s="19" t="s">
        <v>8</v>
      </c>
      <c r="C156" s="19">
        <v>28</v>
      </c>
      <c r="D156" s="19" t="s">
        <v>16</v>
      </c>
      <c r="E156" s="22">
        <v>44486</v>
      </c>
      <c r="F156" s="19" t="s">
        <v>9</v>
      </c>
      <c r="G156" s="21">
        <v>104770</v>
      </c>
      <c r="H156" s="19" t="s">
        <v>207</v>
      </c>
      <c r="I156" s="23">
        <f ca="1">(TODAY()-Staffs[[#This Row],[Date Joined]])/365</f>
        <v>2.4027397260273973</v>
      </c>
      <c r="J156" s="21">
        <f ca="1">ROUNDUP(IF(Staffs[[#This Row],[Tenure]]&gt;2,"3%","2%")*Staffs[[#This Row],[Salary]],0)</f>
        <v>3144</v>
      </c>
      <c r="K156" s="19">
        <f>_xlfn.XLOOKUP(Staffs[[#This Row],[Rating]],$N$28:$N$32,$O$28:$O$32)</f>
        <v>3</v>
      </c>
    </row>
    <row r="157" spans="1:11" x14ac:dyDescent="0.3">
      <c r="A157" s="19" t="s">
        <v>89</v>
      </c>
      <c r="B157" s="19" t="s">
        <v>15</v>
      </c>
      <c r="C157" s="19">
        <v>27</v>
      </c>
      <c r="D157" s="19" t="s">
        <v>16</v>
      </c>
      <c r="E157" s="22">
        <v>44134</v>
      </c>
      <c r="F157" s="19" t="s">
        <v>19</v>
      </c>
      <c r="G157" s="21">
        <v>54970</v>
      </c>
      <c r="H157" s="19" t="s">
        <v>207</v>
      </c>
      <c r="I157" s="23">
        <f ca="1">(TODAY()-Staffs[[#This Row],[Date Joined]])/365</f>
        <v>3.3671232876712329</v>
      </c>
      <c r="J157" s="21">
        <f ca="1">ROUNDUP(IF(Staffs[[#This Row],[Tenure]]&gt;2,"3%","2%")*Staffs[[#This Row],[Salary]],0)</f>
        <v>1650</v>
      </c>
      <c r="K157" s="19">
        <f>_xlfn.XLOOKUP(Staffs[[#This Row],[Rating]],$N$28:$N$32,$O$28:$O$32)</f>
        <v>3</v>
      </c>
    </row>
    <row r="158" spans="1:11" x14ac:dyDescent="0.3">
      <c r="A158" s="19" t="s">
        <v>11</v>
      </c>
      <c r="B158" s="19" t="s">
        <v>206</v>
      </c>
      <c r="C158" s="19">
        <v>26</v>
      </c>
      <c r="D158" s="19" t="s">
        <v>13</v>
      </c>
      <c r="E158" s="22">
        <v>44271</v>
      </c>
      <c r="F158" s="19" t="s">
        <v>12</v>
      </c>
      <c r="G158" s="21">
        <v>90700</v>
      </c>
      <c r="H158" s="19" t="s">
        <v>207</v>
      </c>
      <c r="I158" s="23">
        <f ca="1">(TODAY()-Staffs[[#This Row],[Date Joined]])/365</f>
        <v>2.9917808219178084</v>
      </c>
      <c r="J158" s="21">
        <f ca="1">ROUNDUP(IF(Staffs[[#This Row],[Tenure]]&gt;2,"3%","2%")*Staffs[[#This Row],[Salary]],0)</f>
        <v>2721</v>
      </c>
      <c r="K158" s="19">
        <f>_xlfn.XLOOKUP(Staffs[[#This Row],[Rating]],$N$28:$N$32,$O$28:$O$32)</f>
        <v>4</v>
      </c>
    </row>
    <row r="159" spans="1:11" x14ac:dyDescent="0.3">
      <c r="A159" s="19" t="s">
        <v>109</v>
      </c>
      <c r="B159" s="19" t="s">
        <v>8</v>
      </c>
      <c r="C159" s="19">
        <v>38</v>
      </c>
      <c r="D159" s="19" t="s">
        <v>13</v>
      </c>
      <c r="E159" s="22">
        <v>44329</v>
      </c>
      <c r="F159" s="19" t="s">
        <v>19</v>
      </c>
      <c r="G159" s="21">
        <v>56870</v>
      </c>
      <c r="H159" s="19" t="s">
        <v>207</v>
      </c>
      <c r="I159" s="23">
        <f ca="1">(TODAY()-Staffs[[#This Row],[Date Joined]])/365</f>
        <v>2.8328767123287673</v>
      </c>
      <c r="J159" s="21">
        <f ca="1">ROUNDUP(IF(Staffs[[#This Row],[Tenure]]&gt;2,"3%","2%")*Staffs[[#This Row],[Salary]],0)</f>
        <v>1707</v>
      </c>
      <c r="K159" s="19">
        <f>_xlfn.XLOOKUP(Staffs[[#This Row],[Rating]],$N$28:$N$32,$O$28:$O$32)</f>
        <v>4</v>
      </c>
    </row>
    <row r="160" spans="1:11" x14ac:dyDescent="0.3">
      <c r="A160" s="19" t="s">
        <v>77</v>
      </c>
      <c r="B160" s="19" t="s">
        <v>8</v>
      </c>
      <c r="C160" s="19">
        <v>25</v>
      </c>
      <c r="D160" s="19" t="s">
        <v>16</v>
      </c>
      <c r="E160" s="22">
        <v>44205</v>
      </c>
      <c r="F160" s="19" t="s">
        <v>19</v>
      </c>
      <c r="G160" s="21">
        <v>92700</v>
      </c>
      <c r="H160" s="19" t="s">
        <v>207</v>
      </c>
      <c r="I160" s="23">
        <f ca="1">(TODAY()-Staffs[[#This Row],[Date Joined]])/365</f>
        <v>3.1726027397260275</v>
      </c>
      <c r="J160" s="21">
        <f ca="1">ROUNDUP(IF(Staffs[[#This Row],[Tenure]]&gt;2,"3%","2%")*Staffs[[#This Row],[Salary]],0)</f>
        <v>2781</v>
      </c>
      <c r="K160" s="19">
        <f>_xlfn.XLOOKUP(Staffs[[#This Row],[Rating]],$N$28:$N$32,$O$28:$O$32)</f>
        <v>3</v>
      </c>
    </row>
    <row r="161" spans="1:11" x14ac:dyDescent="0.3">
      <c r="A161" s="19" t="s">
        <v>32</v>
      </c>
      <c r="B161" s="19" t="s">
        <v>8</v>
      </c>
      <c r="C161" s="19">
        <v>21</v>
      </c>
      <c r="D161" s="19" t="s">
        <v>16</v>
      </c>
      <c r="E161" s="22">
        <v>44317</v>
      </c>
      <c r="F161" s="19" t="s">
        <v>21</v>
      </c>
      <c r="G161" s="21">
        <v>65920</v>
      </c>
      <c r="H161" s="19" t="s">
        <v>207</v>
      </c>
      <c r="I161" s="23">
        <f ca="1">(TODAY()-Staffs[[#This Row],[Date Joined]])/365</f>
        <v>2.8657534246575342</v>
      </c>
      <c r="J161" s="21">
        <f ca="1">ROUNDUP(IF(Staffs[[#This Row],[Tenure]]&gt;2,"3%","2%")*Staffs[[#This Row],[Salary]],0)</f>
        <v>1978</v>
      </c>
      <c r="K161" s="19">
        <f>_xlfn.XLOOKUP(Staffs[[#This Row],[Rating]],$N$28:$N$32,$O$28:$O$32)</f>
        <v>3</v>
      </c>
    </row>
    <row r="162" spans="1:11" x14ac:dyDescent="0.3">
      <c r="A162" s="19" t="s">
        <v>59</v>
      </c>
      <c r="B162" s="19" t="s">
        <v>15</v>
      </c>
      <c r="C162" s="19">
        <v>26</v>
      </c>
      <c r="D162" s="19" t="s">
        <v>16</v>
      </c>
      <c r="E162" s="22">
        <v>44225</v>
      </c>
      <c r="F162" s="19" t="s">
        <v>9</v>
      </c>
      <c r="G162" s="21">
        <v>47360</v>
      </c>
      <c r="H162" s="19" t="s">
        <v>207</v>
      </c>
      <c r="I162" s="23">
        <f ca="1">(TODAY()-Staffs[[#This Row],[Date Joined]])/365</f>
        <v>3.117808219178082</v>
      </c>
      <c r="J162" s="21">
        <f ca="1">ROUNDUP(IF(Staffs[[#This Row],[Tenure]]&gt;2,"3%","2%")*Staffs[[#This Row],[Salary]],0)</f>
        <v>1421</v>
      </c>
      <c r="K162" s="19">
        <f>_xlfn.XLOOKUP(Staffs[[#This Row],[Rating]],$N$28:$N$32,$O$28:$O$32)</f>
        <v>3</v>
      </c>
    </row>
    <row r="163" spans="1:11" x14ac:dyDescent="0.3">
      <c r="A163" s="19" t="s">
        <v>37</v>
      </c>
      <c r="B163" s="19" t="s">
        <v>15</v>
      </c>
      <c r="C163" s="19">
        <v>30</v>
      </c>
      <c r="D163" s="19" t="s">
        <v>16</v>
      </c>
      <c r="E163" s="22">
        <v>44666</v>
      </c>
      <c r="F163" s="19" t="s">
        <v>9</v>
      </c>
      <c r="G163" s="21">
        <v>60570</v>
      </c>
      <c r="H163" s="19" t="s">
        <v>207</v>
      </c>
      <c r="I163" s="23">
        <f ca="1">(TODAY()-Staffs[[#This Row],[Date Joined]])/365</f>
        <v>1.9095890410958904</v>
      </c>
      <c r="J163" s="21">
        <f ca="1">ROUNDUP(IF(Staffs[[#This Row],[Tenure]]&gt;2,"3%","2%")*Staffs[[#This Row],[Salary]],0)</f>
        <v>1212</v>
      </c>
      <c r="K163" s="19">
        <f>_xlfn.XLOOKUP(Staffs[[#This Row],[Rating]],$N$28:$N$32,$O$28:$O$32)</f>
        <v>3</v>
      </c>
    </row>
    <row r="164" spans="1:11" x14ac:dyDescent="0.3">
      <c r="A164" s="19" t="s">
        <v>96</v>
      </c>
      <c r="B164" s="19" t="s">
        <v>8</v>
      </c>
      <c r="C164" s="19">
        <v>28</v>
      </c>
      <c r="D164" s="19" t="s">
        <v>16</v>
      </c>
      <c r="E164" s="22">
        <v>44649</v>
      </c>
      <c r="F164" s="19" t="s">
        <v>9</v>
      </c>
      <c r="G164" s="21">
        <v>104120</v>
      </c>
      <c r="H164" s="19" t="s">
        <v>207</v>
      </c>
      <c r="I164" s="23">
        <f ca="1">(TODAY()-Staffs[[#This Row],[Date Joined]])/365</f>
        <v>1.9561643835616438</v>
      </c>
      <c r="J164" s="21">
        <f ca="1">ROUNDUP(IF(Staffs[[#This Row],[Tenure]]&gt;2,"3%","2%")*Staffs[[#This Row],[Salary]],0)</f>
        <v>2083</v>
      </c>
      <c r="K164" s="19">
        <f>_xlfn.XLOOKUP(Staffs[[#This Row],[Rating]],$N$28:$N$32,$O$28:$O$32)</f>
        <v>3</v>
      </c>
    </row>
    <row r="165" spans="1:11" x14ac:dyDescent="0.3">
      <c r="A165" s="19" t="s">
        <v>23</v>
      </c>
      <c r="B165" s="19" t="s">
        <v>15</v>
      </c>
      <c r="C165" s="19">
        <v>37</v>
      </c>
      <c r="D165" s="19" t="s">
        <v>24</v>
      </c>
      <c r="E165" s="22">
        <v>44338</v>
      </c>
      <c r="F165" s="19" t="s">
        <v>12</v>
      </c>
      <c r="G165" s="21">
        <v>88050</v>
      </c>
      <c r="H165" s="19" t="s">
        <v>207</v>
      </c>
      <c r="I165" s="23">
        <f ca="1">(TODAY()-Staffs[[#This Row],[Date Joined]])/365</f>
        <v>2.8082191780821919</v>
      </c>
      <c r="J165" s="21">
        <f ca="1">ROUNDUP(IF(Staffs[[#This Row],[Tenure]]&gt;2,"3%","2%")*Staffs[[#This Row],[Salary]],0)</f>
        <v>2642</v>
      </c>
      <c r="K165" s="19">
        <f>_xlfn.XLOOKUP(Staffs[[#This Row],[Rating]],$N$28:$N$32,$O$28:$O$32)</f>
        <v>2</v>
      </c>
    </row>
    <row r="166" spans="1:11" x14ac:dyDescent="0.3">
      <c r="A166" s="19" t="s">
        <v>103</v>
      </c>
      <c r="B166" s="19" t="s">
        <v>15</v>
      </c>
      <c r="C166" s="19">
        <v>24</v>
      </c>
      <c r="D166" s="19" t="s">
        <v>16</v>
      </c>
      <c r="E166" s="22">
        <v>44686</v>
      </c>
      <c r="F166" s="19" t="s">
        <v>12</v>
      </c>
      <c r="G166" s="21">
        <v>100420</v>
      </c>
      <c r="H166" s="19" t="s">
        <v>207</v>
      </c>
      <c r="I166" s="23">
        <f ca="1">(TODAY()-Staffs[[#This Row],[Date Joined]])/365</f>
        <v>1.8547945205479452</v>
      </c>
      <c r="J166" s="21">
        <f ca="1">ROUNDUP(IF(Staffs[[#This Row],[Tenure]]&gt;2,"3%","2%")*Staffs[[#This Row],[Salary]],0)</f>
        <v>2009</v>
      </c>
      <c r="K166" s="19">
        <f>_xlfn.XLOOKUP(Staffs[[#This Row],[Rating]],$N$28:$N$32,$O$28:$O$32)</f>
        <v>3</v>
      </c>
    </row>
    <row r="167" spans="1:11" x14ac:dyDescent="0.3">
      <c r="A167" s="19" t="s">
        <v>54</v>
      </c>
      <c r="B167" s="19" t="s">
        <v>8</v>
      </c>
      <c r="C167" s="19">
        <v>30</v>
      </c>
      <c r="D167" s="19" t="s">
        <v>16</v>
      </c>
      <c r="E167" s="22">
        <v>44850</v>
      </c>
      <c r="F167" s="19" t="s">
        <v>9</v>
      </c>
      <c r="G167" s="21">
        <v>114180</v>
      </c>
      <c r="H167" s="19" t="s">
        <v>207</v>
      </c>
      <c r="I167" s="23">
        <f ca="1">(TODAY()-Staffs[[#This Row],[Date Joined]])/365</f>
        <v>1.4054794520547946</v>
      </c>
      <c r="J167" s="21">
        <f ca="1">ROUNDUP(IF(Staffs[[#This Row],[Tenure]]&gt;2,"3%","2%")*Staffs[[#This Row],[Salary]],0)</f>
        <v>2284</v>
      </c>
      <c r="K167" s="19">
        <f>_xlfn.XLOOKUP(Staffs[[#This Row],[Rating]],$N$28:$N$32,$O$28:$O$32)</f>
        <v>3</v>
      </c>
    </row>
    <row r="168" spans="1:11" x14ac:dyDescent="0.3">
      <c r="A168" s="19" t="s">
        <v>86</v>
      </c>
      <c r="B168" s="19" t="s">
        <v>8</v>
      </c>
      <c r="C168" s="19">
        <v>21</v>
      </c>
      <c r="D168" s="19" t="s">
        <v>16</v>
      </c>
      <c r="E168" s="22">
        <v>44678</v>
      </c>
      <c r="F168" s="19" t="s">
        <v>12</v>
      </c>
      <c r="G168" s="21">
        <v>33920</v>
      </c>
      <c r="H168" s="19" t="s">
        <v>207</v>
      </c>
      <c r="I168" s="23">
        <f ca="1">(TODAY()-Staffs[[#This Row],[Date Joined]])/365</f>
        <v>1.8767123287671232</v>
      </c>
      <c r="J168" s="21">
        <f ca="1">ROUNDUP(IF(Staffs[[#This Row],[Tenure]]&gt;2,"3%","2%")*Staffs[[#This Row],[Salary]],0)</f>
        <v>679</v>
      </c>
      <c r="K168" s="19">
        <f>_xlfn.XLOOKUP(Staffs[[#This Row],[Rating]],$N$28:$N$32,$O$28:$O$32)</f>
        <v>3</v>
      </c>
    </row>
    <row r="169" spans="1:11" x14ac:dyDescent="0.3">
      <c r="A169" s="19" t="s">
        <v>69</v>
      </c>
      <c r="B169" s="19" t="s">
        <v>15</v>
      </c>
      <c r="C169" s="19">
        <v>23</v>
      </c>
      <c r="D169" s="19" t="s">
        <v>16</v>
      </c>
      <c r="E169" s="22">
        <v>44440</v>
      </c>
      <c r="F169" s="19" t="s">
        <v>9</v>
      </c>
      <c r="G169" s="21">
        <v>106460</v>
      </c>
      <c r="H169" s="19" t="s">
        <v>207</v>
      </c>
      <c r="I169" s="23">
        <f ca="1">(TODAY()-Staffs[[#This Row],[Date Joined]])/365</f>
        <v>2.5287671232876714</v>
      </c>
      <c r="J169" s="21">
        <f ca="1">ROUNDUP(IF(Staffs[[#This Row],[Tenure]]&gt;2,"3%","2%")*Staffs[[#This Row],[Salary]],0)</f>
        <v>3194</v>
      </c>
      <c r="K169" s="19">
        <f>_xlfn.XLOOKUP(Staffs[[#This Row],[Rating]],$N$28:$N$32,$O$28:$O$32)</f>
        <v>3</v>
      </c>
    </row>
    <row r="170" spans="1:11" x14ac:dyDescent="0.3">
      <c r="A170" s="19" t="s">
        <v>57</v>
      </c>
      <c r="B170" s="19" t="s">
        <v>15</v>
      </c>
      <c r="C170" s="19">
        <v>35</v>
      </c>
      <c r="D170" s="19" t="s">
        <v>16</v>
      </c>
      <c r="E170" s="22">
        <v>44727</v>
      </c>
      <c r="F170" s="19" t="s">
        <v>9</v>
      </c>
      <c r="G170" s="21">
        <v>40400</v>
      </c>
      <c r="H170" s="19" t="s">
        <v>207</v>
      </c>
      <c r="I170" s="23">
        <f ca="1">(TODAY()-Staffs[[#This Row],[Date Joined]])/365</f>
        <v>1.7424657534246575</v>
      </c>
      <c r="J170" s="21">
        <f ca="1">ROUNDUP(IF(Staffs[[#This Row],[Tenure]]&gt;2,"3%","2%")*Staffs[[#This Row],[Salary]],0)</f>
        <v>808</v>
      </c>
      <c r="K170" s="19">
        <f>_xlfn.XLOOKUP(Staffs[[#This Row],[Rating]],$N$28:$N$32,$O$28:$O$32)</f>
        <v>3</v>
      </c>
    </row>
    <row r="171" spans="1:11" x14ac:dyDescent="0.3">
      <c r="A171" s="19" t="s">
        <v>68</v>
      </c>
      <c r="B171" s="19" t="s">
        <v>15</v>
      </c>
      <c r="C171" s="19">
        <v>27</v>
      </c>
      <c r="D171" s="19" t="s">
        <v>13</v>
      </c>
      <c r="E171" s="22">
        <v>44236</v>
      </c>
      <c r="F171" s="19" t="s">
        <v>21</v>
      </c>
      <c r="G171" s="21">
        <v>91650</v>
      </c>
      <c r="H171" s="19" t="s">
        <v>207</v>
      </c>
      <c r="I171" s="23">
        <f ca="1">(TODAY()-Staffs[[#This Row],[Date Joined]])/365</f>
        <v>3.0876712328767124</v>
      </c>
      <c r="J171" s="21">
        <f ca="1">ROUNDUP(IF(Staffs[[#This Row],[Tenure]]&gt;2,"3%","2%")*Staffs[[#This Row],[Salary]],0)</f>
        <v>2750</v>
      </c>
      <c r="K171" s="19">
        <f>_xlfn.XLOOKUP(Staffs[[#This Row],[Rating]],$N$28:$N$32,$O$28:$O$32)</f>
        <v>4</v>
      </c>
    </row>
    <row r="172" spans="1:11" x14ac:dyDescent="0.3">
      <c r="A172" s="19" t="s">
        <v>99</v>
      </c>
      <c r="B172" s="19" t="s">
        <v>15</v>
      </c>
      <c r="C172" s="19">
        <v>43</v>
      </c>
      <c r="D172" s="19" t="s">
        <v>16</v>
      </c>
      <c r="E172" s="22">
        <v>44620</v>
      </c>
      <c r="F172" s="19" t="s">
        <v>19</v>
      </c>
      <c r="G172" s="21">
        <v>36040</v>
      </c>
      <c r="H172" s="19" t="s">
        <v>207</v>
      </c>
      <c r="I172" s="23">
        <f ca="1">(TODAY()-Staffs[[#This Row],[Date Joined]])/365</f>
        <v>2.0356164383561643</v>
      </c>
      <c r="J172" s="21">
        <f ca="1">ROUNDUP(IF(Staffs[[#This Row],[Tenure]]&gt;2,"3%","2%")*Staffs[[#This Row],[Salary]],0)</f>
        <v>1082</v>
      </c>
      <c r="K172" s="19">
        <f>_xlfn.XLOOKUP(Staffs[[#This Row],[Rating]],$N$28:$N$32,$O$28:$O$32)</f>
        <v>3</v>
      </c>
    </row>
    <row r="173" spans="1:11" x14ac:dyDescent="0.3">
      <c r="A173" s="19" t="s">
        <v>101</v>
      </c>
      <c r="B173" s="19" t="s">
        <v>8</v>
      </c>
      <c r="C173" s="19">
        <v>40</v>
      </c>
      <c r="D173" s="19" t="s">
        <v>16</v>
      </c>
      <c r="E173" s="22">
        <v>44381</v>
      </c>
      <c r="F173" s="19" t="s">
        <v>12</v>
      </c>
      <c r="G173" s="21">
        <v>104410</v>
      </c>
      <c r="H173" s="19" t="s">
        <v>207</v>
      </c>
      <c r="I173" s="23">
        <f ca="1">(TODAY()-Staffs[[#This Row],[Date Joined]])/365</f>
        <v>2.6904109589041094</v>
      </c>
      <c r="J173" s="21">
        <f ca="1">ROUNDUP(IF(Staffs[[#This Row],[Tenure]]&gt;2,"3%","2%")*Staffs[[#This Row],[Salary]],0)</f>
        <v>3133</v>
      </c>
      <c r="K173" s="19">
        <f>_xlfn.XLOOKUP(Staffs[[#This Row],[Rating]],$N$28:$N$32,$O$28:$O$32)</f>
        <v>3</v>
      </c>
    </row>
    <row r="174" spans="1:11" x14ac:dyDescent="0.3">
      <c r="A174" s="19" t="s">
        <v>85</v>
      </c>
      <c r="B174" s="19" t="s">
        <v>15</v>
      </c>
      <c r="C174" s="19">
        <v>30</v>
      </c>
      <c r="D174" s="19" t="s">
        <v>16</v>
      </c>
      <c r="E174" s="22">
        <v>44606</v>
      </c>
      <c r="F174" s="19" t="s">
        <v>21</v>
      </c>
      <c r="G174" s="21">
        <v>96800</v>
      </c>
      <c r="H174" s="19" t="s">
        <v>207</v>
      </c>
      <c r="I174" s="23">
        <f ca="1">(TODAY()-Staffs[[#This Row],[Date Joined]])/365</f>
        <v>2.0739726027397261</v>
      </c>
      <c r="J174" s="21">
        <f ca="1">ROUNDUP(IF(Staffs[[#This Row],[Tenure]]&gt;2,"3%","2%")*Staffs[[#This Row],[Salary]],0)</f>
        <v>2904</v>
      </c>
      <c r="K174" s="19">
        <f>_xlfn.XLOOKUP(Staffs[[#This Row],[Rating]],$N$28:$N$32,$O$28:$O$32)</f>
        <v>3</v>
      </c>
    </row>
    <row r="175" spans="1:11" x14ac:dyDescent="0.3">
      <c r="A175" s="19" t="s">
        <v>28</v>
      </c>
      <c r="B175" s="19" t="s">
        <v>8</v>
      </c>
      <c r="C175" s="19">
        <v>34</v>
      </c>
      <c r="D175" s="19" t="s">
        <v>16</v>
      </c>
      <c r="E175" s="22">
        <v>44459</v>
      </c>
      <c r="F175" s="19" t="s">
        <v>21</v>
      </c>
      <c r="G175" s="21">
        <v>85000</v>
      </c>
      <c r="H175" s="19" t="s">
        <v>207</v>
      </c>
      <c r="I175" s="23">
        <f ca="1">(TODAY()-Staffs[[#This Row],[Date Joined]])/365</f>
        <v>2.4767123287671233</v>
      </c>
      <c r="J175" s="21">
        <f ca="1">ROUNDUP(IF(Staffs[[#This Row],[Tenure]]&gt;2,"3%","2%")*Staffs[[#This Row],[Salary]],0)</f>
        <v>2550</v>
      </c>
      <c r="K175" s="19">
        <f>_xlfn.XLOOKUP(Staffs[[#This Row],[Rating]],$N$28:$N$32,$O$28:$O$32)</f>
        <v>3</v>
      </c>
    </row>
    <row r="176" spans="1:11" x14ac:dyDescent="0.3">
      <c r="A176" s="19" t="s">
        <v>80</v>
      </c>
      <c r="B176" s="19" t="s">
        <v>15</v>
      </c>
      <c r="C176" s="19">
        <v>28</v>
      </c>
      <c r="D176" s="19" t="s">
        <v>42</v>
      </c>
      <c r="E176" s="22">
        <v>44820</v>
      </c>
      <c r="F176" s="19" t="s">
        <v>19</v>
      </c>
      <c r="G176" s="21">
        <v>43510</v>
      </c>
      <c r="H176" s="19" t="s">
        <v>207</v>
      </c>
      <c r="I176" s="23">
        <f ca="1">(TODAY()-Staffs[[#This Row],[Date Joined]])/365</f>
        <v>1.4876712328767123</v>
      </c>
      <c r="J176" s="21">
        <f ca="1">ROUNDUP(IF(Staffs[[#This Row],[Tenure]]&gt;2,"3%","2%")*Staffs[[#This Row],[Salary]],0)</f>
        <v>871</v>
      </c>
      <c r="K176" s="19">
        <f>_xlfn.XLOOKUP(Staffs[[#This Row],[Rating]],$N$28:$N$32,$O$28:$O$32)</f>
        <v>1</v>
      </c>
    </row>
    <row r="177" spans="1:11" x14ac:dyDescent="0.3">
      <c r="A177" s="19" t="s">
        <v>79</v>
      </c>
      <c r="B177" s="19" t="s">
        <v>15</v>
      </c>
      <c r="C177" s="19">
        <v>33</v>
      </c>
      <c r="D177" s="19" t="s">
        <v>16</v>
      </c>
      <c r="E177" s="22">
        <v>44243</v>
      </c>
      <c r="F177" s="19" t="s">
        <v>21</v>
      </c>
      <c r="G177" s="21">
        <v>59430</v>
      </c>
      <c r="H177" s="19" t="s">
        <v>207</v>
      </c>
      <c r="I177" s="23">
        <f ca="1">(TODAY()-Staffs[[#This Row],[Date Joined]])/365</f>
        <v>3.0684931506849313</v>
      </c>
      <c r="J177" s="21">
        <f ca="1">ROUNDUP(IF(Staffs[[#This Row],[Tenure]]&gt;2,"3%","2%")*Staffs[[#This Row],[Salary]],0)</f>
        <v>1783</v>
      </c>
      <c r="K177" s="19">
        <f>_xlfn.XLOOKUP(Staffs[[#This Row],[Rating]],$N$28:$N$32,$O$28:$O$32)</f>
        <v>3</v>
      </c>
    </row>
    <row r="178" spans="1:11" x14ac:dyDescent="0.3">
      <c r="A178" s="19" t="s">
        <v>93</v>
      </c>
      <c r="B178" s="19" t="s">
        <v>8</v>
      </c>
      <c r="C178" s="19">
        <v>33</v>
      </c>
      <c r="D178" s="19" t="s">
        <v>16</v>
      </c>
      <c r="E178" s="22">
        <v>44067</v>
      </c>
      <c r="F178" s="19" t="s">
        <v>21</v>
      </c>
      <c r="G178" s="21">
        <v>65360</v>
      </c>
      <c r="H178" s="19" t="s">
        <v>207</v>
      </c>
      <c r="I178" s="23">
        <f ca="1">(TODAY()-Staffs[[#This Row],[Date Joined]])/365</f>
        <v>3.5506849315068494</v>
      </c>
      <c r="J178" s="21">
        <f ca="1">ROUNDUP(IF(Staffs[[#This Row],[Tenure]]&gt;2,"3%","2%")*Staffs[[#This Row],[Salary]],0)</f>
        <v>1961</v>
      </c>
      <c r="K178" s="19">
        <f>_xlfn.XLOOKUP(Staffs[[#This Row],[Rating]],$N$28:$N$32,$O$28:$O$32)</f>
        <v>3</v>
      </c>
    </row>
    <row r="179" spans="1:11" x14ac:dyDescent="0.3">
      <c r="A179" s="19" t="s">
        <v>66</v>
      </c>
      <c r="B179" s="19" t="s">
        <v>8</v>
      </c>
      <c r="C179" s="19">
        <v>32</v>
      </c>
      <c r="D179" s="19" t="s">
        <v>16</v>
      </c>
      <c r="E179" s="22">
        <v>44611</v>
      </c>
      <c r="F179" s="19" t="s">
        <v>9</v>
      </c>
      <c r="G179" s="21">
        <v>41570</v>
      </c>
      <c r="H179" s="19" t="s">
        <v>207</v>
      </c>
      <c r="I179" s="23">
        <f ca="1">(TODAY()-Staffs[[#This Row],[Date Joined]])/365</f>
        <v>2.0602739726027397</v>
      </c>
      <c r="J179" s="21">
        <f ca="1">ROUNDUP(IF(Staffs[[#This Row],[Tenure]]&gt;2,"3%","2%")*Staffs[[#This Row],[Salary]],0)</f>
        <v>1248</v>
      </c>
      <c r="K179" s="19">
        <f>_xlfn.XLOOKUP(Staffs[[#This Row],[Rating]],$N$28:$N$32,$O$28:$O$32)</f>
        <v>3</v>
      </c>
    </row>
    <row r="180" spans="1:11" x14ac:dyDescent="0.3">
      <c r="A180" s="19" t="s">
        <v>95</v>
      </c>
      <c r="B180" s="19" t="s">
        <v>8</v>
      </c>
      <c r="C180" s="19">
        <v>33</v>
      </c>
      <c r="D180" s="19" t="s">
        <v>16</v>
      </c>
      <c r="E180" s="22">
        <v>44312</v>
      </c>
      <c r="F180" s="19" t="s">
        <v>12</v>
      </c>
      <c r="G180" s="21">
        <v>75280</v>
      </c>
      <c r="H180" s="19" t="s">
        <v>207</v>
      </c>
      <c r="I180" s="23">
        <f ca="1">(TODAY()-Staffs[[#This Row],[Date Joined]])/365</f>
        <v>2.8794520547945206</v>
      </c>
      <c r="J180" s="21">
        <f ca="1">ROUNDUP(IF(Staffs[[#This Row],[Tenure]]&gt;2,"3%","2%")*Staffs[[#This Row],[Salary]],0)</f>
        <v>2259</v>
      </c>
      <c r="K180" s="19">
        <f>_xlfn.XLOOKUP(Staffs[[#This Row],[Rating]],$N$28:$N$32,$O$28:$O$32)</f>
        <v>3</v>
      </c>
    </row>
    <row r="181" spans="1:11" x14ac:dyDescent="0.3">
      <c r="A181" s="19" t="s">
        <v>18</v>
      </c>
      <c r="B181" s="19" t="s">
        <v>15</v>
      </c>
      <c r="C181" s="19">
        <v>33</v>
      </c>
      <c r="D181" s="19" t="s">
        <v>16</v>
      </c>
      <c r="E181" s="22">
        <v>44385</v>
      </c>
      <c r="F181" s="19" t="s">
        <v>19</v>
      </c>
      <c r="G181" s="21">
        <v>74550</v>
      </c>
      <c r="H181" s="19" t="s">
        <v>207</v>
      </c>
      <c r="I181" s="23">
        <f ca="1">(TODAY()-Staffs[[#This Row],[Date Joined]])/365</f>
        <v>2.6794520547945204</v>
      </c>
      <c r="J181" s="21">
        <f ca="1">ROUNDUP(IF(Staffs[[#This Row],[Tenure]]&gt;2,"3%","2%")*Staffs[[#This Row],[Salary]],0)</f>
        <v>2237</v>
      </c>
      <c r="K181" s="19">
        <f>_xlfn.XLOOKUP(Staffs[[#This Row],[Rating]],$N$28:$N$32,$O$28:$O$32)</f>
        <v>3</v>
      </c>
    </row>
    <row r="182" spans="1:11" x14ac:dyDescent="0.3">
      <c r="A182" s="19" t="s">
        <v>45</v>
      </c>
      <c r="B182" s="19" t="s">
        <v>15</v>
      </c>
      <c r="C182" s="19">
        <v>30</v>
      </c>
      <c r="D182" s="19" t="s">
        <v>16</v>
      </c>
      <c r="E182" s="22">
        <v>44701</v>
      </c>
      <c r="F182" s="19" t="s">
        <v>9</v>
      </c>
      <c r="G182" s="21">
        <v>67950</v>
      </c>
      <c r="H182" s="19" t="s">
        <v>207</v>
      </c>
      <c r="I182" s="23">
        <f ca="1">(TODAY()-Staffs[[#This Row],[Date Joined]])/365</f>
        <v>1.8136986301369864</v>
      </c>
      <c r="J182" s="21">
        <f ca="1">ROUNDUP(IF(Staffs[[#This Row],[Tenure]]&gt;2,"3%","2%")*Staffs[[#This Row],[Salary]],0)</f>
        <v>1359</v>
      </c>
      <c r="K182" s="19">
        <f>_xlfn.XLOOKUP(Staffs[[#This Row],[Rating]],$N$28:$N$32,$O$28:$O$32)</f>
        <v>3</v>
      </c>
    </row>
    <row r="183" spans="1:11" x14ac:dyDescent="0.3">
      <c r="A183" s="19" t="s">
        <v>90</v>
      </c>
      <c r="B183" s="19" t="s">
        <v>15</v>
      </c>
      <c r="C183" s="19">
        <v>42</v>
      </c>
      <c r="D183" s="19" t="s">
        <v>24</v>
      </c>
      <c r="E183" s="22">
        <v>44731</v>
      </c>
      <c r="F183" s="19" t="s">
        <v>21</v>
      </c>
      <c r="G183" s="21">
        <v>70270</v>
      </c>
      <c r="H183" s="19" t="s">
        <v>207</v>
      </c>
      <c r="I183" s="23">
        <f ca="1">(TODAY()-Staffs[[#This Row],[Date Joined]])/365</f>
        <v>1.7315068493150685</v>
      </c>
      <c r="J183" s="21">
        <f ca="1">ROUNDUP(IF(Staffs[[#This Row],[Tenure]]&gt;2,"3%","2%")*Staffs[[#This Row],[Salary]],0)</f>
        <v>1406</v>
      </c>
      <c r="K183" s="19">
        <f>_xlfn.XLOOKUP(Staffs[[#This Row],[Rating]],$N$28:$N$32,$O$28:$O$32)</f>
        <v>2</v>
      </c>
    </row>
    <row r="184" spans="1:11" x14ac:dyDescent="0.3">
      <c r="A184" s="19" t="s">
        <v>46</v>
      </c>
      <c r="B184" s="19" t="s">
        <v>15</v>
      </c>
      <c r="C184" s="19">
        <v>26</v>
      </c>
      <c r="D184" s="19" t="s">
        <v>16</v>
      </c>
      <c r="E184" s="22">
        <v>44411</v>
      </c>
      <c r="F184" s="19" t="s">
        <v>9</v>
      </c>
      <c r="G184" s="21">
        <v>53540</v>
      </c>
      <c r="H184" s="19" t="s">
        <v>207</v>
      </c>
      <c r="I184" s="23">
        <f ca="1">(TODAY()-Staffs[[#This Row],[Date Joined]])/365</f>
        <v>2.6082191780821917</v>
      </c>
      <c r="J184" s="21">
        <f ca="1">ROUNDUP(IF(Staffs[[#This Row],[Tenure]]&gt;2,"3%","2%")*Staffs[[#This Row],[Salary]],0)</f>
        <v>1607</v>
      </c>
      <c r="K184" s="19">
        <f>_xlfn.XLOOKUP(Staffs[[#This Row],[Rating]],$N$28:$N$32,$O$28:$O$32)</f>
        <v>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D730A-0C5B-408C-BE39-B0B046A76093}">
  <sheetPr>
    <tabColor theme="8" tint="-0.249977111117893"/>
  </sheetPr>
  <dimension ref="A3:C8"/>
  <sheetViews>
    <sheetView topLeftCell="A3" workbookViewId="0">
      <selection activeCell="E38" sqref="E38"/>
    </sheetView>
  </sheetViews>
  <sheetFormatPr defaultRowHeight="14.4" x14ac:dyDescent="0.3"/>
  <cols>
    <col min="1" max="1" width="16" bestFit="1" customWidth="1"/>
    <col min="2" max="2" width="15.5546875" bestFit="1" customWidth="1"/>
    <col min="3" max="3" width="7.44140625" bestFit="1" customWidth="1"/>
    <col min="4" max="4" width="10.77734375" bestFit="1" customWidth="1"/>
    <col min="5" max="8" width="16.5546875" bestFit="1" customWidth="1"/>
    <col min="9" max="10" width="18.6640625" bestFit="1" customWidth="1"/>
    <col min="11" max="11" width="20.5546875" bestFit="1" customWidth="1"/>
    <col min="12" max="12" width="21.44140625" bestFit="1" customWidth="1"/>
  </cols>
  <sheetData>
    <row r="3" spans="1:3" x14ac:dyDescent="0.3">
      <c r="B3" s="18" t="s">
        <v>219</v>
      </c>
    </row>
    <row r="4" spans="1:3" x14ac:dyDescent="0.3">
      <c r="A4" s="18" t="s">
        <v>225</v>
      </c>
      <c r="B4" t="s">
        <v>8</v>
      </c>
      <c r="C4" t="s">
        <v>15</v>
      </c>
    </row>
    <row r="5" spans="1:3" x14ac:dyDescent="0.3">
      <c r="A5" s="19" t="s">
        <v>221</v>
      </c>
      <c r="B5">
        <v>86</v>
      </c>
      <c r="C5">
        <v>89</v>
      </c>
    </row>
    <row r="6" spans="1:3" x14ac:dyDescent="0.3">
      <c r="A6" s="19" t="s">
        <v>222</v>
      </c>
      <c r="B6" s="7">
        <v>31.406976744186046</v>
      </c>
      <c r="C6" s="7">
        <v>29.393258426966291</v>
      </c>
    </row>
    <row r="7" spans="1:3" x14ac:dyDescent="0.3">
      <c r="A7" s="19" t="s">
        <v>223</v>
      </c>
      <c r="B7" s="5">
        <v>78284.186046511633</v>
      </c>
      <c r="C7" s="5">
        <v>74915.168539325838</v>
      </c>
    </row>
    <row r="8" spans="1:3" x14ac:dyDescent="0.3">
      <c r="A8" s="19" t="s">
        <v>224</v>
      </c>
      <c r="B8" s="20">
        <v>2.547690347244346</v>
      </c>
      <c r="C8" s="20">
        <v>2.5385870401723869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4274D-2C95-4A3A-884A-A9A16B43C47A}">
  <sheetPr>
    <tabColor theme="9" tint="0.39997558519241921"/>
  </sheetPr>
  <dimension ref="A1"/>
  <sheetViews>
    <sheetView workbookViewId="0">
      <selection activeCell="N12" sqref="N12"/>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28752-C7A2-44AB-9B47-8E13EDFC0CA9}">
  <sheetPr>
    <tabColor theme="9" tint="-0.499984740745262"/>
  </sheetPr>
  <dimension ref="A1:B7"/>
  <sheetViews>
    <sheetView workbookViewId="0">
      <selection activeCell="P19" sqref="P19"/>
    </sheetView>
  </sheetViews>
  <sheetFormatPr defaultRowHeight="14.4" x14ac:dyDescent="0.3"/>
  <cols>
    <col min="1" max="1" width="13.109375" bestFit="1" customWidth="1"/>
    <col min="2" max="2" width="15.77734375" bestFit="1" customWidth="1"/>
  </cols>
  <sheetData>
    <row r="1" spans="1:2" x14ac:dyDescent="0.3">
      <c r="A1" s="18" t="s">
        <v>227</v>
      </c>
      <c r="B1" t="s">
        <v>223</v>
      </c>
    </row>
    <row r="2" spans="1:2" x14ac:dyDescent="0.3">
      <c r="A2" s="19" t="s">
        <v>13</v>
      </c>
      <c r="B2" s="5">
        <v>75933</v>
      </c>
    </row>
    <row r="3" spans="1:2" x14ac:dyDescent="0.3">
      <c r="A3" s="19" t="s">
        <v>16</v>
      </c>
      <c r="B3" s="5">
        <v>76798.759124087592</v>
      </c>
    </row>
    <row r="4" spans="1:2" x14ac:dyDescent="0.3">
      <c r="A4" s="19" t="s">
        <v>10</v>
      </c>
      <c r="B4" s="5">
        <v>92080</v>
      </c>
    </row>
    <row r="5" spans="1:2" x14ac:dyDescent="0.3">
      <c r="A5" s="19" t="s">
        <v>24</v>
      </c>
      <c r="B5" s="5">
        <v>78115</v>
      </c>
    </row>
    <row r="6" spans="1:2" x14ac:dyDescent="0.3">
      <c r="A6" s="19" t="s">
        <v>42</v>
      </c>
      <c r="B6" s="5">
        <v>77423.333333333328</v>
      </c>
    </row>
    <row r="7" spans="1:2" x14ac:dyDescent="0.3">
      <c r="A7" s="19" t="s">
        <v>220</v>
      </c>
      <c r="B7" s="5">
        <v>77173.715846994543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D5B63-892B-4398-8ED3-6CBCBD726FC2}">
  <sheetPr>
    <tabColor theme="7" tint="0.39997558519241921"/>
  </sheetPr>
  <dimension ref="B4:X44"/>
  <sheetViews>
    <sheetView topLeftCell="B23" workbookViewId="0">
      <selection activeCell="X8" activeCellId="1" sqref="V8:V44 X8:X44"/>
    </sheetView>
  </sheetViews>
  <sheetFormatPr defaultRowHeight="14.4" x14ac:dyDescent="0.3"/>
  <cols>
    <col min="2" max="2" width="12.5546875" bestFit="1" customWidth="1"/>
    <col min="3" max="3" width="15" bestFit="1" customWidth="1"/>
    <col min="17" max="17" width="16.77734375" bestFit="1" customWidth="1"/>
    <col min="22" max="22" width="14.77734375" bestFit="1" customWidth="1"/>
    <col min="23" max="23" width="10.21875" bestFit="1" customWidth="1"/>
    <col min="24" max="24" width="12.6640625" bestFit="1" customWidth="1"/>
  </cols>
  <sheetData>
    <row r="4" spans="2:24" x14ac:dyDescent="0.3">
      <c r="B4" s="18" t="s">
        <v>227</v>
      </c>
      <c r="C4" t="s">
        <v>245</v>
      </c>
    </row>
    <row r="5" spans="2:24" x14ac:dyDescent="0.3">
      <c r="B5" s="19" t="s">
        <v>229</v>
      </c>
    </row>
    <row r="6" spans="2:24" x14ac:dyDescent="0.3">
      <c r="B6" s="25" t="s">
        <v>230</v>
      </c>
      <c r="C6">
        <v>3</v>
      </c>
    </row>
    <row r="7" spans="2:24" x14ac:dyDescent="0.3">
      <c r="B7" s="25" t="s">
        <v>231</v>
      </c>
      <c r="C7">
        <v>4</v>
      </c>
    </row>
    <row r="8" spans="2:24" x14ac:dyDescent="0.3">
      <c r="B8" s="25" t="s">
        <v>232</v>
      </c>
      <c r="C8">
        <v>9</v>
      </c>
      <c r="V8" s="27" t="s">
        <v>246</v>
      </c>
      <c r="W8" s="27" t="s">
        <v>248</v>
      </c>
      <c r="X8" s="27" t="s">
        <v>247</v>
      </c>
    </row>
    <row r="9" spans="2:24" x14ac:dyDescent="0.3">
      <c r="B9" s="25" t="s">
        <v>233</v>
      </c>
      <c r="C9">
        <v>12</v>
      </c>
      <c r="U9" cm="1">
        <f t="array" ref="U9:U44">_xlfn.SEQUENCE(36)</f>
        <v>1</v>
      </c>
      <c r="V9" s="26" cm="1">
        <f t="array" ref="V9:V44">EDATE(DATE(2020,4,1),_xlfn.ANCHORARRAY(U9)+0)</f>
        <v>43952</v>
      </c>
      <c r="W9">
        <f>COUNTIFS(Staffs[Date Joined],"&gt;="&amp;V9,Staffs[Date Joined],"&lt;="&amp;EOMONTH(V9,0))</f>
        <v>3</v>
      </c>
      <c r="X9">
        <f>SUM($W$9:W9)</f>
        <v>3</v>
      </c>
    </row>
    <row r="10" spans="2:24" x14ac:dyDescent="0.3">
      <c r="B10" s="25" t="s">
        <v>234</v>
      </c>
      <c r="C10">
        <v>18</v>
      </c>
      <c r="U10">
        <v>2</v>
      </c>
      <c r="V10" s="26">
        <v>43983</v>
      </c>
      <c r="W10">
        <f>COUNTIFS(Staffs[Date Joined],"&gt;="&amp;V10,Staffs[Date Joined],"&lt;="&amp;EOMONTH(V10,0))</f>
        <v>1</v>
      </c>
      <c r="X10">
        <f>SUM($W$9:W10)</f>
        <v>4</v>
      </c>
    </row>
    <row r="11" spans="2:24" x14ac:dyDescent="0.3">
      <c r="B11" s="25" t="s">
        <v>235</v>
      </c>
      <c r="C11">
        <v>24</v>
      </c>
      <c r="U11">
        <v>3</v>
      </c>
      <c r="V11" s="26">
        <v>44013</v>
      </c>
      <c r="W11">
        <f>COUNTIFS(Staffs[Date Joined],"&gt;="&amp;V11,Staffs[Date Joined],"&lt;="&amp;EOMONTH(V11,0))</f>
        <v>5</v>
      </c>
      <c r="X11">
        <f>SUM($W$9:W11)</f>
        <v>9</v>
      </c>
    </row>
    <row r="12" spans="2:24" x14ac:dyDescent="0.3">
      <c r="B12" s="25" t="s">
        <v>236</v>
      </c>
      <c r="C12">
        <v>30</v>
      </c>
      <c r="U12">
        <v>4</v>
      </c>
      <c r="V12" s="26">
        <v>44044</v>
      </c>
      <c r="W12">
        <f>COUNTIFS(Staffs[Date Joined],"&gt;="&amp;V12,Staffs[Date Joined],"&lt;="&amp;EOMONTH(V12,0))</f>
        <v>3</v>
      </c>
      <c r="X12">
        <f>SUM($W$9:W12)</f>
        <v>12</v>
      </c>
    </row>
    <row r="13" spans="2:24" x14ac:dyDescent="0.3">
      <c r="B13" s="25" t="s">
        <v>237</v>
      </c>
      <c r="C13">
        <v>37</v>
      </c>
      <c r="U13">
        <v>5</v>
      </c>
      <c r="V13" s="26">
        <v>44075</v>
      </c>
      <c r="W13">
        <f>COUNTIFS(Staffs[Date Joined],"&gt;="&amp;V13,Staffs[Date Joined],"&lt;="&amp;EOMONTH(V13,0))</f>
        <v>6</v>
      </c>
      <c r="X13">
        <f>SUM($W$9:W13)</f>
        <v>18</v>
      </c>
    </row>
    <row r="14" spans="2:24" x14ac:dyDescent="0.3">
      <c r="B14" s="19" t="s">
        <v>238</v>
      </c>
      <c r="U14">
        <v>6</v>
      </c>
      <c r="V14" s="26">
        <v>44105</v>
      </c>
      <c r="W14">
        <f>COUNTIFS(Staffs[Date Joined],"&gt;="&amp;V14,Staffs[Date Joined],"&lt;="&amp;EOMONTH(V14,0))</f>
        <v>6</v>
      </c>
      <c r="X14">
        <f>SUM($W$9:W14)</f>
        <v>24</v>
      </c>
    </row>
    <row r="15" spans="2:24" x14ac:dyDescent="0.3">
      <c r="B15" s="25" t="s">
        <v>239</v>
      </c>
      <c r="C15">
        <v>6</v>
      </c>
      <c r="U15">
        <v>7</v>
      </c>
      <c r="V15" s="26">
        <v>44136</v>
      </c>
      <c r="W15">
        <f>COUNTIFS(Staffs[Date Joined],"&gt;="&amp;V15,Staffs[Date Joined],"&lt;="&amp;EOMONTH(V15,0))</f>
        <v>6</v>
      </c>
      <c r="X15">
        <f>SUM($W$9:W15)</f>
        <v>30</v>
      </c>
    </row>
    <row r="16" spans="2:24" x14ac:dyDescent="0.3">
      <c r="B16" s="25" t="s">
        <v>240</v>
      </c>
      <c r="C16">
        <v>10</v>
      </c>
      <c r="U16">
        <v>8</v>
      </c>
      <c r="V16" s="26">
        <v>44166</v>
      </c>
      <c r="W16">
        <f>COUNTIFS(Staffs[Date Joined],"&gt;="&amp;V16,Staffs[Date Joined],"&lt;="&amp;EOMONTH(V16,0))</f>
        <v>7</v>
      </c>
      <c r="X16">
        <f>SUM($W$9:W16)</f>
        <v>37</v>
      </c>
    </row>
    <row r="17" spans="2:24" x14ac:dyDescent="0.3">
      <c r="B17" s="25" t="s">
        <v>241</v>
      </c>
      <c r="C17">
        <v>19</v>
      </c>
      <c r="U17">
        <v>9</v>
      </c>
      <c r="V17" s="26">
        <v>44197</v>
      </c>
      <c r="W17">
        <f>COUNTIFS(Staffs[Date Joined],"&gt;="&amp;V17,Staffs[Date Joined],"&lt;="&amp;EOMONTH(V17,0))</f>
        <v>6</v>
      </c>
      <c r="X17">
        <f>SUM($W$9:W17)</f>
        <v>43</v>
      </c>
    </row>
    <row r="18" spans="2:24" x14ac:dyDescent="0.3">
      <c r="B18" s="25" t="s">
        <v>242</v>
      </c>
      <c r="C18">
        <v>24</v>
      </c>
      <c r="U18">
        <v>10</v>
      </c>
      <c r="V18" s="26">
        <v>44228</v>
      </c>
      <c r="W18">
        <f>COUNTIFS(Staffs[Date Joined],"&gt;="&amp;V18,Staffs[Date Joined],"&lt;="&amp;EOMONTH(V18,0))</f>
        <v>4</v>
      </c>
      <c r="X18">
        <f>SUM($W$9:W18)</f>
        <v>47</v>
      </c>
    </row>
    <row r="19" spans="2:24" x14ac:dyDescent="0.3">
      <c r="B19" s="25" t="s">
        <v>230</v>
      </c>
      <c r="C19">
        <v>34</v>
      </c>
      <c r="U19">
        <v>11</v>
      </c>
      <c r="V19" s="26">
        <v>44256</v>
      </c>
      <c r="W19">
        <f>COUNTIFS(Staffs[Date Joined],"&gt;="&amp;V19,Staffs[Date Joined],"&lt;="&amp;EOMONTH(V19,0))</f>
        <v>9</v>
      </c>
      <c r="X19">
        <f>SUM($W$9:W19)</f>
        <v>56</v>
      </c>
    </row>
    <row r="20" spans="2:24" x14ac:dyDescent="0.3">
      <c r="B20" s="25" t="s">
        <v>231</v>
      </c>
      <c r="C20">
        <v>40</v>
      </c>
      <c r="U20">
        <v>12</v>
      </c>
      <c r="V20" s="26">
        <v>44287</v>
      </c>
      <c r="W20">
        <f>COUNTIFS(Staffs[Date Joined],"&gt;="&amp;V20,Staffs[Date Joined],"&lt;="&amp;EOMONTH(V20,0))</f>
        <v>5</v>
      </c>
      <c r="X20">
        <f>SUM($W$9:W20)</f>
        <v>61</v>
      </c>
    </row>
    <row r="21" spans="2:24" x14ac:dyDescent="0.3">
      <c r="B21" s="25" t="s">
        <v>232</v>
      </c>
      <c r="C21">
        <v>53</v>
      </c>
      <c r="U21">
        <v>13</v>
      </c>
      <c r="V21" s="26">
        <v>44317</v>
      </c>
      <c r="W21">
        <f>COUNTIFS(Staffs[Date Joined],"&gt;="&amp;V21,Staffs[Date Joined],"&lt;="&amp;EOMONTH(V21,0))</f>
        <v>10</v>
      </c>
      <c r="X21">
        <f>SUM($W$9:W21)</f>
        <v>71</v>
      </c>
    </row>
    <row r="22" spans="2:24" x14ac:dyDescent="0.3">
      <c r="B22" s="25" t="s">
        <v>233</v>
      </c>
      <c r="C22">
        <v>57</v>
      </c>
      <c r="U22">
        <v>14</v>
      </c>
      <c r="V22" s="26">
        <v>44348</v>
      </c>
      <c r="W22">
        <f>COUNTIFS(Staffs[Date Joined],"&gt;="&amp;V22,Staffs[Date Joined],"&lt;="&amp;EOMONTH(V22,0))</f>
        <v>6</v>
      </c>
      <c r="X22">
        <f>SUM($W$9:W22)</f>
        <v>77</v>
      </c>
    </row>
    <row r="23" spans="2:24" x14ac:dyDescent="0.3">
      <c r="B23" s="25" t="s">
        <v>234</v>
      </c>
      <c r="C23">
        <v>68</v>
      </c>
      <c r="U23">
        <v>15</v>
      </c>
      <c r="V23" s="26">
        <v>44378</v>
      </c>
      <c r="W23">
        <f>COUNTIFS(Staffs[Date Joined],"&gt;="&amp;V23,Staffs[Date Joined],"&lt;="&amp;EOMONTH(V23,0))</f>
        <v>13</v>
      </c>
      <c r="X23">
        <f>SUM($W$9:W23)</f>
        <v>90</v>
      </c>
    </row>
    <row r="24" spans="2:24" x14ac:dyDescent="0.3">
      <c r="B24" s="25" t="s">
        <v>235</v>
      </c>
      <c r="C24">
        <v>71</v>
      </c>
      <c r="U24">
        <v>16</v>
      </c>
      <c r="V24" s="26">
        <v>44409</v>
      </c>
      <c r="W24">
        <f>COUNTIFS(Staffs[Date Joined],"&gt;="&amp;V24,Staffs[Date Joined],"&lt;="&amp;EOMONTH(V24,0))</f>
        <v>4</v>
      </c>
      <c r="X24">
        <f>SUM($W$9:W24)</f>
        <v>94</v>
      </c>
    </row>
    <row r="25" spans="2:24" x14ac:dyDescent="0.3">
      <c r="B25" s="25" t="s">
        <v>236</v>
      </c>
      <c r="C25">
        <v>75</v>
      </c>
      <c r="U25">
        <v>17</v>
      </c>
      <c r="V25" s="26">
        <v>44440</v>
      </c>
      <c r="W25">
        <f>COUNTIFS(Staffs[Date Joined],"&gt;="&amp;V25,Staffs[Date Joined],"&lt;="&amp;EOMONTH(V25,0))</f>
        <v>11</v>
      </c>
      <c r="X25">
        <f>SUM($W$9:W25)</f>
        <v>105</v>
      </c>
    </row>
    <row r="26" spans="2:24" x14ac:dyDescent="0.3">
      <c r="B26" s="25" t="s">
        <v>237</v>
      </c>
      <c r="C26">
        <v>82</v>
      </c>
      <c r="U26">
        <v>18</v>
      </c>
      <c r="V26" s="26">
        <v>44470</v>
      </c>
      <c r="W26">
        <f>COUNTIFS(Staffs[Date Joined],"&gt;="&amp;V26,Staffs[Date Joined],"&lt;="&amp;EOMONTH(V26,0))</f>
        <v>3</v>
      </c>
      <c r="X26">
        <f>SUM($W$9:W26)</f>
        <v>108</v>
      </c>
    </row>
    <row r="27" spans="2:24" x14ac:dyDescent="0.3">
      <c r="B27" s="19" t="s">
        <v>243</v>
      </c>
      <c r="U27">
        <v>19</v>
      </c>
      <c r="V27" s="26">
        <v>44501</v>
      </c>
      <c r="W27">
        <f>COUNTIFS(Staffs[Date Joined],"&gt;="&amp;V27,Staffs[Date Joined],"&lt;="&amp;EOMONTH(V27,0))</f>
        <v>4</v>
      </c>
      <c r="X27">
        <f>SUM($W$9:W27)</f>
        <v>112</v>
      </c>
    </row>
    <row r="28" spans="2:24" x14ac:dyDescent="0.3">
      <c r="B28" s="25" t="s">
        <v>239</v>
      </c>
      <c r="C28">
        <v>3</v>
      </c>
      <c r="U28">
        <v>20</v>
      </c>
      <c r="V28" s="26">
        <v>44531</v>
      </c>
      <c r="W28">
        <f>COUNTIFS(Staffs[Date Joined],"&gt;="&amp;V28,Staffs[Date Joined],"&lt;="&amp;EOMONTH(V28,0))</f>
        <v>7</v>
      </c>
      <c r="X28">
        <f>SUM($W$9:W28)</f>
        <v>119</v>
      </c>
    </row>
    <row r="29" spans="2:24" x14ac:dyDescent="0.3">
      <c r="B29" s="25" t="s">
        <v>240</v>
      </c>
      <c r="C29">
        <v>13</v>
      </c>
      <c r="U29">
        <v>21</v>
      </c>
      <c r="V29" s="26">
        <v>44562</v>
      </c>
      <c r="W29">
        <f>COUNTIFS(Staffs[Date Joined],"&gt;="&amp;V29,Staffs[Date Joined],"&lt;="&amp;EOMONTH(V29,0))</f>
        <v>3</v>
      </c>
      <c r="X29">
        <f>SUM($W$9:W29)</f>
        <v>122</v>
      </c>
    </row>
    <row r="30" spans="2:24" x14ac:dyDescent="0.3">
      <c r="B30" s="25" t="s">
        <v>241</v>
      </c>
      <c r="C30">
        <v>22</v>
      </c>
      <c r="U30">
        <v>22</v>
      </c>
      <c r="V30" s="26">
        <v>44593</v>
      </c>
      <c r="W30">
        <f>COUNTIFS(Staffs[Date Joined],"&gt;="&amp;V30,Staffs[Date Joined],"&lt;="&amp;EOMONTH(V30,0))</f>
        <v>10</v>
      </c>
      <c r="X30">
        <f>SUM($W$9:W30)</f>
        <v>132</v>
      </c>
    </row>
    <row r="31" spans="2:24" x14ac:dyDescent="0.3">
      <c r="B31" s="25" t="s">
        <v>242</v>
      </c>
      <c r="C31">
        <v>31</v>
      </c>
      <c r="U31">
        <v>23</v>
      </c>
      <c r="V31" s="26">
        <v>44621</v>
      </c>
      <c r="W31">
        <f>COUNTIFS(Staffs[Date Joined],"&gt;="&amp;V31,Staffs[Date Joined],"&lt;="&amp;EOMONTH(V31,0))</f>
        <v>9</v>
      </c>
      <c r="X31">
        <f>SUM($W$9:W31)</f>
        <v>141</v>
      </c>
    </row>
    <row r="32" spans="2:24" x14ac:dyDescent="0.3">
      <c r="B32" s="25" t="s">
        <v>230</v>
      </c>
      <c r="C32">
        <v>40</v>
      </c>
      <c r="U32">
        <v>24</v>
      </c>
      <c r="V32" s="26">
        <v>44652</v>
      </c>
      <c r="W32">
        <f>COUNTIFS(Staffs[Date Joined],"&gt;="&amp;V32,Staffs[Date Joined],"&lt;="&amp;EOMONTH(V32,0))</f>
        <v>9</v>
      </c>
      <c r="X32">
        <f>SUM($W$9:W32)</f>
        <v>150</v>
      </c>
    </row>
    <row r="33" spans="2:24" x14ac:dyDescent="0.3">
      <c r="B33" s="25" t="s">
        <v>231</v>
      </c>
      <c r="C33">
        <v>47</v>
      </c>
      <c r="U33">
        <v>25</v>
      </c>
      <c r="V33" s="26">
        <v>44682</v>
      </c>
      <c r="W33">
        <f>COUNTIFS(Staffs[Date Joined],"&gt;="&amp;V33,Staffs[Date Joined],"&lt;="&amp;EOMONTH(V33,0))</f>
        <v>9</v>
      </c>
      <c r="X33">
        <f>SUM($W$9:W33)</f>
        <v>159</v>
      </c>
    </row>
    <row r="34" spans="2:24" x14ac:dyDescent="0.3">
      <c r="B34" s="25" t="s">
        <v>232</v>
      </c>
      <c r="C34">
        <v>52</v>
      </c>
      <c r="U34">
        <v>26</v>
      </c>
      <c r="V34" s="26">
        <v>44713</v>
      </c>
      <c r="W34">
        <f>COUNTIFS(Staffs[Date Joined],"&gt;="&amp;V34,Staffs[Date Joined],"&lt;="&amp;EOMONTH(V34,0))</f>
        <v>7</v>
      </c>
      <c r="X34">
        <f>SUM($W$9:W34)</f>
        <v>166</v>
      </c>
    </row>
    <row r="35" spans="2:24" x14ac:dyDescent="0.3">
      <c r="B35" s="25" t="s">
        <v>233</v>
      </c>
      <c r="C35">
        <v>57</v>
      </c>
      <c r="U35">
        <v>27</v>
      </c>
      <c r="V35" s="26">
        <v>44743</v>
      </c>
      <c r="W35">
        <f>COUNTIFS(Staffs[Date Joined],"&gt;="&amp;V35,Staffs[Date Joined],"&lt;="&amp;EOMONTH(V35,0))</f>
        <v>5</v>
      </c>
      <c r="X35">
        <f>SUM($W$9:W35)</f>
        <v>171</v>
      </c>
    </row>
    <row r="36" spans="2:24" x14ac:dyDescent="0.3">
      <c r="B36" s="25" t="s">
        <v>234</v>
      </c>
      <c r="C36">
        <v>59</v>
      </c>
      <c r="U36">
        <v>28</v>
      </c>
      <c r="V36" s="26">
        <v>44774</v>
      </c>
      <c r="W36">
        <f>COUNTIFS(Staffs[Date Joined],"&gt;="&amp;V36,Staffs[Date Joined],"&lt;="&amp;EOMONTH(V36,0))</f>
        <v>5</v>
      </c>
      <c r="X36">
        <f>SUM($W$9:W36)</f>
        <v>176</v>
      </c>
    </row>
    <row r="37" spans="2:24" x14ac:dyDescent="0.3">
      <c r="B37" s="25" t="s">
        <v>235</v>
      </c>
      <c r="C37">
        <v>62</v>
      </c>
      <c r="U37">
        <v>29</v>
      </c>
      <c r="V37" s="26">
        <v>44805</v>
      </c>
      <c r="W37">
        <f>COUNTIFS(Staffs[Date Joined],"&gt;="&amp;V37,Staffs[Date Joined],"&lt;="&amp;EOMONTH(V37,0))</f>
        <v>2</v>
      </c>
      <c r="X37">
        <f>SUM($W$9:W37)</f>
        <v>178</v>
      </c>
    </row>
    <row r="38" spans="2:24" x14ac:dyDescent="0.3">
      <c r="B38" s="19" t="s">
        <v>244</v>
      </c>
      <c r="U38">
        <v>30</v>
      </c>
      <c r="V38" s="26">
        <v>44835</v>
      </c>
      <c r="W38">
        <f>COUNTIFS(Staffs[Date Joined],"&gt;="&amp;V38,Staffs[Date Joined],"&lt;="&amp;EOMONTH(V38,0))</f>
        <v>3</v>
      </c>
      <c r="X38">
        <f>SUM($W$9:W38)</f>
        <v>181</v>
      </c>
    </row>
    <row r="39" spans="2:24" x14ac:dyDescent="0.3">
      <c r="B39" s="25" t="s">
        <v>240</v>
      </c>
      <c r="C39">
        <v>1</v>
      </c>
      <c r="U39">
        <v>31</v>
      </c>
      <c r="V39" s="26">
        <v>44866</v>
      </c>
      <c r="W39">
        <f>COUNTIFS(Staffs[Date Joined],"&gt;="&amp;V39,Staffs[Date Joined],"&lt;="&amp;EOMONTH(V39,0))</f>
        <v>0</v>
      </c>
      <c r="X39">
        <f>SUM($W$9:W39)</f>
        <v>181</v>
      </c>
    </row>
    <row r="40" spans="2:24" x14ac:dyDescent="0.3">
      <c r="B40" s="25" t="s">
        <v>242</v>
      </c>
      <c r="C40">
        <v>2</v>
      </c>
      <c r="U40">
        <v>32</v>
      </c>
      <c r="V40" s="26">
        <v>44896</v>
      </c>
      <c r="W40">
        <f>COUNTIFS(Staffs[Date Joined],"&gt;="&amp;V40,Staffs[Date Joined],"&lt;="&amp;EOMONTH(V40,0))</f>
        <v>0</v>
      </c>
      <c r="X40">
        <f>SUM($W$9:W40)</f>
        <v>181</v>
      </c>
    </row>
    <row r="41" spans="2:24" x14ac:dyDescent="0.3">
      <c r="B41" s="19" t="s">
        <v>220</v>
      </c>
      <c r="U41">
        <v>33</v>
      </c>
      <c r="V41" s="26">
        <v>44927</v>
      </c>
      <c r="W41">
        <f>COUNTIFS(Staffs[Date Joined],"&gt;="&amp;V41,Staffs[Date Joined],"&lt;="&amp;EOMONTH(V41,0))</f>
        <v>0</v>
      </c>
      <c r="X41">
        <f>SUM($W$9:W41)</f>
        <v>181</v>
      </c>
    </row>
    <row r="42" spans="2:24" x14ac:dyDescent="0.3">
      <c r="U42">
        <v>34</v>
      </c>
      <c r="V42" s="26">
        <v>44958</v>
      </c>
      <c r="W42">
        <f>COUNTIFS(Staffs[Date Joined],"&gt;="&amp;V42,Staffs[Date Joined],"&lt;="&amp;EOMONTH(V42,0))</f>
        <v>1</v>
      </c>
      <c r="X42">
        <f>SUM($W$9:W42)</f>
        <v>182</v>
      </c>
    </row>
    <row r="43" spans="2:24" x14ac:dyDescent="0.3">
      <c r="U43">
        <v>35</v>
      </c>
      <c r="V43" s="26">
        <v>44986</v>
      </c>
      <c r="W43">
        <f>COUNTIFS(Staffs[Date Joined],"&gt;="&amp;V43,Staffs[Date Joined],"&lt;="&amp;EOMONTH(V43,0))</f>
        <v>0</v>
      </c>
      <c r="X43">
        <f>SUM($W$9:W43)</f>
        <v>182</v>
      </c>
    </row>
    <row r="44" spans="2:24" x14ac:dyDescent="0.3">
      <c r="U44">
        <v>36</v>
      </c>
      <c r="V44" s="26">
        <v>45017</v>
      </c>
      <c r="W44">
        <f>COUNTIFS(Staffs[Date Joined],"&gt;="&amp;V44,Staffs[Date Joined],"&lt;="&amp;EOMONTH(V44,0))</f>
        <v>1</v>
      </c>
      <c r="X44">
        <f>SUM($W$9:W44)</f>
        <v>183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ED600-18E0-44B9-AA08-926E39DFEC60}">
  <sheetPr>
    <tabColor theme="3" tint="-0.499984740745262"/>
  </sheetPr>
  <dimension ref="A2:N19"/>
  <sheetViews>
    <sheetView showGridLines="0" tabSelected="1" zoomScaleNormal="100" workbookViewId="0">
      <selection activeCell="P14" sqref="P14"/>
    </sheetView>
  </sheetViews>
  <sheetFormatPr defaultRowHeight="14.4" x14ac:dyDescent="0.3"/>
  <cols>
    <col min="3" max="3" width="17.5546875" customWidth="1"/>
    <col min="4" max="4" width="1.5546875" customWidth="1"/>
    <col min="5" max="5" width="17.5546875" customWidth="1"/>
    <col min="6" max="6" width="1.5546875" customWidth="1"/>
    <col min="7" max="7" width="17.5546875" customWidth="1"/>
    <col min="10" max="10" width="17.5546875" customWidth="1"/>
    <col min="11" max="11" width="1.5546875" customWidth="1"/>
    <col min="12" max="12" width="17.5546875" customWidth="1"/>
    <col min="13" max="13" width="1.5546875" customWidth="1"/>
    <col min="14" max="14" width="17.5546875" customWidth="1"/>
  </cols>
  <sheetData>
    <row r="2" spans="1:14" ht="18.600000000000001" customHeight="1" x14ac:dyDescent="0.3">
      <c r="C2" s="39" t="s">
        <v>251</v>
      </c>
      <c r="D2" s="39"/>
      <c r="E2" s="39"/>
      <c r="F2" s="39"/>
      <c r="G2" s="39"/>
      <c r="J2" s="39" t="s">
        <v>250</v>
      </c>
      <c r="K2" s="39"/>
      <c r="L2" s="39"/>
      <c r="M2" s="39"/>
      <c r="N2" s="39"/>
    </row>
    <row r="3" spans="1:14" ht="84.6" customHeight="1" x14ac:dyDescent="0.3">
      <c r="C3" s="29">
        <f>COUNTIF(Staffs[Country],"NZ")</f>
        <v>91</v>
      </c>
      <c r="E3" s="30">
        <f>COUNTIFS(Staffs[Gender],"Female",Staffs[Country],"NZ")/C3</f>
        <v>0.47252747252747251</v>
      </c>
      <c r="G3" s="31">
        <f>AVERAGEIFS(Staffs[Salary],Staffs[Country],"NZ")</f>
        <v>76978.791208791212</v>
      </c>
      <c r="J3" s="32">
        <f>COUNTIF(Staffs[Country],"IND")</f>
        <v>92</v>
      </c>
      <c r="L3" s="33">
        <f>COUNTIFS(Staffs[Gender],"Female",Staffs[Country],"IND")/J3</f>
        <v>0.46739130434782611</v>
      </c>
      <c r="N3" s="34">
        <f>AVERAGEIFS(Staffs[Salary],Staffs[Country],"IND")</f>
        <v>77366.521739130432</v>
      </c>
    </row>
    <row r="4" spans="1:14" x14ac:dyDescent="0.3">
      <c r="A4" s="28"/>
      <c r="B4" s="28"/>
      <c r="C4" s="28"/>
      <c r="D4" s="28"/>
      <c r="E4" s="36"/>
      <c r="F4" s="28"/>
      <c r="G4" s="37"/>
      <c r="H4" s="28"/>
    </row>
    <row r="5" spans="1:14" ht="19.2" customHeight="1" x14ac:dyDescent="0.3">
      <c r="A5" s="28"/>
      <c r="B5" s="28"/>
      <c r="C5" s="38" t="s">
        <v>249</v>
      </c>
      <c r="D5" s="38"/>
      <c r="E5" s="38"/>
      <c r="F5" s="38"/>
      <c r="G5" s="38"/>
      <c r="H5" s="38"/>
      <c r="I5" s="38"/>
      <c r="J5" s="38"/>
      <c r="K5" s="38"/>
      <c r="L5" s="38"/>
      <c r="M5" s="38"/>
      <c r="N5" s="38"/>
    </row>
    <row r="6" spans="1:14" x14ac:dyDescent="0.3">
      <c r="A6" s="28"/>
      <c r="B6" s="28"/>
      <c r="C6" s="28"/>
      <c r="D6" s="28"/>
      <c r="E6" s="28"/>
      <c r="F6" s="28"/>
      <c r="G6" s="28"/>
      <c r="H6" s="28"/>
    </row>
    <row r="7" spans="1:14" x14ac:dyDescent="0.3">
      <c r="A7" s="28"/>
      <c r="B7" s="28"/>
      <c r="C7" s="28"/>
      <c r="D7" s="28"/>
      <c r="E7" s="28"/>
      <c r="F7" s="28"/>
      <c r="G7" s="28"/>
      <c r="H7" s="28"/>
    </row>
    <row r="8" spans="1:14" x14ac:dyDescent="0.3">
      <c r="A8" s="28"/>
      <c r="B8" s="28"/>
      <c r="C8" s="28"/>
      <c r="D8" s="28"/>
      <c r="E8" s="28"/>
      <c r="F8" s="28"/>
      <c r="G8" s="28"/>
      <c r="H8" s="28"/>
    </row>
    <row r="9" spans="1:14" x14ac:dyDescent="0.3">
      <c r="A9" s="28"/>
      <c r="B9" s="28"/>
      <c r="C9" s="28"/>
      <c r="D9" s="28"/>
      <c r="E9" s="28"/>
      <c r="F9" s="28"/>
      <c r="G9" s="28"/>
      <c r="H9" s="28"/>
    </row>
    <row r="10" spans="1:14" x14ac:dyDescent="0.3">
      <c r="A10" s="28"/>
      <c r="B10" s="28"/>
      <c r="C10" s="28"/>
      <c r="D10" s="28"/>
      <c r="E10" s="28"/>
      <c r="F10" s="28"/>
      <c r="G10" s="28"/>
      <c r="H10" s="28"/>
    </row>
    <row r="11" spans="1:14" x14ac:dyDescent="0.3">
      <c r="A11" s="28"/>
      <c r="B11" s="28"/>
      <c r="C11" s="28"/>
      <c r="D11" s="28"/>
      <c r="E11" s="28"/>
      <c r="F11" s="28"/>
      <c r="G11" s="28"/>
      <c r="H11" s="28"/>
    </row>
    <row r="12" spans="1:14" x14ac:dyDescent="0.3">
      <c r="A12" s="28"/>
      <c r="B12" s="28"/>
      <c r="C12" s="28"/>
      <c r="D12" s="28"/>
      <c r="E12" s="28"/>
      <c r="F12" s="28"/>
      <c r="G12" s="28"/>
      <c r="H12" s="28"/>
    </row>
    <row r="13" spans="1:14" x14ac:dyDescent="0.3">
      <c r="A13" s="28"/>
      <c r="B13" s="28"/>
      <c r="C13" s="28"/>
      <c r="D13" s="28"/>
      <c r="E13" s="28"/>
      <c r="F13" s="28"/>
      <c r="G13" s="28"/>
      <c r="H13" s="28"/>
    </row>
    <row r="14" spans="1:14" x14ac:dyDescent="0.3">
      <c r="A14" s="28"/>
      <c r="B14" s="28"/>
      <c r="C14" s="28"/>
      <c r="D14" s="28"/>
      <c r="E14" s="28"/>
      <c r="F14" s="28"/>
      <c r="G14" s="28"/>
      <c r="H14" s="28"/>
    </row>
    <row r="15" spans="1:14" x14ac:dyDescent="0.3">
      <c r="A15" s="28"/>
      <c r="B15" s="28"/>
      <c r="C15" s="28"/>
      <c r="D15" s="28"/>
      <c r="E15" s="28"/>
      <c r="F15" s="28"/>
      <c r="G15" s="28"/>
      <c r="H15" s="28"/>
    </row>
    <row r="16" spans="1:14" x14ac:dyDescent="0.3">
      <c r="A16" s="28"/>
      <c r="B16" s="28"/>
      <c r="C16" s="28"/>
      <c r="D16" s="28"/>
      <c r="E16" s="28"/>
      <c r="F16" s="28"/>
      <c r="G16" s="28"/>
      <c r="H16" s="28"/>
    </row>
    <row r="17" spans="1:8" x14ac:dyDescent="0.3">
      <c r="A17" s="28"/>
      <c r="B17" s="28"/>
      <c r="C17" s="28"/>
      <c r="D17" s="28"/>
      <c r="E17" s="28"/>
      <c r="F17" s="28"/>
      <c r="G17" s="28"/>
      <c r="H17" s="28"/>
    </row>
    <row r="18" spans="1:8" x14ac:dyDescent="0.3">
      <c r="A18" s="28"/>
      <c r="B18" s="28"/>
      <c r="C18" s="28"/>
      <c r="D18" s="28"/>
      <c r="E18" s="28"/>
      <c r="F18" s="28"/>
      <c r="G18" s="28"/>
      <c r="H18" s="28"/>
    </row>
    <row r="19" spans="1:8" x14ac:dyDescent="0.3">
      <c r="A19" s="28"/>
      <c r="B19" s="28"/>
      <c r="C19" s="28"/>
      <c r="D19" s="28"/>
      <c r="E19" s="28"/>
      <c r="F19" s="28"/>
      <c r="G19" s="28"/>
      <c r="H19" s="28"/>
    </row>
  </sheetData>
  <mergeCells count="3">
    <mergeCell ref="C5:N5"/>
    <mergeCell ref="C2:G2"/>
    <mergeCell ref="J2:N2"/>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62326-054F-4FEC-9C4D-764AB1531BC7}">
  <dimension ref="B4:H12"/>
  <sheetViews>
    <sheetView workbookViewId="0">
      <selection activeCell="Q20" sqref="Q20"/>
    </sheetView>
  </sheetViews>
  <sheetFormatPr defaultRowHeight="14.4" x14ac:dyDescent="0.3"/>
  <cols>
    <col min="2" max="2" width="12.5546875" bestFit="1" customWidth="1"/>
    <col min="3" max="3" width="13.88671875" bestFit="1" customWidth="1"/>
    <col min="7" max="7" width="12.5546875" bestFit="1" customWidth="1"/>
    <col min="8" max="8" width="13.88671875" bestFit="1" customWidth="1"/>
  </cols>
  <sheetData>
    <row r="4" spans="2:8" x14ac:dyDescent="0.3">
      <c r="B4" s="18" t="s">
        <v>204</v>
      </c>
      <c r="C4" t="s" vm="1">
        <v>205</v>
      </c>
      <c r="G4" s="18" t="s">
        <v>204</v>
      </c>
      <c r="H4" t="s" vm="2">
        <v>207</v>
      </c>
    </row>
    <row r="6" spans="2:8" x14ac:dyDescent="0.3">
      <c r="B6" s="18" t="s">
        <v>227</v>
      </c>
      <c r="C6" t="s">
        <v>221</v>
      </c>
      <c r="G6" s="18" t="s">
        <v>227</v>
      </c>
      <c r="H6" t="s">
        <v>221</v>
      </c>
    </row>
    <row r="7" spans="2:8" x14ac:dyDescent="0.3">
      <c r="B7" s="19" t="s">
        <v>9</v>
      </c>
      <c r="C7" s="35">
        <v>28</v>
      </c>
      <c r="G7" s="19" t="s">
        <v>12</v>
      </c>
      <c r="H7" s="35">
        <v>27</v>
      </c>
    </row>
    <row r="8" spans="2:8" x14ac:dyDescent="0.3">
      <c r="B8" s="19" t="s">
        <v>12</v>
      </c>
      <c r="C8" s="35">
        <v>27</v>
      </c>
      <c r="G8" s="19" t="s">
        <v>9</v>
      </c>
      <c r="H8" s="35">
        <v>27</v>
      </c>
    </row>
    <row r="9" spans="2:8" x14ac:dyDescent="0.3">
      <c r="B9" s="19" t="s">
        <v>21</v>
      </c>
      <c r="C9" s="35">
        <v>19</v>
      </c>
      <c r="G9" s="19" t="s">
        <v>21</v>
      </c>
      <c r="H9" s="35">
        <v>19</v>
      </c>
    </row>
    <row r="10" spans="2:8" x14ac:dyDescent="0.3">
      <c r="B10" s="19" t="s">
        <v>19</v>
      </c>
      <c r="C10" s="35">
        <v>14</v>
      </c>
      <c r="G10" s="19" t="s">
        <v>19</v>
      </c>
      <c r="H10" s="35">
        <v>14</v>
      </c>
    </row>
    <row r="11" spans="2:8" x14ac:dyDescent="0.3">
      <c r="B11" s="19" t="s">
        <v>56</v>
      </c>
      <c r="C11" s="35">
        <v>4</v>
      </c>
      <c r="G11" s="19" t="s">
        <v>56</v>
      </c>
      <c r="H11" s="35">
        <v>4</v>
      </c>
    </row>
    <row r="12" spans="2:8" x14ac:dyDescent="0.3">
      <c r="B12" s="19" t="s">
        <v>220</v>
      </c>
      <c r="C12" s="35">
        <v>92</v>
      </c>
      <c r="G12" s="19" t="s">
        <v>220</v>
      </c>
      <c r="H12" s="35">
        <v>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BA44C1-5C10-4F44-A260-D48B39AED1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India Staff</vt:lpstr>
      <vt:lpstr>All_Staffs</vt:lpstr>
      <vt:lpstr>Male vs Female</vt:lpstr>
      <vt:lpstr>Salary Spread</vt:lpstr>
      <vt:lpstr>Salary vs Rating</vt:lpstr>
      <vt:lpstr>Company Growth</vt:lpstr>
      <vt:lpstr>Report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Mani Bharathi S</cp:lastModifiedBy>
  <dcterms:created xsi:type="dcterms:W3CDTF">2021-03-14T20:21:32Z</dcterms:created>
  <dcterms:modified xsi:type="dcterms:W3CDTF">2024-03-12T07:47:39Z</dcterms:modified>
</cp:coreProperties>
</file>