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L19\Downloads\"/>
    </mc:Choice>
  </mc:AlternateContent>
  <xr:revisionPtr revIDLastSave="0" documentId="8_{39CE8945-ECC6-4242-803B-6B7D7F99CB66}" xr6:coauthVersionLast="47" xr6:coauthVersionMax="47" xr10:uidLastSave="{00000000-0000-0000-0000-000000000000}"/>
  <bookViews>
    <workbookView xWindow="-98" yWindow="-98" windowWidth="28996" windowHeight="15675" xr2:uid="{7BBB56B7-C865-C24B-B3CE-CEE033FFCD4F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1" i="1" l="1"/>
  <c r="J221" i="1"/>
  <c r="H221" i="1"/>
  <c r="P220" i="1"/>
  <c r="K220" i="1"/>
  <c r="H220" i="1"/>
  <c r="K219" i="1"/>
  <c r="H219" i="1"/>
  <c r="P217" i="1"/>
  <c r="J217" i="1"/>
  <c r="H217" i="1"/>
  <c r="K216" i="1"/>
  <c r="J216" i="1"/>
  <c r="H216" i="1"/>
  <c r="K215" i="1"/>
  <c r="H215" i="1"/>
  <c r="P214" i="1"/>
  <c r="K214" i="1"/>
  <c r="H214" i="1"/>
  <c r="K212" i="1"/>
  <c r="J212" i="1"/>
  <c r="H212" i="1"/>
  <c r="K211" i="1"/>
  <c r="J211" i="1"/>
  <c r="H211" i="1"/>
  <c r="K210" i="1"/>
  <c r="J210" i="1"/>
  <c r="H210" i="1"/>
  <c r="P209" i="1"/>
  <c r="H209" i="1"/>
  <c r="H208" i="1"/>
  <c r="H207" i="1"/>
  <c r="J206" i="1"/>
  <c r="H206" i="1"/>
  <c r="P205" i="1"/>
  <c r="K205" i="1"/>
  <c r="H205" i="1"/>
  <c r="H204" i="1"/>
  <c r="H203" i="1"/>
  <c r="P202" i="1"/>
  <c r="K202" i="1"/>
  <c r="J202" i="1"/>
  <c r="H202" i="1"/>
  <c r="K200" i="1"/>
  <c r="H200" i="1"/>
  <c r="P199" i="1"/>
  <c r="K199" i="1"/>
  <c r="H199" i="1"/>
  <c r="H198" i="1"/>
  <c r="K197" i="1"/>
  <c r="J197" i="1"/>
  <c r="H197" i="1"/>
  <c r="P195" i="1"/>
  <c r="K195" i="1"/>
  <c r="J195" i="1"/>
  <c r="H195" i="1"/>
  <c r="H194" i="1"/>
  <c r="K193" i="1"/>
  <c r="H193" i="1"/>
  <c r="J192" i="1"/>
  <c r="H192" i="1"/>
  <c r="H191" i="1"/>
  <c r="H190" i="1"/>
  <c r="K189" i="1"/>
  <c r="J189" i="1"/>
  <c r="H189" i="1"/>
  <c r="K188" i="1"/>
  <c r="J188" i="1"/>
  <c r="H188" i="1"/>
  <c r="H187" i="1"/>
  <c r="P186" i="1"/>
  <c r="K186" i="1"/>
  <c r="H186" i="1"/>
  <c r="H184" i="1"/>
  <c r="J183" i="1"/>
  <c r="H183" i="1"/>
  <c r="J181" i="1"/>
  <c r="H181" i="1"/>
  <c r="K180" i="1"/>
  <c r="J180" i="1"/>
  <c r="H180" i="1"/>
  <c r="H179" i="1"/>
  <c r="P178" i="1"/>
  <c r="H178" i="1"/>
  <c r="P177" i="1"/>
  <c r="K177" i="1"/>
  <c r="H177" i="1"/>
  <c r="K176" i="1"/>
  <c r="H176" i="1"/>
  <c r="K175" i="1"/>
  <c r="J175" i="1"/>
  <c r="H175" i="1"/>
  <c r="H174" i="1"/>
  <c r="J173" i="1"/>
  <c r="H173" i="1"/>
  <c r="P172" i="1"/>
  <c r="K172" i="1"/>
  <c r="H172" i="1"/>
  <c r="P171" i="1"/>
  <c r="J171" i="1"/>
  <c r="H171" i="1"/>
  <c r="H170" i="1"/>
  <c r="J169" i="1"/>
  <c r="H169" i="1"/>
  <c r="H168" i="1"/>
  <c r="K168" i="1"/>
  <c r="J167" i="1"/>
  <c r="H167" i="1"/>
  <c r="K166" i="1"/>
  <c r="J166" i="1"/>
  <c r="H166" i="1"/>
  <c r="K165" i="1"/>
  <c r="J165" i="1"/>
  <c r="H165" i="1"/>
  <c r="J164" i="1"/>
  <c r="H164" i="1"/>
  <c r="K163" i="1"/>
  <c r="H163" i="1"/>
  <c r="H162" i="1"/>
  <c r="H161" i="1"/>
  <c r="J160" i="1"/>
  <c r="H160" i="1"/>
  <c r="P159" i="1"/>
  <c r="K159" i="1"/>
  <c r="J159" i="1"/>
  <c r="H159" i="1"/>
  <c r="P158" i="1"/>
  <c r="K158" i="1"/>
  <c r="H158" i="1"/>
  <c r="J156" i="1"/>
  <c r="H156" i="1"/>
  <c r="K155" i="1"/>
  <c r="H155" i="1"/>
  <c r="H153" i="1"/>
  <c r="P152" i="1"/>
  <c r="H152" i="1"/>
  <c r="P151" i="1"/>
  <c r="J151" i="1"/>
  <c r="H151" i="1"/>
  <c r="H149" i="1"/>
  <c r="J148" i="1"/>
  <c r="H148" i="1"/>
  <c r="P147" i="1"/>
  <c r="H147" i="1"/>
  <c r="J146" i="1"/>
  <c r="H146" i="1"/>
  <c r="P145" i="1"/>
  <c r="J145" i="1"/>
  <c r="H145" i="1"/>
  <c r="H143" i="1"/>
  <c r="J142" i="1"/>
  <c r="H142" i="1"/>
  <c r="P141" i="1"/>
  <c r="H141" i="1"/>
  <c r="H139" i="1"/>
  <c r="K137" i="1"/>
  <c r="H137" i="1"/>
  <c r="P136" i="1"/>
  <c r="H136" i="1"/>
  <c r="K135" i="1"/>
  <c r="J135" i="1"/>
  <c r="H135" i="1"/>
  <c r="H134" i="1"/>
  <c r="K134" i="1"/>
  <c r="J134" i="1"/>
  <c r="P126" i="1"/>
  <c r="J126" i="1"/>
  <c r="H126" i="1"/>
  <c r="P125" i="1"/>
  <c r="J125" i="1"/>
  <c r="H125" i="1"/>
  <c r="K123" i="1"/>
  <c r="J123" i="1"/>
  <c r="H123" i="1"/>
  <c r="P122" i="1"/>
  <c r="K122" i="1"/>
  <c r="H122" i="1"/>
  <c r="H118" i="1"/>
  <c r="K117" i="1"/>
  <c r="H117" i="1"/>
  <c r="K116" i="1"/>
  <c r="J116" i="1"/>
  <c r="H116" i="1"/>
  <c r="H115" i="1"/>
  <c r="J114" i="1"/>
  <c r="H114" i="1"/>
  <c r="P113" i="1"/>
  <c r="J113" i="1"/>
  <c r="H113" i="1"/>
  <c r="H112" i="1"/>
  <c r="P110" i="1"/>
  <c r="P111" i="1"/>
  <c r="K111" i="1"/>
  <c r="J111" i="1"/>
  <c r="H111" i="1"/>
  <c r="H110" i="1"/>
  <c r="H109" i="1"/>
  <c r="K108" i="1"/>
  <c r="H108" i="1"/>
  <c r="K106" i="1"/>
  <c r="H106" i="1"/>
  <c r="H105" i="1"/>
  <c r="H104" i="1"/>
  <c r="H103" i="1"/>
  <c r="P102" i="1"/>
  <c r="H102" i="1"/>
  <c r="K101" i="1"/>
  <c r="J101" i="1"/>
  <c r="H101" i="1"/>
  <c r="J100" i="1"/>
  <c r="H100" i="1"/>
  <c r="J99" i="1"/>
  <c r="H99" i="1"/>
  <c r="P98" i="1"/>
  <c r="H98" i="1"/>
  <c r="K97" i="1"/>
  <c r="J97" i="1"/>
  <c r="H97" i="1"/>
  <c r="P96" i="1"/>
  <c r="K96" i="1"/>
  <c r="H96" i="1"/>
  <c r="P95" i="1"/>
  <c r="H95" i="1"/>
  <c r="J94" i="1"/>
  <c r="H94" i="1"/>
  <c r="P93" i="1"/>
  <c r="J93" i="1"/>
  <c r="H93" i="1"/>
  <c r="P92" i="1"/>
  <c r="H92" i="1"/>
  <c r="H91" i="1"/>
  <c r="K90" i="1"/>
  <c r="J90" i="1"/>
  <c r="H90" i="1"/>
  <c r="H89" i="1"/>
  <c r="P88" i="1"/>
  <c r="H88" i="1"/>
  <c r="K87" i="1"/>
  <c r="H87" i="1"/>
  <c r="P86" i="1"/>
  <c r="H86" i="1"/>
  <c r="P85" i="1"/>
  <c r="H85" i="1"/>
  <c r="P84" i="1"/>
  <c r="K84" i="1"/>
  <c r="J84" i="1"/>
  <c r="H84" i="1"/>
  <c r="K83" i="1"/>
  <c r="J83" i="1"/>
  <c r="H83" i="1"/>
  <c r="P82" i="1"/>
  <c r="K82" i="1"/>
  <c r="J82" i="1"/>
  <c r="H81" i="1"/>
  <c r="J80" i="1"/>
  <c r="H80" i="1"/>
  <c r="K79" i="1"/>
  <c r="H79" i="1"/>
  <c r="H78" i="1"/>
  <c r="J77" i="1"/>
  <c r="H77" i="1"/>
  <c r="P76" i="1"/>
  <c r="J76" i="1"/>
  <c r="H76" i="1"/>
  <c r="P75" i="1"/>
  <c r="J75" i="1"/>
  <c r="H75" i="1"/>
  <c r="K74" i="1"/>
  <c r="H74" i="1"/>
  <c r="P73" i="1"/>
  <c r="J73" i="1"/>
  <c r="H73" i="1"/>
  <c r="K72" i="1"/>
  <c r="H72" i="1"/>
  <c r="P71" i="1"/>
  <c r="K71" i="1"/>
  <c r="H71" i="1"/>
  <c r="K70" i="1"/>
  <c r="H70" i="1"/>
  <c r="H69" i="1"/>
  <c r="P68" i="1"/>
  <c r="H68" i="1"/>
  <c r="H67" i="1"/>
  <c r="J66" i="1"/>
  <c r="H66" i="1"/>
  <c r="H65" i="1"/>
  <c r="P64" i="1"/>
  <c r="K64" i="1"/>
  <c r="H64" i="1"/>
  <c r="J63" i="1"/>
  <c r="H63" i="1"/>
  <c r="H62" i="1"/>
  <c r="H61" i="1"/>
  <c r="K60" i="1"/>
  <c r="J60" i="1"/>
  <c r="H60" i="1"/>
  <c r="P59" i="1"/>
  <c r="K59" i="1"/>
  <c r="J59" i="1"/>
  <c r="H59" i="1"/>
  <c r="H58" i="1"/>
  <c r="P57" i="1"/>
  <c r="H57" i="1"/>
  <c r="P55" i="1"/>
  <c r="H55" i="1"/>
  <c r="P54" i="1"/>
  <c r="H54" i="1"/>
  <c r="K53" i="1"/>
  <c r="J53" i="1"/>
  <c r="H53" i="1"/>
  <c r="P52" i="1"/>
  <c r="K52" i="1"/>
  <c r="J52" i="1"/>
  <c r="H52" i="1"/>
  <c r="H51" i="1"/>
  <c r="P50" i="1"/>
  <c r="K50" i="1"/>
  <c r="H50" i="1"/>
  <c r="K49" i="1"/>
  <c r="H49" i="1"/>
  <c r="H48" i="1"/>
  <c r="P47" i="1"/>
  <c r="K47" i="1"/>
  <c r="J47" i="1"/>
  <c r="H47" i="1"/>
  <c r="P46" i="1"/>
  <c r="K46" i="1"/>
  <c r="H46" i="1"/>
  <c r="H45" i="1"/>
  <c r="P44" i="1"/>
  <c r="J44" i="1"/>
  <c r="H44" i="1"/>
  <c r="H42" i="1"/>
  <c r="P43" i="1"/>
  <c r="J43" i="1"/>
  <c r="H43" i="1"/>
  <c r="J42" i="1"/>
  <c r="P41" i="1"/>
  <c r="K41" i="1"/>
  <c r="H41" i="1"/>
  <c r="P40" i="1"/>
  <c r="K40" i="1"/>
  <c r="J40" i="1"/>
  <c r="H40" i="1"/>
  <c r="P38" i="1"/>
  <c r="K38" i="1"/>
  <c r="J38" i="1"/>
  <c r="H38" i="1"/>
  <c r="P37" i="1"/>
  <c r="K37" i="1"/>
  <c r="H37" i="1"/>
  <c r="P36" i="1"/>
  <c r="H36" i="1"/>
  <c r="H35" i="1"/>
  <c r="P35" i="1"/>
  <c r="J34" i="1"/>
  <c r="H34" i="1"/>
  <c r="K33" i="1"/>
  <c r="J33" i="1"/>
  <c r="H33" i="1"/>
  <c r="P30" i="1"/>
  <c r="H30" i="1"/>
  <c r="P29" i="1"/>
  <c r="K29" i="1"/>
  <c r="J29" i="1"/>
  <c r="H29" i="1"/>
  <c r="P28" i="1"/>
  <c r="H28" i="1"/>
  <c r="K27" i="1"/>
  <c r="J27" i="1"/>
  <c r="H27" i="1"/>
  <c r="K25" i="1"/>
  <c r="J25" i="1"/>
  <c r="H25" i="1"/>
  <c r="K24" i="1"/>
  <c r="J24" i="1"/>
  <c r="H24" i="1"/>
  <c r="H23" i="1"/>
  <c r="P22" i="1"/>
  <c r="H22" i="1"/>
  <c r="P21" i="1"/>
  <c r="K21" i="1"/>
  <c r="H21" i="1"/>
  <c r="P20" i="1"/>
  <c r="J20" i="1"/>
  <c r="H20" i="1"/>
  <c r="H19" i="1"/>
  <c r="P17" i="1"/>
  <c r="K17" i="1"/>
  <c r="J17" i="1"/>
  <c r="H17" i="1"/>
  <c r="P16" i="1"/>
  <c r="H16" i="1"/>
  <c r="P15" i="1"/>
  <c r="J15" i="1"/>
  <c r="H15" i="1"/>
  <c r="P14" i="1"/>
  <c r="J14" i="1"/>
  <c r="H14" i="1"/>
  <c r="P13" i="1"/>
  <c r="K13" i="1"/>
  <c r="J13" i="1"/>
  <c r="P12" i="1"/>
  <c r="K12" i="1"/>
  <c r="H12" i="1"/>
  <c r="K11" i="1"/>
  <c r="J11" i="1"/>
  <c r="H11" i="1"/>
  <c r="H10" i="1"/>
  <c r="K9" i="1"/>
  <c r="H9" i="1"/>
  <c r="P8" i="1"/>
  <c r="K8" i="1"/>
  <c r="J8" i="1"/>
  <c r="H8" i="1"/>
  <c r="P7" i="1"/>
  <c r="H7" i="1"/>
  <c r="P6" i="1"/>
  <c r="K6" i="1"/>
  <c r="J6" i="1"/>
  <c r="H6" i="1"/>
  <c r="P5" i="1"/>
  <c r="H5" i="1"/>
  <c r="P4" i="1"/>
  <c r="K4" i="1"/>
  <c r="H4" i="1"/>
  <c r="P3" i="1"/>
  <c r="K3" i="1"/>
  <c r="H3" i="1"/>
  <c r="P2" i="1"/>
  <c r="H2" i="1"/>
  <c r="P32" i="1"/>
  <c r="J32" i="1"/>
  <c r="H32" i="1"/>
</calcChain>
</file>

<file path=xl/sharedStrings.xml><?xml version="1.0" encoding="utf-8"?>
<sst xmlns="http://schemas.openxmlformats.org/spreadsheetml/2006/main" count="1025" uniqueCount="462">
  <si>
    <t>Name</t>
  </si>
  <si>
    <t>Round</t>
  </si>
  <si>
    <t>Pick Number</t>
  </si>
  <si>
    <t>NFL Team</t>
  </si>
  <si>
    <t>College</t>
  </si>
  <si>
    <t>Conference</t>
  </si>
  <si>
    <t>Oklahoma State</t>
  </si>
  <si>
    <t>Virginia Tech</t>
  </si>
  <si>
    <t>ACC</t>
  </si>
  <si>
    <t>Browns</t>
  </si>
  <si>
    <t>Bears</t>
  </si>
  <si>
    <t>Bengals</t>
  </si>
  <si>
    <t>Michigan State</t>
  </si>
  <si>
    <t>Chargers</t>
  </si>
  <si>
    <t>TCU</t>
  </si>
  <si>
    <t>Broncos</t>
  </si>
  <si>
    <t>Ohio State</t>
  </si>
  <si>
    <t>Saints</t>
  </si>
  <si>
    <t>Jets</t>
  </si>
  <si>
    <t>C-USA</t>
  </si>
  <si>
    <t>Chiefs</t>
  </si>
  <si>
    <t>Eagles</t>
  </si>
  <si>
    <t>Florida</t>
  </si>
  <si>
    <t>SEC</t>
  </si>
  <si>
    <t>Commanders</t>
  </si>
  <si>
    <t>Clemson</t>
  </si>
  <si>
    <t>Bills</t>
  </si>
  <si>
    <t>Oklahoma</t>
  </si>
  <si>
    <t>Jaguars</t>
  </si>
  <si>
    <t>Raiders</t>
  </si>
  <si>
    <t>Utah</t>
  </si>
  <si>
    <t>Dolphins</t>
  </si>
  <si>
    <t>MIAA</t>
  </si>
  <si>
    <t>49ers</t>
  </si>
  <si>
    <t>NC State</t>
  </si>
  <si>
    <t>Lions</t>
  </si>
  <si>
    <t>MW</t>
  </si>
  <si>
    <t>Falcons</t>
  </si>
  <si>
    <t>Purdue</t>
  </si>
  <si>
    <t>Panthers</t>
  </si>
  <si>
    <t>San Jose State</t>
  </si>
  <si>
    <t>Steelers</t>
  </si>
  <si>
    <t>Arizona</t>
  </si>
  <si>
    <t>SMU</t>
  </si>
  <si>
    <t>The American</t>
  </si>
  <si>
    <t>Vikings</t>
  </si>
  <si>
    <t>CAA</t>
  </si>
  <si>
    <t>Giants</t>
  </si>
  <si>
    <t>Notre Dame</t>
  </si>
  <si>
    <t>Independent</t>
  </si>
  <si>
    <t>Rams</t>
  </si>
  <si>
    <t>Packers</t>
  </si>
  <si>
    <t>Baylor</t>
  </si>
  <si>
    <t>Texans</t>
  </si>
  <si>
    <t>Vanderbilt</t>
  </si>
  <si>
    <t>MAC</t>
  </si>
  <si>
    <t>North Carolina</t>
  </si>
  <si>
    <t>Georgia Southern</t>
  </si>
  <si>
    <t>SoCon</t>
  </si>
  <si>
    <t>Cowboys</t>
  </si>
  <si>
    <t>Oregon</t>
  </si>
  <si>
    <t>Draft Year</t>
  </si>
  <si>
    <t>Kevin Johnson</t>
  </si>
  <si>
    <t>Wake Forrest</t>
  </si>
  <si>
    <t>Washington</t>
  </si>
  <si>
    <t>LSU</t>
  </si>
  <si>
    <t>Florida State</t>
  </si>
  <si>
    <t>Ole Miss</t>
  </si>
  <si>
    <t>Quinten Rollins</t>
  </si>
  <si>
    <t>Miami (OH)</t>
  </si>
  <si>
    <t>Colts</t>
  </si>
  <si>
    <t>PJ Williams</t>
  </si>
  <si>
    <t>Sun Belt</t>
  </si>
  <si>
    <t>Steven Nelson</t>
  </si>
  <si>
    <t>Oregon State</t>
  </si>
  <si>
    <t>Pac12</t>
  </si>
  <si>
    <t>Josh Shaw</t>
  </si>
  <si>
    <t>USC</t>
  </si>
  <si>
    <t>Ravens</t>
  </si>
  <si>
    <t>Memphis</t>
  </si>
  <si>
    <t>Tulane</t>
  </si>
  <si>
    <t>Georgia</t>
  </si>
  <si>
    <t>Seahawks</t>
  </si>
  <si>
    <t>Louisville</t>
  </si>
  <si>
    <t>Kansas State</t>
  </si>
  <si>
    <t>Patriots</t>
  </si>
  <si>
    <t>Marshall</t>
  </si>
  <si>
    <t>Jalen Ramsey</t>
  </si>
  <si>
    <t>Eli Apple</t>
  </si>
  <si>
    <t>Vernon Hargraves</t>
  </si>
  <si>
    <t>Buccanneers</t>
  </si>
  <si>
    <t>William Jackson III</t>
  </si>
  <si>
    <t>Houston</t>
  </si>
  <si>
    <t>Artie Burns</t>
  </si>
  <si>
    <t>Miami (FL)</t>
  </si>
  <si>
    <t>Xavien Howard</t>
  </si>
  <si>
    <t>Mackensie Alexander</t>
  </si>
  <si>
    <t>Cyrus Jones</t>
  </si>
  <si>
    <t>Alabama</t>
  </si>
  <si>
    <t>James Bradberry</t>
  </si>
  <si>
    <t>Samford</t>
  </si>
  <si>
    <t>William Redmond</t>
  </si>
  <si>
    <t>Mississippi State</t>
  </si>
  <si>
    <t>Daryl Worley</t>
  </si>
  <si>
    <t>West Virginia</t>
  </si>
  <si>
    <t>Kendall Fuller</t>
  </si>
  <si>
    <t>Brandon Williams</t>
  </si>
  <si>
    <t>Cardinals</t>
  </si>
  <si>
    <t>Texas A&amp;M</t>
  </si>
  <si>
    <t>Tavon Young</t>
  </si>
  <si>
    <t>Temple</t>
  </si>
  <si>
    <t>Ryan Smith</t>
  </si>
  <si>
    <t>North Carolina Central</t>
  </si>
  <si>
    <t>MEAC</t>
  </si>
  <si>
    <t>Justin Burris</t>
  </si>
  <si>
    <t>Rashard Robinson</t>
  </si>
  <si>
    <t>Zack Sanchez</t>
  </si>
  <si>
    <t>Titans</t>
  </si>
  <si>
    <t>Southern Utah</t>
  </si>
  <si>
    <t>Big Sky</t>
  </si>
  <si>
    <t>Trey Caldwell</t>
  </si>
  <si>
    <t>Louisiana-Monroe</t>
  </si>
  <si>
    <t>Georgia Tech</t>
  </si>
  <si>
    <t>William &amp; Mary</t>
  </si>
  <si>
    <t>Anthony Brown</t>
  </si>
  <si>
    <t>Auburn</t>
  </si>
  <si>
    <t>Harlan Miller</t>
  </si>
  <si>
    <t>Southeastern Louisiana</t>
  </si>
  <si>
    <t>Southland</t>
  </si>
  <si>
    <t>Virginia</t>
  </si>
  <si>
    <t>Kevon Seymour</t>
  </si>
  <si>
    <t>Prince Charles Iworah</t>
  </si>
  <si>
    <t>Western Kentucky</t>
  </si>
  <si>
    <t>Kalan Reed</t>
  </si>
  <si>
    <t>Southern Miss</t>
  </si>
  <si>
    <t>Eric Murray</t>
  </si>
  <si>
    <t>Minnesota</t>
  </si>
  <si>
    <t>Marshon Lattimore</t>
  </si>
  <si>
    <t>Gareon Conley</t>
  </si>
  <si>
    <t>Kevin King</t>
  </si>
  <si>
    <t>Sidney Jones</t>
  </si>
  <si>
    <t>Quincy Wilson</t>
  </si>
  <si>
    <t>Chidobe Awuzie</t>
  </si>
  <si>
    <t>Colorado</t>
  </si>
  <si>
    <t>Ahkello Witherspoon</t>
  </si>
  <si>
    <t>Fabian Moreau</t>
  </si>
  <si>
    <t>UCLA</t>
  </si>
  <si>
    <t>Shaquill Griffin</t>
  </si>
  <si>
    <t>UCF</t>
  </si>
  <si>
    <t>Jourdan Lewis</t>
  </si>
  <si>
    <t>Michigan</t>
  </si>
  <si>
    <t>Cameron Sutton</t>
  </si>
  <si>
    <t>Tennessee</t>
  </si>
  <si>
    <t>Rasul Douglas</t>
  </si>
  <si>
    <t>Brendan Langley</t>
  </si>
  <si>
    <t>Lamar</t>
  </si>
  <si>
    <t>Howard Wilson</t>
  </si>
  <si>
    <t>Damontae Kazee</t>
  </si>
  <si>
    <t>San Diego State</t>
  </si>
  <si>
    <t>Desmond King</t>
  </si>
  <si>
    <t>Iowa</t>
  </si>
  <si>
    <t>Corn Elder</t>
  </si>
  <si>
    <t>Nate Hairston</t>
  </si>
  <si>
    <t>Jamal Agnew</t>
  </si>
  <si>
    <t>San Diego</t>
  </si>
  <si>
    <t>Pioneer</t>
  </si>
  <si>
    <t>Treston Decoud</t>
  </si>
  <si>
    <t>Brian Allen</t>
  </si>
  <si>
    <t>Jeremy Clark</t>
  </si>
  <si>
    <t>Derrick Jones</t>
  </si>
  <si>
    <t>Brandon Wilson</t>
  </si>
  <si>
    <t>Marquez White</t>
  </si>
  <si>
    <t>Jaylen Myrick</t>
  </si>
  <si>
    <t>Joshua Holsey</t>
  </si>
  <si>
    <t>Denzel Ward</t>
  </si>
  <si>
    <t>Jaire Alexander</t>
  </si>
  <si>
    <t>Mike Hughes</t>
  </si>
  <si>
    <t>Josh Jackson</t>
  </si>
  <si>
    <t>Donte Jackson</t>
  </si>
  <si>
    <t>Duke Dawson</t>
  </si>
  <si>
    <t>Isaiah Oliver</t>
  </si>
  <si>
    <t>Carlton Davis</t>
  </si>
  <si>
    <t>Rashaan Gaulden</t>
  </si>
  <si>
    <t>Isaac Yiadom</t>
  </si>
  <si>
    <t>Boston College</t>
  </si>
  <si>
    <t>Nick Nelson</t>
  </si>
  <si>
    <t>Wisconsin</t>
  </si>
  <si>
    <t>Anthony Averett</t>
  </si>
  <si>
    <t>Taron Johnson</t>
  </si>
  <si>
    <t>Weber State</t>
  </si>
  <si>
    <t>Avonte Maddox</t>
  </si>
  <si>
    <t>Pittsburgh</t>
  </si>
  <si>
    <t>Davontae Harris</t>
  </si>
  <si>
    <t>Illinois State</t>
  </si>
  <si>
    <t>MVFC</t>
  </si>
  <si>
    <t>Dane Cruikshank</t>
  </si>
  <si>
    <t>Siran Neal</t>
  </si>
  <si>
    <t>Jacksonville State</t>
  </si>
  <si>
    <t>OVC</t>
  </si>
  <si>
    <t>Darius Phillips</t>
  </si>
  <si>
    <t>Western Michigan</t>
  </si>
  <si>
    <t>Parry Nickerson</t>
  </si>
  <si>
    <t>Chris Campbell</t>
  </si>
  <si>
    <t>Penn State</t>
  </si>
  <si>
    <t>Simeon Thomas</t>
  </si>
  <si>
    <t>Louisiana</t>
  </si>
  <si>
    <t>Kamrin Moore</t>
  </si>
  <si>
    <t>Tremon Smith</t>
  </si>
  <si>
    <t>Central Arkansas</t>
  </si>
  <si>
    <t>Cornell Armstrong</t>
  </si>
  <si>
    <t>Jermaine Kelly</t>
  </si>
  <si>
    <t>Greg Stroman</t>
  </si>
  <si>
    <t>Keion Crossen</t>
  </si>
  <si>
    <t>Western Carolina</t>
  </si>
  <si>
    <t>Deandre Baker</t>
  </si>
  <si>
    <t>Byron Murphy</t>
  </si>
  <si>
    <t>Central Michigan</t>
  </si>
  <si>
    <t>Trayvon Mullen</t>
  </si>
  <si>
    <t>Joejuan Williams</t>
  </si>
  <si>
    <t>Greedy Williams</t>
  </si>
  <si>
    <t>Lonnie Johnson Jr</t>
  </si>
  <si>
    <t>Kentucky</t>
  </si>
  <si>
    <t>David Long</t>
  </si>
  <si>
    <t>Justin Layne</t>
  </si>
  <si>
    <t>Jamel Dean</t>
  </si>
  <si>
    <t>Julian Love</t>
  </si>
  <si>
    <t>Kendall Sheffield</t>
  </si>
  <si>
    <t>Iman Marshall</t>
  </si>
  <si>
    <t>Isaiah Johnson</t>
  </si>
  <si>
    <t>Amani Oruwariye</t>
  </si>
  <si>
    <t>Michael Jackson</t>
  </si>
  <si>
    <t>Jordan Miller</t>
  </si>
  <si>
    <t>Corey Ballentine</t>
  </si>
  <si>
    <t>Washburn</t>
  </si>
  <si>
    <t>Jaquan Johnson</t>
  </si>
  <si>
    <t>Toledo</t>
  </si>
  <si>
    <t>Xavier Crawford</t>
  </si>
  <si>
    <t>Blessuan Austin</t>
  </si>
  <si>
    <t>Rutgers</t>
  </si>
  <si>
    <t>Tim Harris</t>
  </si>
  <si>
    <t>Rashad Fenton</t>
  </si>
  <si>
    <t>South Carolina</t>
  </si>
  <si>
    <t>Duke Shelley</t>
  </si>
  <si>
    <t>Kris Boyd</t>
  </si>
  <si>
    <t>Texas</t>
  </si>
  <si>
    <t>Donnie Lewis</t>
  </si>
  <si>
    <t>Jordan Brown</t>
  </si>
  <si>
    <t>South Dakota State</t>
  </si>
  <si>
    <t>Jimmy Moreland</t>
  </si>
  <si>
    <t>James Madison</t>
  </si>
  <si>
    <t>Stephen Denmark</t>
  </si>
  <si>
    <t>Valdosta State</t>
  </si>
  <si>
    <t>Gulf South</t>
  </si>
  <si>
    <t>Ken Webster</t>
  </si>
  <si>
    <t>Jeff Okudah</t>
  </si>
  <si>
    <t>Damon Arnette</t>
  </si>
  <si>
    <t>Noah Igbinoghene</t>
  </si>
  <si>
    <t>Jeff Gladney</t>
  </si>
  <si>
    <t>Jaylon Johnson</t>
  </si>
  <si>
    <t>Trevon Diggs</t>
  </si>
  <si>
    <t>Kristian Fulton</t>
  </si>
  <si>
    <t>Michael Ojemudia</t>
  </si>
  <si>
    <t>Cameron Dantzler</t>
  </si>
  <si>
    <t>Darnay Holmes</t>
  </si>
  <si>
    <t>Troy Pride</t>
  </si>
  <si>
    <t>Reggie Robinson</t>
  </si>
  <si>
    <t>Tulsa</t>
  </si>
  <si>
    <t>Josiah Scott</t>
  </si>
  <si>
    <t>Amik Robertson</t>
  </si>
  <si>
    <t>Louisiana Tech</t>
  </si>
  <si>
    <t>John Reid</t>
  </si>
  <si>
    <t>Bryce Hall</t>
  </si>
  <si>
    <t>Kindle Vildor</t>
  </si>
  <si>
    <t>Harrison Hand</t>
  </si>
  <si>
    <t>Isaiah Rodgers</t>
  </si>
  <si>
    <t>Umass</t>
  </si>
  <si>
    <t>FIU</t>
  </si>
  <si>
    <t>Chris Claybrooks</t>
  </si>
  <si>
    <t>Dane Jackson</t>
  </si>
  <si>
    <t>Chris Williamson</t>
  </si>
  <si>
    <t>Chris Jakson</t>
  </si>
  <si>
    <t>Jaycee Horn</t>
  </si>
  <si>
    <t>Patrick Surtain II</t>
  </si>
  <si>
    <t>Caleb Farley</t>
  </si>
  <si>
    <t>Northwestern</t>
  </si>
  <si>
    <t>Eric Stokes</t>
  </si>
  <si>
    <t>Greg Newsome II</t>
  </si>
  <si>
    <t>Tyson Campbell</t>
  </si>
  <si>
    <t>Kelvin Joseph</t>
  </si>
  <si>
    <t>Asante Samuel Jr</t>
  </si>
  <si>
    <t>Aaron Robinson</t>
  </si>
  <si>
    <t>Paulson Adebo</t>
  </si>
  <si>
    <t>Standford</t>
  </si>
  <si>
    <t>Nahshon Wright</t>
  </si>
  <si>
    <t>Elijah Molden</t>
  </si>
  <si>
    <t>Ifeatu Melifonwu</t>
  </si>
  <si>
    <t>Syracuse</t>
  </si>
  <si>
    <t>Ambry Thomas</t>
  </si>
  <si>
    <t>Brandon Stephens</t>
  </si>
  <si>
    <t>Darren Hall</t>
  </si>
  <si>
    <t>Texas Tech</t>
  </si>
  <si>
    <t>Robert Rochell</t>
  </si>
  <si>
    <t>Marco Wilson</t>
  </si>
  <si>
    <t>Shaun Wade</t>
  </si>
  <si>
    <t>Keith Taylor</t>
  </si>
  <si>
    <t>Nate Hobbs</t>
  </si>
  <si>
    <t>Deommodore Lenoir</t>
  </si>
  <si>
    <t>Illinois</t>
  </si>
  <si>
    <t>Jason Pinnock</t>
  </si>
  <si>
    <t>Applachian State</t>
  </si>
  <si>
    <t>Avery Williams</t>
  </si>
  <si>
    <t>Boise State</t>
  </si>
  <si>
    <t>Brandin Echols</t>
  </si>
  <si>
    <t>Rodarius Williams</t>
  </si>
  <si>
    <t>Rachad Wildgoose</t>
  </si>
  <si>
    <t>Israel Mukuamu</t>
  </si>
  <si>
    <t>Thomas Graham Jr</t>
  </si>
  <si>
    <t>Kary Vincent Jr</t>
  </si>
  <si>
    <t>Tre Norwood</t>
  </si>
  <si>
    <t>Chris Wilcox</t>
  </si>
  <si>
    <t>BYU</t>
  </si>
  <si>
    <t>Tay Gowan</t>
  </si>
  <si>
    <t>Maurice Canady</t>
  </si>
  <si>
    <t>Height (in)</t>
  </si>
  <si>
    <t>Weight (lb)</t>
  </si>
  <si>
    <t>Arm Length (in)</t>
  </si>
  <si>
    <t>Hand Span (in)</t>
  </si>
  <si>
    <t>40-Yard Dash (sec)</t>
  </si>
  <si>
    <t>20-Yard Shuttle (sec)</t>
  </si>
  <si>
    <t>3-Cone Drill (sec)</t>
  </si>
  <si>
    <t>Vertical Jump (in)</t>
  </si>
  <si>
    <t>Bench Press (reps)</t>
  </si>
  <si>
    <t>Broad Jump (in)</t>
  </si>
  <si>
    <t>Ronald Darby</t>
  </si>
  <si>
    <t>Trae Waynes</t>
  </si>
  <si>
    <t>Marcus Peters</t>
  </si>
  <si>
    <t>Byron Jones</t>
  </si>
  <si>
    <t>Uconn</t>
  </si>
  <si>
    <t>Jalen Collins</t>
  </si>
  <si>
    <t>Eric Rowe</t>
  </si>
  <si>
    <t>Senquez Golson</t>
  </si>
  <si>
    <t>D'Joun Smith</t>
  </si>
  <si>
    <t>Florida Atlantic</t>
  </si>
  <si>
    <t>Alex Carter</t>
  </si>
  <si>
    <t>Craig Mager</t>
  </si>
  <si>
    <t>Texas State</t>
  </si>
  <si>
    <t>Doran Grant</t>
  </si>
  <si>
    <t>Tray Walker</t>
  </si>
  <si>
    <t>Bobby McCain</t>
  </si>
  <si>
    <t>Texas Southern</t>
  </si>
  <si>
    <t>SWAC</t>
  </si>
  <si>
    <t>Damian Swann</t>
  </si>
  <si>
    <t>Lorenzo Doss</t>
  </si>
  <si>
    <t>Tye Smith</t>
  </si>
  <si>
    <t>Towson</t>
  </si>
  <si>
    <t>Tevin Mitchel</t>
  </si>
  <si>
    <t>Arkansas</t>
  </si>
  <si>
    <t>Charles Gaines</t>
  </si>
  <si>
    <t>JaCorey Shepherd</t>
  </si>
  <si>
    <t>Kansas</t>
  </si>
  <si>
    <t>Randall Evans</t>
  </si>
  <si>
    <t>Ifo Ekpre-Olomu</t>
  </si>
  <si>
    <t>Dexter McDonald</t>
  </si>
  <si>
    <t>Darryl Roberts</t>
  </si>
  <si>
    <t>Akeem King</t>
  </si>
  <si>
    <t>Taurean Nixon</t>
  </si>
  <si>
    <t>TJ Green</t>
  </si>
  <si>
    <t>KeiVarae Russell</t>
  </si>
  <si>
    <t>LeShaun Sims</t>
  </si>
  <si>
    <t>DJ White</t>
  </si>
  <si>
    <t>DeAndre Houston-Carson</t>
  </si>
  <si>
    <t>Blake Countess</t>
  </si>
  <si>
    <t>Adoree Jackson</t>
  </si>
  <si>
    <t>Marlon Humphrey</t>
  </si>
  <si>
    <t>Tre'Davious White</t>
  </si>
  <si>
    <t>Big10</t>
  </si>
  <si>
    <t>Big12</t>
  </si>
  <si>
    <t>Jalen Tabor</t>
  </si>
  <si>
    <t>1 year at sacramento city college</t>
  </si>
  <si>
    <t>Cordrea Tankersley</t>
  </si>
  <si>
    <t>2013-2014 Nassau CC</t>
  </si>
  <si>
    <t>2013(FR) played CB, 2014 played WR. Converted to WR in 2019</t>
  </si>
  <si>
    <t>dead. No data</t>
  </si>
  <si>
    <t>missing college stats</t>
  </si>
  <si>
    <t>WR 13-14, DB 15-16</t>
  </si>
  <si>
    <t>Also played WR in NFL</t>
  </si>
  <si>
    <t>Played non D1 13-14</t>
  </si>
  <si>
    <t>Adrian Colbert</t>
  </si>
  <si>
    <t>Jack Tocho</t>
  </si>
  <si>
    <t>played one year (2016) at Garden City Community College</t>
  </si>
  <si>
    <t>MJ Stewart</t>
  </si>
  <si>
    <t>played WR 2015 (FR)</t>
  </si>
  <si>
    <t>played WR FR (2015)</t>
  </si>
  <si>
    <t>Played safety in NFL</t>
  </si>
  <si>
    <t>DJ Reed</t>
  </si>
  <si>
    <t>Played Div I FCS</t>
  </si>
  <si>
    <t>Played 2014 (FR) as WR</t>
  </si>
  <si>
    <t>No college data found</t>
  </si>
  <si>
    <t>No Combine</t>
  </si>
  <si>
    <t>Played WR 2015 (SO)</t>
  </si>
  <si>
    <t>No Combine; 13-14 CB, 16-17 WR</t>
  </si>
  <si>
    <t>Rock Ya-Sin</t>
  </si>
  <si>
    <t>Sean Murphy-Bunting</t>
  </si>
  <si>
    <t>Converted to Safety in first NFL Year</t>
  </si>
  <si>
    <t>Kendall Sheffield.</t>
  </si>
  <si>
    <t>Redshirt initial year at Alabama. Blinn College 2016</t>
  </si>
  <si>
    <t>No Combine on Wiki</t>
  </si>
  <si>
    <t>Oruwariye</t>
  </si>
  <si>
    <t>Redshurt true freshman year at PSU</t>
  </si>
  <si>
    <t>Ballentine</t>
  </si>
  <si>
    <t>Played college at Div 2 Washburn</t>
  </si>
  <si>
    <t>Ka'dar Hollman</t>
  </si>
  <si>
    <t>Timothy Harris</t>
  </si>
  <si>
    <t>Donnie Lewish</t>
  </si>
  <si>
    <t>Played WR for 3 years in college. CB in 2018. Played for Div 2. no Combine on wiki</t>
  </si>
  <si>
    <t>CJ Henderson</t>
  </si>
  <si>
    <t>AJ Terrell</t>
  </si>
  <si>
    <t>Damon Arnnette</t>
  </si>
  <si>
    <t>Redshirt true freshman year</t>
  </si>
  <si>
    <t>Ingin</t>
  </si>
  <si>
    <t>Converted from WR to CB sophomore year (2018)</t>
  </si>
  <si>
    <t>Gladney</t>
  </si>
  <si>
    <t>Medical redshirt freshman year</t>
  </si>
  <si>
    <t>Ojemudia</t>
  </si>
  <si>
    <t>RS freshman year. Switched to from S CB after</t>
  </si>
  <si>
    <t>Dantzler</t>
  </si>
  <si>
    <t>RS freshman year.</t>
  </si>
  <si>
    <t>Robertson Amik</t>
  </si>
  <si>
    <t>Did not do physical drills at Combine</t>
  </si>
  <si>
    <t>Medical redshirt 2017</t>
  </si>
  <si>
    <t>Also played WR freshman year. Injured ankle Senior year ending season and cc</t>
  </si>
  <si>
    <t>Stantley Thomas-Oliver</t>
  </si>
  <si>
    <t>Thomas-Oliver</t>
  </si>
  <si>
    <t>Switched from WR to CB prior to Jr year</t>
  </si>
  <si>
    <t>Played WR at Coahoma CC. Switched to CB when transferred to Memphis</t>
  </si>
  <si>
    <t>BoPete Keyes</t>
  </si>
  <si>
    <t>No Combine data on Wiki</t>
  </si>
  <si>
    <t>Redshirt freshman year</t>
  </si>
  <si>
    <t>Inteded to be WR FR but missed season due to ACL tear. No combine data on wiki</t>
  </si>
  <si>
    <t>RS first year at UGA</t>
  </si>
  <si>
    <t>Benjamin St-Juste</t>
  </si>
  <si>
    <t>St-Juste</t>
  </si>
  <si>
    <t>medical RS sophomore</t>
  </si>
  <si>
    <t>Nashon Wright</t>
  </si>
  <si>
    <t>Laney College 2018 FR</t>
  </si>
  <si>
    <t>Played CB and S for drafting team</t>
  </si>
  <si>
    <t>Stephens</t>
  </si>
  <si>
    <t>Started at UCLA as RB. Transferred to SMU and made CB after 3 years at UCLA. Transitioned to S by drafting team</t>
  </si>
  <si>
    <t>Zach McPhearson</t>
  </si>
  <si>
    <t>Rochell</t>
  </si>
  <si>
    <t>RS true freshman year</t>
  </si>
  <si>
    <t>MRS all but two games of Soph</t>
  </si>
  <si>
    <t>Reginald Tre Brown</t>
  </si>
  <si>
    <t>Wade</t>
  </si>
  <si>
    <t>RS first year at OSU</t>
  </si>
  <si>
    <t>Pinn ock</t>
  </si>
  <si>
    <t>Switched to safety in rookie year</t>
  </si>
  <si>
    <t>Shemar Jean-Charles</t>
  </si>
  <si>
    <t>RS true freshman year. Switched to CB RS FR. Moved to RB in 2022</t>
  </si>
  <si>
    <t>RS as TF</t>
  </si>
  <si>
    <t>RS TF</t>
  </si>
  <si>
    <t>Safety in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</si>
</sst>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8632-A6BB-D645-A7B4-766A7F5543AC}">
  <dimension ref="A1:Q222"/>
  <sheetViews>
    <sheetView tabSelected="1" topLeftCell="J1" zoomScaleNormal="100" workbookViewId="0">
      <pane ySplit="1" topLeftCell="A2" activePane="bottomLeft" state="frozen"/>
      <selection pane="bottomLeft" activeCell="R1" sqref="R1:BG1048576"/>
    </sheetView>
  </sheetViews>
  <sheetFormatPr defaultColWidth="16.1875" defaultRowHeight="15.75" x14ac:dyDescent="0.5"/>
  <cols>
    <col min="1" max="1" width="9.3125" style="2" bestFit="1" customWidth="1"/>
    <col min="2" max="2" width="16" style="2" bestFit="1" customWidth="1"/>
    <col min="3" max="3" width="6.3125" style="2" bestFit="1" customWidth="1"/>
    <col min="4" max="4" width="11.3125" style="2" bestFit="1" customWidth="1"/>
    <col min="5" max="5" width="12" style="2" bestFit="1" customWidth="1"/>
    <col min="6" max="6" width="15.6875" style="2" bestFit="1" customWidth="1"/>
    <col min="7" max="7" width="12" style="2" bestFit="1" customWidth="1"/>
    <col min="8" max="8" width="9.6875" style="4" bestFit="1" customWidth="1"/>
    <col min="9" max="9" width="10" style="2" bestFit="1" customWidth="1"/>
    <col min="10" max="10" width="13.1875" style="4" bestFit="1" customWidth="1"/>
    <col min="11" max="11" width="13" style="4" bestFit="1" customWidth="1"/>
    <col min="12" max="12" width="12" style="6" bestFit="1" customWidth="1"/>
    <col min="13" max="13" width="13.6875" style="6" bestFit="1" customWidth="1"/>
    <col min="14" max="14" width="15.5" style="6" bestFit="1" customWidth="1"/>
    <col min="15" max="15" width="15.1875" style="8" bestFit="1" customWidth="1"/>
    <col min="16" max="16" width="13.6875" style="2" bestFit="1" customWidth="1"/>
    <col min="17" max="17" width="16.3125" style="2" bestFit="1" customWidth="1"/>
    <col min="18" max="16384" width="16.1875" style="2"/>
  </cols>
  <sheetData>
    <row r="1" spans="1:17" s="1" customFormat="1" ht="31.5" x14ac:dyDescent="0.5">
      <c r="A1" s="1" t="s">
        <v>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323</v>
      </c>
      <c r="I1" s="1" t="s">
        <v>324</v>
      </c>
      <c r="J1" s="3" t="s">
        <v>325</v>
      </c>
      <c r="K1" s="3" t="s">
        <v>326</v>
      </c>
      <c r="L1" s="5" t="s">
        <v>327</v>
      </c>
      <c r="M1" s="5" t="s">
        <v>328</v>
      </c>
      <c r="N1" s="5" t="s">
        <v>329</v>
      </c>
      <c r="O1" s="7" t="s">
        <v>330</v>
      </c>
      <c r="P1" s="1" t="s">
        <v>332</v>
      </c>
      <c r="Q1" s="1" t="s">
        <v>331</v>
      </c>
    </row>
    <row r="2" spans="1:17" x14ac:dyDescent="0.5">
      <c r="A2" s="2">
        <v>2015</v>
      </c>
      <c r="B2" s="2" t="s">
        <v>334</v>
      </c>
      <c r="C2" s="2">
        <v>1</v>
      </c>
      <c r="D2" s="2">
        <v>11</v>
      </c>
      <c r="E2" s="2" t="s">
        <v>45</v>
      </c>
      <c r="F2" s="2" t="s">
        <v>12</v>
      </c>
      <c r="G2" s="2" t="s">
        <v>375</v>
      </c>
      <c r="H2" s="4">
        <f>6*12+1/8</f>
        <v>72.125</v>
      </c>
      <c r="I2" s="2">
        <v>186</v>
      </c>
      <c r="J2" s="4">
        <v>31</v>
      </c>
      <c r="K2" s="4">
        <v>8.25</v>
      </c>
      <c r="L2" s="6">
        <v>4.3099999999999996</v>
      </c>
      <c r="M2" s="6">
        <v>4.18</v>
      </c>
      <c r="N2" s="6">
        <v>7.06</v>
      </c>
      <c r="O2" s="8">
        <v>38</v>
      </c>
      <c r="P2" s="2">
        <f>10*12+2</f>
        <v>122</v>
      </c>
      <c r="Q2" s="2">
        <v>19</v>
      </c>
    </row>
    <row r="3" spans="1:17" x14ac:dyDescent="0.5">
      <c r="A3" s="2">
        <v>2015</v>
      </c>
      <c r="B3" s="2" t="s">
        <v>62</v>
      </c>
      <c r="C3" s="2">
        <v>1</v>
      </c>
      <c r="D3" s="2">
        <v>16</v>
      </c>
      <c r="E3" s="2" t="s">
        <v>53</v>
      </c>
      <c r="F3" s="2" t="s">
        <v>63</v>
      </c>
      <c r="G3" s="2" t="s">
        <v>8</v>
      </c>
      <c r="H3" s="4">
        <f>6*12+1/4</f>
        <v>72.25</v>
      </c>
      <c r="I3" s="2">
        <v>188</v>
      </c>
      <c r="J3" s="4">
        <v>31</v>
      </c>
      <c r="K3" s="4">
        <f>8+3/8</f>
        <v>8.375</v>
      </c>
      <c r="L3" s="6">
        <v>4.5199999999999996</v>
      </c>
      <c r="M3" s="6">
        <v>3.89</v>
      </c>
      <c r="N3" s="6">
        <v>6.79</v>
      </c>
      <c r="O3" s="8">
        <v>41.5</v>
      </c>
      <c r="P3" s="2">
        <f>10*12+10</f>
        <v>130</v>
      </c>
    </row>
    <row r="4" spans="1:17" x14ac:dyDescent="0.5">
      <c r="A4" s="2">
        <v>2015</v>
      </c>
      <c r="B4" s="2" t="s">
        <v>335</v>
      </c>
      <c r="C4" s="2">
        <v>1</v>
      </c>
      <c r="D4" s="2">
        <v>18</v>
      </c>
      <c r="E4" s="2" t="s">
        <v>20</v>
      </c>
      <c r="F4" s="2" t="s">
        <v>64</v>
      </c>
      <c r="G4" s="2" t="s">
        <v>75</v>
      </c>
      <c r="H4" s="4">
        <f>5*12+11+5/8</f>
        <v>71.625</v>
      </c>
      <c r="I4" s="2">
        <v>197</v>
      </c>
      <c r="J4" s="4">
        <v>31.5</v>
      </c>
      <c r="K4" s="4">
        <f>8+3/8</f>
        <v>8.375</v>
      </c>
      <c r="L4" s="6">
        <v>4.53</v>
      </c>
      <c r="M4" s="6">
        <v>4.08</v>
      </c>
      <c r="N4" s="6">
        <v>7.08</v>
      </c>
      <c r="O4" s="8">
        <v>37.5</v>
      </c>
      <c r="P4" s="2">
        <f>10*12+1</f>
        <v>121</v>
      </c>
      <c r="Q4" s="2">
        <v>17</v>
      </c>
    </row>
    <row r="5" spans="1:17" x14ac:dyDescent="0.5">
      <c r="A5" s="2">
        <v>2015</v>
      </c>
      <c r="B5" s="2" t="s">
        <v>336</v>
      </c>
      <c r="C5" s="2">
        <v>1</v>
      </c>
      <c r="D5" s="2">
        <v>27</v>
      </c>
      <c r="E5" s="2" t="s">
        <v>59</v>
      </c>
      <c r="F5" s="2" t="s">
        <v>337</v>
      </c>
      <c r="G5" s="2" t="s">
        <v>44</v>
      </c>
      <c r="H5" s="4">
        <f>6*12+5/8</f>
        <v>72.625</v>
      </c>
      <c r="I5" s="2">
        <v>199</v>
      </c>
      <c r="J5" s="4">
        <v>32</v>
      </c>
      <c r="K5" s="4">
        <v>10</v>
      </c>
      <c r="L5" s="6">
        <v>4.43</v>
      </c>
      <c r="M5" s="6">
        <v>3.94</v>
      </c>
      <c r="N5" s="6">
        <v>6.78</v>
      </c>
      <c r="O5" s="8">
        <v>44.5</v>
      </c>
      <c r="P5" s="2">
        <f>12*12+3</f>
        <v>147</v>
      </c>
      <c r="Q5" s="2">
        <v>18</v>
      </c>
    </row>
    <row r="6" spans="1:17" x14ac:dyDescent="0.5">
      <c r="A6" s="2">
        <v>2015</v>
      </c>
      <c r="B6" s="2" t="s">
        <v>338</v>
      </c>
      <c r="C6" s="2">
        <v>2</v>
      </c>
      <c r="D6" s="2">
        <v>42</v>
      </c>
      <c r="E6" s="2" t="s">
        <v>37</v>
      </c>
      <c r="F6" s="2" t="s">
        <v>65</v>
      </c>
      <c r="G6" s="2" t="s">
        <v>23</v>
      </c>
      <c r="H6" s="4">
        <f>6*12+1+1/2</f>
        <v>73.5</v>
      </c>
      <c r="I6" s="2">
        <v>203</v>
      </c>
      <c r="J6" s="4">
        <f>32+1/8</f>
        <v>32.125</v>
      </c>
      <c r="K6" s="4">
        <f>9+3/8</f>
        <v>9.375</v>
      </c>
      <c r="L6" s="6">
        <v>4.4800000000000004</v>
      </c>
      <c r="M6" s="6">
        <v>4.2699999999999996</v>
      </c>
      <c r="N6" s="6">
        <v>6.77</v>
      </c>
      <c r="O6" s="8">
        <v>36</v>
      </c>
      <c r="P6" s="2">
        <f>10*12+4</f>
        <v>124</v>
      </c>
    </row>
    <row r="7" spans="1:17" x14ac:dyDescent="0.5">
      <c r="A7" s="2">
        <v>2015</v>
      </c>
      <c r="B7" s="2" t="s">
        <v>339</v>
      </c>
      <c r="C7" s="2">
        <v>2</v>
      </c>
      <c r="D7" s="2">
        <v>47</v>
      </c>
      <c r="E7" s="2" t="s">
        <v>21</v>
      </c>
      <c r="F7" s="2" t="s">
        <v>30</v>
      </c>
      <c r="G7" s="2" t="s">
        <v>75</v>
      </c>
      <c r="H7" s="4">
        <f>6*12+3/4</f>
        <v>72.75</v>
      </c>
      <c r="I7" s="2">
        <v>205</v>
      </c>
      <c r="J7" s="4">
        <v>31.5</v>
      </c>
      <c r="K7" s="4">
        <v>9.5</v>
      </c>
      <c r="L7" s="6">
        <v>4.45</v>
      </c>
      <c r="M7" s="6">
        <v>3.97</v>
      </c>
      <c r="N7" s="6">
        <v>6.7</v>
      </c>
      <c r="O7" s="8">
        <v>39</v>
      </c>
      <c r="P7" s="2">
        <f>10*12+5</f>
        <v>125</v>
      </c>
      <c r="Q7" s="2">
        <v>19</v>
      </c>
    </row>
    <row r="8" spans="1:17" x14ac:dyDescent="0.5">
      <c r="A8" s="2">
        <v>2015</v>
      </c>
      <c r="B8" s="2" t="s">
        <v>333</v>
      </c>
      <c r="C8" s="2">
        <v>2</v>
      </c>
      <c r="D8" s="2">
        <v>50</v>
      </c>
      <c r="E8" s="2" t="s">
        <v>26</v>
      </c>
      <c r="F8" s="2" t="s">
        <v>66</v>
      </c>
      <c r="G8" s="2" t="s">
        <v>8</v>
      </c>
      <c r="H8" s="4">
        <f>5*12+10+5/8</f>
        <v>70.625</v>
      </c>
      <c r="I8" s="2">
        <v>193</v>
      </c>
      <c r="J8" s="4">
        <f>31+1/8</f>
        <v>31.125</v>
      </c>
      <c r="K8" s="4">
        <f>8+5/8</f>
        <v>8.625</v>
      </c>
      <c r="L8" s="6">
        <v>4.38</v>
      </c>
      <c r="M8" s="6">
        <v>4.1399999999999997</v>
      </c>
      <c r="N8" s="6">
        <v>6.94</v>
      </c>
      <c r="O8" s="8">
        <v>41.5</v>
      </c>
      <c r="P8" s="2">
        <f>10*12+9</f>
        <v>129</v>
      </c>
      <c r="Q8" s="2">
        <v>15</v>
      </c>
    </row>
    <row r="9" spans="1:17" x14ac:dyDescent="0.5">
      <c r="A9" s="2">
        <v>2015</v>
      </c>
      <c r="B9" s="2" t="s">
        <v>340</v>
      </c>
      <c r="C9" s="2">
        <v>2</v>
      </c>
      <c r="D9" s="2">
        <v>56</v>
      </c>
      <c r="E9" s="2" t="s">
        <v>41</v>
      </c>
      <c r="F9" s="2" t="s">
        <v>67</v>
      </c>
      <c r="G9" s="2" t="s">
        <v>23</v>
      </c>
      <c r="H9" s="4">
        <f>5*12+9</f>
        <v>69</v>
      </c>
      <c r="I9" s="2">
        <v>176</v>
      </c>
      <c r="J9" s="4">
        <v>29.75</v>
      </c>
      <c r="K9" s="4">
        <f>9+3/8</f>
        <v>9.375</v>
      </c>
      <c r="L9" s="6">
        <v>4.46</v>
      </c>
      <c r="M9" s="6">
        <v>4.2</v>
      </c>
      <c r="N9" s="6">
        <v>6.81</v>
      </c>
      <c r="O9" s="8">
        <v>33.5</v>
      </c>
      <c r="P9" s="2">
        <v>120</v>
      </c>
      <c r="Q9" s="2">
        <v>15</v>
      </c>
    </row>
    <row r="10" spans="1:17" x14ac:dyDescent="0.5">
      <c r="A10" s="2">
        <v>2015</v>
      </c>
      <c r="B10" s="2" t="s">
        <v>68</v>
      </c>
      <c r="C10" s="2">
        <v>2</v>
      </c>
      <c r="D10" s="2">
        <v>62</v>
      </c>
      <c r="E10" s="2" t="s">
        <v>51</v>
      </c>
      <c r="F10" s="2" t="s">
        <v>69</v>
      </c>
      <c r="G10" s="2" t="s">
        <v>55</v>
      </c>
      <c r="H10" s="4">
        <f>5*12+11+1/8</f>
        <v>71.125</v>
      </c>
      <c r="I10" s="2">
        <v>195</v>
      </c>
      <c r="J10" s="4">
        <v>30.25</v>
      </c>
      <c r="K10" s="4">
        <v>9</v>
      </c>
      <c r="L10" s="6">
        <v>4.57</v>
      </c>
      <c r="M10" s="6">
        <v>4.28</v>
      </c>
      <c r="N10" s="6">
        <v>7.1</v>
      </c>
      <c r="O10" s="8">
        <v>36.5</v>
      </c>
      <c r="P10" s="2">
        <v>122</v>
      </c>
      <c r="Q10" s="2">
        <v>14</v>
      </c>
    </row>
    <row r="11" spans="1:17" x14ac:dyDescent="0.5">
      <c r="A11" s="2">
        <v>2015</v>
      </c>
      <c r="B11" s="2" t="s">
        <v>341</v>
      </c>
      <c r="C11" s="2">
        <v>3</v>
      </c>
      <c r="D11" s="2">
        <v>65</v>
      </c>
      <c r="E11" s="2" t="s">
        <v>70</v>
      </c>
      <c r="F11" s="2" t="s">
        <v>342</v>
      </c>
      <c r="G11" s="2" t="s">
        <v>19</v>
      </c>
      <c r="H11" s="4">
        <f>5*12+10</f>
        <v>70</v>
      </c>
      <c r="I11" s="2">
        <v>187</v>
      </c>
      <c r="J11" s="4">
        <f>30+3/8</f>
        <v>30.375</v>
      </c>
      <c r="K11" s="4">
        <f>8+1/8</f>
        <v>8.125</v>
      </c>
      <c r="L11" s="6">
        <v>4.45</v>
      </c>
      <c r="M11" s="6">
        <v>4.26</v>
      </c>
      <c r="N11" s="6">
        <v>6.96</v>
      </c>
      <c r="O11" s="8">
        <v>36</v>
      </c>
      <c r="P11" s="2">
        <v>124</v>
      </c>
      <c r="Q11" s="2">
        <v>18</v>
      </c>
    </row>
    <row r="12" spans="1:17" x14ac:dyDescent="0.5">
      <c r="A12" s="2">
        <v>2015</v>
      </c>
      <c r="B12" s="2" t="s">
        <v>71</v>
      </c>
      <c r="C12" s="2">
        <v>3</v>
      </c>
      <c r="D12" s="2">
        <v>78</v>
      </c>
      <c r="E12" s="2" t="s">
        <v>17</v>
      </c>
      <c r="F12" s="2" t="s">
        <v>66</v>
      </c>
      <c r="G12" s="2" t="s">
        <v>8</v>
      </c>
      <c r="H12" s="4">
        <f>6*12</f>
        <v>72</v>
      </c>
      <c r="I12" s="2">
        <v>194</v>
      </c>
      <c r="J12" s="4">
        <v>31</v>
      </c>
      <c r="K12" s="4">
        <f>8+5/8</f>
        <v>8.625</v>
      </c>
      <c r="L12" s="6">
        <v>4.57</v>
      </c>
      <c r="M12" s="6">
        <v>4.28</v>
      </c>
      <c r="N12" s="6">
        <v>7.08</v>
      </c>
      <c r="O12" s="8">
        <v>40</v>
      </c>
      <c r="P12" s="2">
        <f>11*12</f>
        <v>132</v>
      </c>
      <c r="Q12" s="2">
        <v>12</v>
      </c>
    </row>
    <row r="13" spans="1:17" x14ac:dyDescent="0.5">
      <c r="A13" s="2">
        <v>2015</v>
      </c>
      <c r="B13" s="2" t="s">
        <v>343</v>
      </c>
      <c r="C13" s="2">
        <v>3</v>
      </c>
      <c r="D13" s="2">
        <v>80</v>
      </c>
      <c r="E13" s="2" t="s">
        <v>35</v>
      </c>
      <c r="F13" s="2" t="s">
        <v>292</v>
      </c>
      <c r="G13" s="2" t="s">
        <v>75</v>
      </c>
      <c r="H13" s="4">
        <v>72</v>
      </c>
      <c r="I13" s="2">
        <v>196</v>
      </c>
      <c r="J13" s="4">
        <f>32+1/8</f>
        <v>32.125</v>
      </c>
      <c r="K13" s="4">
        <f>9+1/8</f>
        <v>9.125</v>
      </c>
      <c r="L13" s="6">
        <v>4.51</v>
      </c>
      <c r="M13" s="6">
        <v>4.07</v>
      </c>
      <c r="N13" s="6">
        <v>7.05</v>
      </c>
      <c r="O13" s="8">
        <v>40</v>
      </c>
      <c r="P13" s="2">
        <f>10*12+1</f>
        <v>121</v>
      </c>
      <c r="Q13" s="2">
        <v>17</v>
      </c>
    </row>
    <row r="14" spans="1:17" x14ac:dyDescent="0.5">
      <c r="A14" s="2">
        <v>2015</v>
      </c>
      <c r="B14" s="2" t="s">
        <v>344</v>
      </c>
      <c r="C14" s="2">
        <v>3</v>
      </c>
      <c r="D14" s="2">
        <v>83</v>
      </c>
      <c r="E14" s="2" t="s">
        <v>13</v>
      </c>
      <c r="F14" s="2" t="s">
        <v>345</v>
      </c>
      <c r="G14" s="2" t="s">
        <v>72</v>
      </c>
      <c r="H14" s="4">
        <f>5*12+11.5</f>
        <v>71.5</v>
      </c>
      <c r="I14" s="2">
        <v>201</v>
      </c>
      <c r="J14" s="4">
        <f>29+3/4</f>
        <v>29.75</v>
      </c>
      <c r="K14" s="4">
        <v>9.25</v>
      </c>
      <c r="L14" s="6">
        <v>4.4400000000000004</v>
      </c>
      <c r="M14" s="6">
        <v>4.07</v>
      </c>
      <c r="N14" s="6">
        <v>6.83</v>
      </c>
      <c r="O14" s="8">
        <v>38</v>
      </c>
      <c r="P14" s="2">
        <f>12*10+10</f>
        <v>130</v>
      </c>
      <c r="Q14" s="2">
        <v>17</v>
      </c>
    </row>
    <row r="15" spans="1:17" x14ac:dyDescent="0.5">
      <c r="A15" s="2">
        <v>2015</v>
      </c>
      <c r="B15" s="2" t="s">
        <v>73</v>
      </c>
      <c r="C15" s="2">
        <v>3</v>
      </c>
      <c r="D15" s="2">
        <v>98</v>
      </c>
      <c r="E15" s="2" t="s">
        <v>20</v>
      </c>
      <c r="F15" s="2" t="s">
        <v>74</v>
      </c>
      <c r="G15" s="2" t="s">
        <v>75</v>
      </c>
      <c r="H15" s="4">
        <f>5*12+10+1/8</f>
        <v>70.125</v>
      </c>
      <c r="I15" s="2">
        <v>197</v>
      </c>
      <c r="J15" s="4">
        <f>30+5/8</f>
        <v>30.625</v>
      </c>
      <c r="K15" s="4">
        <v>9.25</v>
      </c>
      <c r="L15" s="6">
        <v>4.46</v>
      </c>
      <c r="M15" s="6">
        <v>4.07</v>
      </c>
      <c r="N15" s="6">
        <v>6.88</v>
      </c>
      <c r="O15" s="8">
        <v>34.5</v>
      </c>
      <c r="P15" s="2">
        <f>9*12+7</f>
        <v>115</v>
      </c>
      <c r="Q15" s="2">
        <v>19</v>
      </c>
    </row>
    <row r="16" spans="1:17" x14ac:dyDescent="0.5">
      <c r="A16" s="2">
        <v>2015</v>
      </c>
      <c r="B16" s="2" t="s">
        <v>76</v>
      </c>
      <c r="C16" s="2">
        <v>4</v>
      </c>
      <c r="D16" s="2">
        <v>120</v>
      </c>
      <c r="E16" s="2" t="s">
        <v>11</v>
      </c>
      <c r="F16" s="2" t="s">
        <v>77</v>
      </c>
      <c r="G16" s="2" t="s">
        <v>75</v>
      </c>
      <c r="H16" s="4">
        <f>6*12+1/2</f>
        <v>72.5</v>
      </c>
      <c r="I16" s="2">
        <v>201</v>
      </c>
      <c r="J16" s="4">
        <v>30.75</v>
      </c>
      <c r="K16" s="4">
        <v>9</v>
      </c>
      <c r="L16" s="6">
        <v>4.4400000000000004</v>
      </c>
      <c r="M16" s="6">
        <v>4.12</v>
      </c>
      <c r="N16" s="6">
        <v>7.01</v>
      </c>
      <c r="O16" s="8">
        <v>37.5</v>
      </c>
      <c r="P16" s="2">
        <f>10*12+10</f>
        <v>130</v>
      </c>
      <c r="Q16" s="2">
        <v>26</v>
      </c>
    </row>
    <row r="17" spans="1:17" x14ac:dyDescent="0.5">
      <c r="A17" s="2">
        <v>2015</v>
      </c>
      <c r="B17" s="2" t="s">
        <v>346</v>
      </c>
      <c r="C17" s="2">
        <v>4</v>
      </c>
      <c r="D17" s="2">
        <v>121</v>
      </c>
      <c r="E17" s="2" t="s">
        <v>41</v>
      </c>
      <c r="F17" s="2" t="s">
        <v>16</v>
      </c>
      <c r="G17" s="2" t="s">
        <v>375</v>
      </c>
      <c r="H17" s="4">
        <f>5*12+1/4</f>
        <v>60.25</v>
      </c>
      <c r="I17" s="2">
        <v>200</v>
      </c>
      <c r="J17" s="4">
        <f>30+1/4</f>
        <v>30.25</v>
      </c>
      <c r="K17" s="4">
        <f>9+3/8</f>
        <v>9.375</v>
      </c>
      <c r="L17" s="6">
        <v>4.4400000000000004</v>
      </c>
      <c r="M17" s="6">
        <v>4.1900000000000004</v>
      </c>
      <c r="N17" s="6">
        <v>7.09</v>
      </c>
      <c r="O17" s="8">
        <v>35.5</v>
      </c>
      <c r="P17" s="2">
        <f>10*12+5</f>
        <v>125</v>
      </c>
      <c r="Q17" s="2">
        <v>21</v>
      </c>
    </row>
    <row r="18" spans="1:17" x14ac:dyDescent="0.5">
      <c r="A18" s="2">
        <v>2015</v>
      </c>
      <c r="B18" s="2" t="s">
        <v>347</v>
      </c>
      <c r="C18" s="2">
        <v>4</v>
      </c>
      <c r="D18" s="2">
        <v>136</v>
      </c>
      <c r="E18" s="2" t="s">
        <v>78</v>
      </c>
      <c r="F18" s="2" t="s">
        <v>349</v>
      </c>
      <c r="G18" s="2" t="s">
        <v>350</v>
      </c>
    </row>
    <row r="19" spans="1:17" x14ac:dyDescent="0.5">
      <c r="A19" s="2">
        <v>2015</v>
      </c>
      <c r="B19" s="2" t="s">
        <v>348</v>
      </c>
      <c r="C19" s="2">
        <v>5</v>
      </c>
      <c r="D19" s="2">
        <v>145</v>
      </c>
      <c r="E19" s="2" t="s">
        <v>31</v>
      </c>
      <c r="F19" s="2" t="s">
        <v>79</v>
      </c>
      <c r="G19" s="2" t="s">
        <v>44</v>
      </c>
      <c r="H19" s="4">
        <f>5*12+9.5</f>
        <v>69.5</v>
      </c>
      <c r="I19" s="2">
        <v>195</v>
      </c>
      <c r="J19" s="4">
        <v>30.5</v>
      </c>
      <c r="K19" s="4">
        <v>9</v>
      </c>
      <c r="L19" s="6">
        <v>4.51</v>
      </c>
      <c r="M19" s="6">
        <v>3.82</v>
      </c>
      <c r="N19" s="6">
        <v>6.8</v>
      </c>
      <c r="O19" s="8">
        <v>36</v>
      </c>
      <c r="P19" s="2">
        <v>130</v>
      </c>
      <c r="Q19" s="2">
        <v>17</v>
      </c>
    </row>
    <row r="20" spans="1:17" x14ac:dyDescent="0.5">
      <c r="A20" s="2">
        <v>2015</v>
      </c>
      <c r="B20" s="2" t="s">
        <v>352</v>
      </c>
      <c r="C20" s="2">
        <v>5</v>
      </c>
      <c r="D20" s="2">
        <v>164</v>
      </c>
      <c r="E20" s="2" t="s">
        <v>15</v>
      </c>
      <c r="F20" s="2" t="s">
        <v>80</v>
      </c>
      <c r="G20" s="2" t="s">
        <v>44</v>
      </c>
      <c r="H20" s="4">
        <f>5*12+10</f>
        <v>70</v>
      </c>
      <c r="I20" s="2">
        <v>182</v>
      </c>
      <c r="J20" s="4">
        <f>29.75</f>
        <v>29.75</v>
      </c>
      <c r="K20" s="4">
        <v>9</v>
      </c>
      <c r="L20" s="6">
        <v>4.5</v>
      </c>
      <c r="M20" s="6">
        <v>4.26</v>
      </c>
      <c r="N20" s="6">
        <v>7.2</v>
      </c>
      <c r="O20" s="8">
        <v>33.5</v>
      </c>
      <c r="P20" s="2">
        <f>9*12+7</f>
        <v>115</v>
      </c>
      <c r="Q20" s="2">
        <v>9</v>
      </c>
    </row>
    <row r="21" spans="1:17" x14ac:dyDescent="0.5">
      <c r="A21" s="2">
        <v>2015</v>
      </c>
      <c r="B21" s="2" t="s">
        <v>351</v>
      </c>
      <c r="C21" s="2">
        <v>5</v>
      </c>
      <c r="D21" s="2">
        <v>167</v>
      </c>
      <c r="E21" s="2" t="s">
        <v>17</v>
      </c>
      <c r="F21" s="2" t="s">
        <v>81</v>
      </c>
      <c r="G21" s="2" t="s">
        <v>23</v>
      </c>
      <c r="H21" s="4">
        <f>6*12</f>
        <v>72</v>
      </c>
      <c r="I21" s="2">
        <v>189</v>
      </c>
      <c r="J21" s="4">
        <v>31</v>
      </c>
      <c r="K21" s="4">
        <f>8+7/8</f>
        <v>8.875</v>
      </c>
      <c r="L21" s="6">
        <v>4.5</v>
      </c>
      <c r="O21" s="8">
        <v>33</v>
      </c>
      <c r="P21" s="2">
        <f>9*12+10</f>
        <v>118</v>
      </c>
    </row>
    <row r="22" spans="1:17" x14ac:dyDescent="0.5">
      <c r="A22" s="2">
        <v>2015</v>
      </c>
      <c r="B22" s="2" t="s">
        <v>353</v>
      </c>
      <c r="C22" s="2">
        <v>5</v>
      </c>
      <c r="D22" s="2">
        <v>170</v>
      </c>
      <c r="E22" s="2" t="s">
        <v>82</v>
      </c>
      <c r="F22" s="2" t="s">
        <v>354</v>
      </c>
      <c r="G22" s="2" t="s">
        <v>46</v>
      </c>
      <c r="H22" s="4">
        <f>6*12+1/8</f>
        <v>72.125</v>
      </c>
      <c r="I22" s="2">
        <v>195</v>
      </c>
      <c r="J22" s="4">
        <v>32</v>
      </c>
      <c r="K22" s="4">
        <v>8.75</v>
      </c>
      <c r="L22" s="6">
        <v>4.5999999999999996</v>
      </c>
      <c r="M22" s="6">
        <v>3.96</v>
      </c>
      <c r="N22" s="6">
        <v>6.97</v>
      </c>
      <c r="O22" s="8">
        <v>36.5</v>
      </c>
      <c r="P22" s="2">
        <f>10*12+4</f>
        <v>124</v>
      </c>
      <c r="Q22" s="2">
        <v>15</v>
      </c>
    </row>
    <row r="23" spans="1:17" x14ac:dyDescent="0.5">
      <c r="A23" s="2">
        <v>2015</v>
      </c>
      <c r="B23" s="2" t="s">
        <v>355</v>
      </c>
      <c r="C23" s="2">
        <v>6</v>
      </c>
      <c r="D23" s="2">
        <v>182</v>
      </c>
      <c r="E23" s="2" t="s">
        <v>24</v>
      </c>
      <c r="F23" s="2" t="s">
        <v>356</v>
      </c>
      <c r="G23" s="2" t="s">
        <v>23</v>
      </c>
      <c r="H23" s="4">
        <f>6*12</f>
        <v>72</v>
      </c>
      <c r="I23" s="2">
        <v>190</v>
      </c>
      <c r="L23" s="6">
        <v>4.5199999999999996</v>
      </c>
    </row>
    <row r="24" spans="1:17" x14ac:dyDescent="0.5">
      <c r="A24" s="2">
        <v>2015</v>
      </c>
      <c r="B24" s="2" t="s">
        <v>357</v>
      </c>
      <c r="C24" s="2">
        <v>6</v>
      </c>
      <c r="D24" s="2">
        <v>189</v>
      </c>
      <c r="E24" s="2" t="s">
        <v>9</v>
      </c>
      <c r="F24" s="2" t="s">
        <v>83</v>
      </c>
      <c r="G24" s="2" t="s">
        <v>8</v>
      </c>
      <c r="H24" s="4">
        <f>5*12+10</f>
        <v>70</v>
      </c>
      <c r="I24" s="2">
        <v>180</v>
      </c>
      <c r="J24" s="4">
        <f>31+3/8</f>
        <v>31.375</v>
      </c>
      <c r="K24" s="4">
        <f>8.75</f>
        <v>8.75</v>
      </c>
      <c r="L24" s="6">
        <v>4.4400000000000004</v>
      </c>
      <c r="M24" s="6">
        <v>4.2</v>
      </c>
      <c r="N24" s="6">
        <v>7.07</v>
      </c>
      <c r="O24" s="8">
        <v>34.5</v>
      </c>
      <c r="P24" s="2">
        <v>123</v>
      </c>
    </row>
    <row r="25" spans="1:17" x14ac:dyDescent="0.5">
      <c r="A25" s="2">
        <v>2015</v>
      </c>
      <c r="B25" s="2" t="s">
        <v>358</v>
      </c>
      <c r="C25" s="2">
        <v>6</v>
      </c>
      <c r="D25" s="2">
        <v>191</v>
      </c>
      <c r="E25" s="2" t="s">
        <v>21</v>
      </c>
      <c r="F25" s="2" t="s">
        <v>359</v>
      </c>
      <c r="G25" s="2" t="s">
        <v>376</v>
      </c>
      <c r="H25" s="4">
        <f>5*12+11</f>
        <v>71</v>
      </c>
      <c r="I25" s="2">
        <v>199</v>
      </c>
      <c r="J25" s="4">
        <f>30+5/8</f>
        <v>30.625</v>
      </c>
      <c r="K25" s="4">
        <f>8+5/8</f>
        <v>8.625</v>
      </c>
      <c r="Q25" s="2">
        <v>14</v>
      </c>
    </row>
    <row r="26" spans="1:17" x14ac:dyDescent="0.5">
      <c r="A26" s="2">
        <v>2015</v>
      </c>
      <c r="B26" s="2" t="s">
        <v>360</v>
      </c>
      <c r="C26" s="2">
        <v>6</v>
      </c>
      <c r="D26" s="2">
        <v>196</v>
      </c>
      <c r="E26" s="2" t="s">
        <v>21</v>
      </c>
      <c r="F26" s="2" t="s">
        <v>84</v>
      </c>
      <c r="G26" s="2" t="s">
        <v>376</v>
      </c>
      <c r="H26" s="4">
        <v>72</v>
      </c>
      <c r="I26" s="2">
        <v>190</v>
      </c>
    </row>
    <row r="27" spans="1:17" x14ac:dyDescent="0.5">
      <c r="A27" s="2">
        <v>2015</v>
      </c>
      <c r="B27" s="2" t="s">
        <v>361</v>
      </c>
      <c r="C27" s="2">
        <v>7</v>
      </c>
      <c r="D27" s="2">
        <v>241</v>
      </c>
      <c r="E27" s="2" t="s">
        <v>9</v>
      </c>
      <c r="F27" s="2" t="s">
        <v>60</v>
      </c>
      <c r="G27" s="2" t="s">
        <v>75</v>
      </c>
      <c r="H27" s="4">
        <f>5*12+9</f>
        <v>69</v>
      </c>
      <c r="I27" s="2">
        <v>192</v>
      </c>
      <c r="J27" s="4">
        <f>30+7/8</f>
        <v>30.875</v>
      </c>
      <c r="K27" s="4">
        <f>9+5/8</f>
        <v>9.625</v>
      </c>
    </row>
    <row r="28" spans="1:17" x14ac:dyDescent="0.5">
      <c r="A28" s="2">
        <v>2015</v>
      </c>
      <c r="B28" s="2" t="s">
        <v>362</v>
      </c>
      <c r="C28" s="2">
        <v>7</v>
      </c>
      <c r="D28" s="2">
        <v>242</v>
      </c>
      <c r="E28" s="2" t="s">
        <v>29</v>
      </c>
      <c r="F28" s="2" t="s">
        <v>359</v>
      </c>
      <c r="G28" s="2" t="s">
        <v>376</v>
      </c>
      <c r="H28" s="4">
        <f>6*12+1</f>
        <v>73</v>
      </c>
      <c r="I28" s="2">
        <v>201</v>
      </c>
      <c r="L28" s="6">
        <v>4.37</v>
      </c>
      <c r="M28" s="6">
        <v>4.5599999999999996</v>
      </c>
      <c r="N28" s="6">
        <v>6.96</v>
      </c>
      <c r="O28" s="8">
        <v>40.5</v>
      </c>
      <c r="P28" s="2">
        <f>11*12+2</f>
        <v>134</v>
      </c>
      <c r="Q28" s="2">
        <v>10</v>
      </c>
    </row>
    <row r="29" spans="1:17" x14ac:dyDescent="0.5">
      <c r="A29" s="2">
        <v>2015</v>
      </c>
      <c r="B29" s="2" t="s">
        <v>363</v>
      </c>
      <c r="C29" s="2">
        <v>7</v>
      </c>
      <c r="D29" s="2">
        <v>247</v>
      </c>
      <c r="E29" s="2" t="s">
        <v>85</v>
      </c>
      <c r="F29" s="2" t="s">
        <v>86</v>
      </c>
      <c r="G29" s="2" t="s">
        <v>19</v>
      </c>
      <c r="H29" s="4">
        <f>5*12+11</f>
        <v>71</v>
      </c>
      <c r="I29" s="2">
        <v>187</v>
      </c>
      <c r="J29" s="4">
        <f>30+5/8</f>
        <v>30.625</v>
      </c>
      <c r="K29" s="4">
        <f>9+1/8</f>
        <v>9.125</v>
      </c>
      <c r="L29" s="6">
        <v>4.38</v>
      </c>
      <c r="M29" s="6">
        <v>4.0599999999999996</v>
      </c>
      <c r="N29" s="6">
        <v>6.66</v>
      </c>
      <c r="O29" s="8">
        <v>39</v>
      </c>
      <c r="P29" s="2">
        <f>11*12+1</f>
        <v>133</v>
      </c>
      <c r="Q29" s="2">
        <v>23</v>
      </c>
    </row>
    <row r="30" spans="1:17" x14ac:dyDescent="0.5">
      <c r="A30" s="2">
        <v>2015</v>
      </c>
      <c r="B30" s="2" t="s">
        <v>364</v>
      </c>
      <c r="C30" s="2">
        <v>7</v>
      </c>
      <c r="D30" s="2">
        <v>249</v>
      </c>
      <c r="E30" s="2" t="s">
        <v>37</v>
      </c>
      <c r="F30" s="2" t="s">
        <v>40</v>
      </c>
      <c r="G30" s="2" t="s">
        <v>36</v>
      </c>
      <c r="H30" s="4">
        <f>6*12+1.5</f>
        <v>73.5</v>
      </c>
      <c r="I30" s="2">
        <v>215</v>
      </c>
      <c r="L30" s="6">
        <v>4.41</v>
      </c>
      <c r="M30" s="6">
        <v>4.38</v>
      </c>
      <c r="N30" s="6">
        <v>7.08</v>
      </c>
      <c r="O30" s="8">
        <v>37.5</v>
      </c>
      <c r="P30" s="2">
        <f>10*12+2</f>
        <v>122</v>
      </c>
      <c r="Q30" s="2">
        <v>20</v>
      </c>
    </row>
    <row r="31" spans="1:17" x14ac:dyDescent="0.5">
      <c r="A31" s="2">
        <v>2015</v>
      </c>
      <c r="B31" s="2" t="s">
        <v>365</v>
      </c>
      <c r="C31" s="2">
        <v>7</v>
      </c>
      <c r="D31" s="2">
        <v>251</v>
      </c>
      <c r="E31" s="2" t="s">
        <v>15</v>
      </c>
      <c r="F31" s="2" t="s">
        <v>80</v>
      </c>
      <c r="G31" s="2" t="s">
        <v>44</v>
      </c>
    </row>
    <row r="32" spans="1:17" x14ac:dyDescent="0.5">
      <c r="A32" s="2">
        <v>2016</v>
      </c>
      <c r="B32" s="2" t="s">
        <v>87</v>
      </c>
      <c r="C32" s="2">
        <v>1</v>
      </c>
      <c r="D32" s="2">
        <v>5</v>
      </c>
      <c r="E32" s="2" t="s">
        <v>28</v>
      </c>
      <c r="F32" s="2" t="s">
        <v>66</v>
      </c>
      <c r="G32" s="2" t="s">
        <v>8</v>
      </c>
      <c r="H32" s="4">
        <f>6*12+1.25</f>
        <v>73.25</v>
      </c>
      <c r="I32" s="2">
        <v>209</v>
      </c>
      <c r="J32" s="4">
        <f>33+3/8</f>
        <v>33.375</v>
      </c>
      <c r="K32" s="4">
        <v>9.5</v>
      </c>
      <c r="L32" s="6">
        <v>4.41</v>
      </c>
      <c r="M32" s="6">
        <v>4.18</v>
      </c>
      <c r="N32" s="6">
        <v>6.94</v>
      </c>
      <c r="O32" s="8">
        <v>41.5</v>
      </c>
      <c r="P32" s="2">
        <f>11*12+3</f>
        <v>135</v>
      </c>
      <c r="Q32" s="2">
        <v>14</v>
      </c>
    </row>
    <row r="33" spans="1:17" x14ac:dyDescent="0.5">
      <c r="A33" s="2">
        <v>2016</v>
      </c>
      <c r="B33" s="2" t="s">
        <v>88</v>
      </c>
      <c r="C33" s="2">
        <v>1</v>
      </c>
      <c r="D33" s="2">
        <v>10</v>
      </c>
      <c r="E33" s="2" t="s">
        <v>47</v>
      </c>
      <c r="F33" s="2" t="s">
        <v>16</v>
      </c>
      <c r="G33" s="2" t="s">
        <v>375</v>
      </c>
      <c r="H33" s="4">
        <f>6*12+5/8</f>
        <v>72.625</v>
      </c>
      <c r="I33" s="2">
        <v>199</v>
      </c>
      <c r="J33" s="4">
        <f>31+3/8</f>
        <v>31.375</v>
      </c>
      <c r="K33" s="4">
        <f>9+3/8</f>
        <v>9.375</v>
      </c>
      <c r="L33" s="6">
        <v>4.4000000000000004</v>
      </c>
      <c r="M33" s="6">
        <v>4.08</v>
      </c>
      <c r="N33" s="6">
        <v>7</v>
      </c>
      <c r="Q33" s="2">
        <v>13</v>
      </c>
    </row>
    <row r="34" spans="1:17" x14ac:dyDescent="0.5">
      <c r="A34" s="2">
        <v>2016</v>
      </c>
      <c r="B34" s="2" t="s">
        <v>89</v>
      </c>
      <c r="C34" s="2">
        <v>1</v>
      </c>
      <c r="D34" s="2">
        <v>11</v>
      </c>
      <c r="E34" s="2" t="s">
        <v>90</v>
      </c>
      <c r="F34" s="2" t="s">
        <v>22</v>
      </c>
      <c r="G34" s="2" t="s">
        <v>23</v>
      </c>
      <c r="H34" s="4">
        <f>5*12+10.5</f>
        <v>70.5</v>
      </c>
      <c r="I34" s="2">
        <v>204</v>
      </c>
      <c r="J34" s="4">
        <f>30+5/8</f>
        <v>30.625</v>
      </c>
      <c r="K34" s="4">
        <v>8.75</v>
      </c>
      <c r="L34" s="6">
        <v>4.5</v>
      </c>
      <c r="M34" s="6">
        <v>3.98</v>
      </c>
      <c r="O34" s="8">
        <v>39</v>
      </c>
      <c r="P34" s="2">
        <v>130</v>
      </c>
      <c r="Q34" s="2">
        <v>15</v>
      </c>
    </row>
    <row r="35" spans="1:17" x14ac:dyDescent="0.5">
      <c r="A35" s="2">
        <v>2016</v>
      </c>
      <c r="B35" s="2" t="s">
        <v>91</v>
      </c>
      <c r="C35" s="2">
        <v>1</v>
      </c>
      <c r="D35" s="2">
        <v>24</v>
      </c>
      <c r="E35" s="2" t="s">
        <v>11</v>
      </c>
      <c r="F35" s="2" t="s">
        <v>92</v>
      </c>
      <c r="G35" s="2" t="s">
        <v>44</v>
      </c>
      <c r="H35" s="4">
        <f>6*12+3/8</f>
        <v>72.375</v>
      </c>
      <c r="I35" s="2">
        <v>189</v>
      </c>
      <c r="J35" s="4">
        <v>31.75</v>
      </c>
      <c r="K35" s="4">
        <v>9.25</v>
      </c>
      <c r="L35" s="6">
        <v>4.37</v>
      </c>
      <c r="M35" s="6">
        <v>4.32</v>
      </c>
      <c r="N35" s="6">
        <v>6.86</v>
      </c>
      <c r="P35" s="2">
        <f>9*12+8</f>
        <v>116</v>
      </c>
      <c r="Q35" s="2">
        <v>10</v>
      </c>
    </row>
    <row r="36" spans="1:17" x14ac:dyDescent="0.5">
      <c r="A36" s="2">
        <v>2016</v>
      </c>
      <c r="B36" s="2" t="s">
        <v>93</v>
      </c>
      <c r="C36" s="2">
        <v>1</v>
      </c>
      <c r="D36" s="2">
        <v>25</v>
      </c>
      <c r="E36" s="2" t="s">
        <v>41</v>
      </c>
      <c r="F36" s="2" t="s">
        <v>94</v>
      </c>
      <c r="G36" s="2" t="s">
        <v>8</v>
      </c>
      <c r="H36" s="4">
        <f>5*12+11+7/8</f>
        <v>71.875</v>
      </c>
      <c r="I36" s="2">
        <v>193</v>
      </c>
      <c r="J36" s="4">
        <v>33.25</v>
      </c>
      <c r="K36" s="4">
        <v>9.5</v>
      </c>
      <c r="L36" s="6">
        <v>4.46</v>
      </c>
      <c r="M36" s="6">
        <v>4.33</v>
      </c>
      <c r="N36" s="6">
        <v>6.96</v>
      </c>
      <c r="O36" s="8">
        <v>33</v>
      </c>
      <c r="P36" s="2">
        <f>10*12+4</f>
        <v>124</v>
      </c>
      <c r="Q36" s="2">
        <v>7</v>
      </c>
    </row>
    <row r="37" spans="1:17" x14ac:dyDescent="0.5">
      <c r="A37" s="2">
        <v>2016</v>
      </c>
      <c r="B37" s="2" t="s">
        <v>95</v>
      </c>
      <c r="C37" s="2">
        <v>2</v>
      </c>
      <c r="D37" s="2">
        <v>38</v>
      </c>
      <c r="E37" s="2" t="s">
        <v>31</v>
      </c>
      <c r="F37" s="2" t="s">
        <v>52</v>
      </c>
      <c r="G37" s="2" t="s">
        <v>376</v>
      </c>
      <c r="H37" s="4">
        <f>6*12+1/8</f>
        <v>72.125</v>
      </c>
      <c r="I37" s="2">
        <v>201</v>
      </c>
      <c r="J37" s="4">
        <v>31.25</v>
      </c>
      <c r="K37" s="4">
        <f>9+1/8</f>
        <v>9.125</v>
      </c>
      <c r="L37" s="6">
        <v>4.4400000000000004</v>
      </c>
      <c r="M37" s="6">
        <v>4.1500000000000004</v>
      </c>
      <c r="N37" s="6">
        <v>6.91</v>
      </c>
      <c r="O37" s="8">
        <v>38.5</v>
      </c>
      <c r="P37" s="2">
        <f>10*12+5</f>
        <v>125</v>
      </c>
      <c r="Q37" s="2">
        <v>11</v>
      </c>
    </row>
    <row r="38" spans="1:17" ht="31.5" x14ac:dyDescent="0.5">
      <c r="A38" s="2">
        <v>2016</v>
      </c>
      <c r="B38" s="2" t="s">
        <v>96</v>
      </c>
      <c r="C38" s="2">
        <v>2</v>
      </c>
      <c r="D38" s="2">
        <v>54</v>
      </c>
      <c r="E38" s="2" t="s">
        <v>45</v>
      </c>
      <c r="F38" s="2" t="s">
        <v>25</v>
      </c>
      <c r="G38" s="2" t="s">
        <v>8</v>
      </c>
      <c r="H38" s="4">
        <f>5*12+10+3/8</f>
        <v>70.375</v>
      </c>
      <c r="I38" s="2">
        <v>190</v>
      </c>
      <c r="J38" s="4">
        <f>31+3/8</f>
        <v>31.375</v>
      </c>
      <c r="K38" s="4">
        <f>9+1/8</f>
        <v>9.125</v>
      </c>
      <c r="L38" s="6">
        <v>4.47</v>
      </c>
      <c r="M38" s="6">
        <v>4.21</v>
      </c>
      <c r="N38" s="6">
        <v>7.18</v>
      </c>
      <c r="O38" s="8">
        <v>37.5</v>
      </c>
      <c r="P38" s="2">
        <f>10*12+1</f>
        <v>121</v>
      </c>
      <c r="Q38" s="2">
        <v>11</v>
      </c>
    </row>
    <row r="39" spans="1:17" x14ac:dyDescent="0.5">
      <c r="A39" s="2">
        <v>2016</v>
      </c>
      <c r="B39" s="2" t="s">
        <v>366</v>
      </c>
      <c r="C39" s="2">
        <v>2</v>
      </c>
      <c r="D39" s="2">
        <v>57</v>
      </c>
      <c r="E39" s="2" t="s">
        <v>70</v>
      </c>
      <c r="F39" s="2" t="s">
        <v>25</v>
      </c>
      <c r="G39" s="2" t="s">
        <v>8</v>
      </c>
    </row>
    <row r="40" spans="1:17" x14ac:dyDescent="0.5">
      <c r="A40" s="2">
        <v>2016</v>
      </c>
      <c r="B40" s="2" t="s">
        <v>97</v>
      </c>
      <c r="C40" s="2">
        <v>2</v>
      </c>
      <c r="D40" s="2">
        <v>60</v>
      </c>
      <c r="E40" s="2" t="s">
        <v>85</v>
      </c>
      <c r="F40" s="2" t="s">
        <v>98</v>
      </c>
      <c r="G40" s="2" t="s">
        <v>23</v>
      </c>
      <c r="H40" s="4">
        <f>5*12+9+7/8</f>
        <v>69.875</v>
      </c>
      <c r="I40" s="2">
        <v>197</v>
      </c>
      <c r="J40" s="4">
        <f>31+3/8</f>
        <v>31.375</v>
      </c>
      <c r="K40" s="4">
        <f>9+1/8</f>
        <v>9.125</v>
      </c>
      <c r="L40" s="6">
        <v>4.49</v>
      </c>
      <c r="M40" s="6">
        <v>4.21</v>
      </c>
      <c r="N40" s="6">
        <v>6.71</v>
      </c>
      <c r="O40" s="8">
        <v>33</v>
      </c>
      <c r="P40" s="2">
        <f>9*12+8</f>
        <v>116</v>
      </c>
      <c r="Q40" s="2">
        <v>10</v>
      </c>
    </row>
    <row r="41" spans="1:17" x14ac:dyDescent="0.5">
      <c r="A41" s="2">
        <v>2016</v>
      </c>
      <c r="B41" s="2" t="s">
        <v>99</v>
      </c>
      <c r="C41" s="2">
        <v>2</v>
      </c>
      <c r="D41" s="2">
        <v>62</v>
      </c>
      <c r="E41" s="2" t="s">
        <v>39</v>
      </c>
      <c r="F41" s="2" t="s">
        <v>100</v>
      </c>
      <c r="G41" s="2" t="s">
        <v>58</v>
      </c>
      <c r="H41" s="4">
        <f>6*12+3/4</f>
        <v>72.75</v>
      </c>
      <c r="I41" s="2">
        <v>211</v>
      </c>
      <c r="J41" s="4">
        <v>33</v>
      </c>
      <c r="K41" s="4">
        <f>9+1/8</f>
        <v>9.125</v>
      </c>
      <c r="L41" s="6">
        <v>4.5</v>
      </c>
      <c r="M41" s="6">
        <v>4.21</v>
      </c>
      <c r="N41" s="6">
        <v>6.91</v>
      </c>
      <c r="O41" s="8">
        <v>36</v>
      </c>
      <c r="P41" s="2">
        <f>11*12</f>
        <v>132</v>
      </c>
      <c r="Q41" s="2">
        <v>16</v>
      </c>
    </row>
    <row r="42" spans="1:17" x14ac:dyDescent="0.5">
      <c r="A42" s="2">
        <v>2016</v>
      </c>
      <c r="B42" s="2" t="s">
        <v>101</v>
      </c>
      <c r="C42" s="2">
        <v>3</v>
      </c>
      <c r="D42" s="2">
        <v>68</v>
      </c>
      <c r="E42" s="2" t="s">
        <v>33</v>
      </c>
      <c r="F42" s="2" t="s">
        <v>102</v>
      </c>
      <c r="G42" s="2" t="s">
        <v>23</v>
      </c>
      <c r="H42" s="4">
        <f>5*12+3/4+10</f>
        <v>70.75</v>
      </c>
      <c r="I42" s="2">
        <v>182</v>
      </c>
      <c r="J42" s="4">
        <f>30+3/8</f>
        <v>30.375</v>
      </c>
      <c r="K42" s="4">
        <v>9.125</v>
      </c>
    </row>
    <row r="43" spans="1:17" x14ac:dyDescent="0.5">
      <c r="A43" s="2">
        <v>2016</v>
      </c>
      <c r="B43" s="2" t="s">
        <v>367</v>
      </c>
      <c r="C43" s="2">
        <v>3</v>
      </c>
      <c r="D43" s="2">
        <v>74</v>
      </c>
      <c r="E43" s="2" t="s">
        <v>20</v>
      </c>
      <c r="F43" s="2" t="s">
        <v>48</v>
      </c>
      <c r="G43" s="2" t="s">
        <v>49</v>
      </c>
      <c r="H43" s="4">
        <f>5*12+11+1/8</f>
        <v>71.125</v>
      </c>
      <c r="I43" s="2">
        <v>192</v>
      </c>
      <c r="J43" s="4">
        <f>31+5/8</f>
        <v>31.625</v>
      </c>
      <c r="K43" s="4">
        <v>10</v>
      </c>
      <c r="L43" s="6">
        <v>4.4400000000000004</v>
      </c>
      <c r="M43" s="6">
        <v>4.09</v>
      </c>
      <c r="N43" s="6">
        <v>6.89</v>
      </c>
      <c r="O43" s="8">
        <v>38.5</v>
      </c>
      <c r="P43" s="2">
        <f>11*12+2</f>
        <v>134</v>
      </c>
      <c r="Q43" s="2">
        <v>17</v>
      </c>
    </row>
    <row r="44" spans="1:17" x14ac:dyDescent="0.5">
      <c r="A44" s="2">
        <v>2016</v>
      </c>
      <c r="B44" s="2" t="s">
        <v>103</v>
      </c>
      <c r="C44" s="2">
        <v>3</v>
      </c>
      <c r="D44" s="2">
        <v>77</v>
      </c>
      <c r="E44" s="2" t="s">
        <v>39</v>
      </c>
      <c r="F44" s="2" t="s">
        <v>104</v>
      </c>
      <c r="G44" s="2" t="s">
        <v>376</v>
      </c>
      <c r="H44" s="4">
        <f>6*12+3/4</f>
        <v>72.75</v>
      </c>
      <c r="I44" s="2">
        <v>204</v>
      </c>
      <c r="J44" s="4">
        <f>33+3/8</f>
        <v>33.375</v>
      </c>
      <c r="K44" s="4">
        <v>10.25</v>
      </c>
      <c r="L44" s="6">
        <v>4.58</v>
      </c>
      <c r="M44" s="6">
        <v>4.1500000000000004</v>
      </c>
      <c r="N44" s="6">
        <v>6.98</v>
      </c>
      <c r="O44" s="8">
        <v>35.5</v>
      </c>
      <c r="P44" s="2">
        <f>10*12+3</f>
        <v>123</v>
      </c>
      <c r="Q44" s="2">
        <v>14</v>
      </c>
    </row>
    <row r="45" spans="1:17" x14ac:dyDescent="0.5">
      <c r="A45" s="2">
        <v>2016</v>
      </c>
      <c r="B45" s="2" t="s">
        <v>105</v>
      </c>
      <c r="C45" s="2">
        <v>3</v>
      </c>
      <c r="D45" s="2">
        <v>84</v>
      </c>
      <c r="E45" s="2" t="s">
        <v>24</v>
      </c>
      <c r="F45" s="2" t="s">
        <v>7</v>
      </c>
      <c r="G45" s="2" t="s">
        <v>8</v>
      </c>
      <c r="H45" s="4">
        <f>5*12+11.5</f>
        <v>71.5</v>
      </c>
      <c r="I45" s="2">
        <v>187</v>
      </c>
      <c r="J45" s="4">
        <v>31.5</v>
      </c>
      <c r="K45" s="4">
        <v>10</v>
      </c>
      <c r="Q45" s="2">
        <v>15</v>
      </c>
    </row>
    <row r="46" spans="1:17" x14ac:dyDescent="0.5">
      <c r="A46" s="2">
        <v>2016</v>
      </c>
      <c r="B46" s="2" t="s">
        <v>106</v>
      </c>
      <c r="C46" s="2">
        <v>3</v>
      </c>
      <c r="D46" s="2">
        <v>92</v>
      </c>
      <c r="E46" s="2" t="s">
        <v>107</v>
      </c>
      <c r="F46" s="2" t="s">
        <v>108</v>
      </c>
      <c r="G46" s="2" t="s">
        <v>23</v>
      </c>
      <c r="H46" s="4">
        <f>5*12+11+3/8</f>
        <v>71.375</v>
      </c>
      <c r="I46" s="2">
        <v>197</v>
      </c>
      <c r="J46" s="4">
        <v>32.5</v>
      </c>
      <c r="K46" s="4">
        <f>8+5/8</f>
        <v>8.625</v>
      </c>
      <c r="L46" s="6">
        <v>4.37</v>
      </c>
      <c r="M46" s="6">
        <v>4.1900000000000004</v>
      </c>
      <c r="N46" s="6">
        <v>6.85</v>
      </c>
      <c r="O46" s="8">
        <v>30.5</v>
      </c>
      <c r="P46" s="2">
        <f>9*12+10</f>
        <v>118</v>
      </c>
      <c r="Q46" s="2">
        <v>18</v>
      </c>
    </row>
    <row r="47" spans="1:17" x14ac:dyDescent="0.5">
      <c r="A47" s="2">
        <v>2016</v>
      </c>
      <c r="B47" s="2" t="s">
        <v>109</v>
      </c>
      <c r="C47" s="2">
        <v>4</v>
      </c>
      <c r="D47" s="2">
        <v>104</v>
      </c>
      <c r="E47" s="2" t="s">
        <v>78</v>
      </c>
      <c r="F47" s="2" t="s">
        <v>110</v>
      </c>
      <c r="G47" s="2" t="s">
        <v>44</v>
      </c>
      <c r="H47" s="4">
        <f>5*12+9+1/8</f>
        <v>69.125</v>
      </c>
      <c r="I47" s="2">
        <v>183</v>
      </c>
      <c r="J47" s="4">
        <f>30+5/8</f>
        <v>30.625</v>
      </c>
      <c r="K47" s="4">
        <f>9+1/8</f>
        <v>9.125</v>
      </c>
      <c r="L47" s="6">
        <v>4.46</v>
      </c>
      <c r="M47" s="6">
        <v>3.93</v>
      </c>
      <c r="N47" s="6">
        <v>6.8</v>
      </c>
      <c r="O47" s="8">
        <v>34.5</v>
      </c>
      <c r="P47" s="2">
        <f>9*12+10</f>
        <v>118</v>
      </c>
      <c r="Q47" s="2">
        <v>9</v>
      </c>
    </row>
    <row r="48" spans="1:17" x14ac:dyDescent="0.5">
      <c r="A48" s="2">
        <v>2016</v>
      </c>
      <c r="B48" s="2" t="s">
        <v>135</v>
      </c>
      <c r="C48" s="2">
        <v>4</v>
      </c>
      <c r="D48" s="2">
        <v>106</v>
      </c>
      <c r="E48" s="2" t="s">
        <v>20</v>
      </c>
      <c r="F48" s="2" t="s">
        <v>136</v>
      </c>
      <c r="G48" s="2" t="s">
        <v>375</v>
      </c>
      <c r="H48" s="4">
        <f>5*12+10+5/8</f>
        <v>70.625</v>
      </c>
      <c r="I48" s="2">
        <v>199</v>
      </c>
      <c r="J48" s="4">
        <v>31.25</v>
      </c>
      <c r="K48" s="4">
        <v>9</v>
      </c>
      <c r="L48" s="6">
        <v>4.49</v>
      </c>
      <c r="M48" s="6">
        <v>4.05</v>
      </c>
      <c r="N48" s="6">
        <v>7.08</v>
      </c>
      <c r="O48" s="8">
        <v>39.5</v>
      </c>
      <c r="P48" s="2">
        <v>124</v>
      </c>
      <c r="Q48" s="2">
        <v>15</v>
      </c>
    </row>
    <row r="49" spans="1:17" ht="31.5" x14ac:dyDescent="0.5">
      <c r="A49" s="2">
        <v>2016</v>
      </c>
      <c r="B49" s="2" t="s">
        <v>111</v>
      </c>
      <c r="C49" s="2">
        <v>4</v>
      </c>
      <c r="D49" s="2">
        <v>108</v>
      </c>
      <c r="E49" s="2" t="s">
        <v>90</v>
      </c>
      <c r="F49" s="2" t="s">
        <v>112</v>
      </c>
      <c r="G49" s="2" t="s">
        <v>113</v>
      </c>
      <c r="H49" s="4">
        <f>5*12+11</f>
        <v>71</v>
      </c>
      <c r="I49" s="2">
        <v>189</v>
      </c>
      <c r="J49" s="4">
        <v>30.5</v>
      </c>
      <c r="K49" s="4">
        <f>8+7/8</f>
        <v>8.875</v>
      </c>
      <c r="L49" s="6">
        <v>4.47</v>
      </c>
      <c r="M49" s="6">
        <v>4.09</v>
      </c>
      <c r="N49" s="6">
        <v>6.88</v>
      </c>
      <c r="O49" s="8">
        <v>36</v>
      </c>
      <c r="P49" s="2">
        <v>122</v>
      </c>
      <c r="Q49" s="2">
        <v>18</v>
      </c>
    </row>
    <row r="50" spans="1:17" x14ac:dyDescent="0.5">
      <c r="A50" s="2">
        <v>2016</v>
      </c>
      <c r="B50" s="2" t="s">
        <v>114</v>
      </c>
      <c r="C50" s="2">
        <v>4</v>
      </c>
      <c r="D50" s="2">
        <v>118</v>
      </c>
      <c r="E50" s="2" t="s">
        <v>18</v>
      </c>
      <c r="F50" s="2" t="s">
        <v>34</v>
      </c>
      <c r="G50" s="2" t="s">
        <v>8</v>
      </c>
      <c r="H50" s="4">
        <f>6*12+0.25</f>
        <v>72.25</v>
      </c>
      <c r="I50" s="2">
        <v>212</v>
      </c>
      <c r="J50" s="4">
        <v>31.5</v>
      </c>
      <c r="K50" s="4">
        <f>8+7/8</f>
        <v>8.875</v>
      </c>
      <c r="L50" s="6">
        <v>4.53</v>
      </c>
      <c r="M50" s="6">
        <v>4.4000000000000004</v>
      </c>
      <c r="N50" s="6">
        <v>7.1</v>
      </c>
      <c r="O50" s="8">
        <v>36.5</v>
      </c>
      <c r="P50" s="2">
        <f>10*12+2</f>
        <v>122</v>
      </c>
      <c r="Q50" s="2">
        <v>19</v>
      </c>
    </row>
    <row r="51" spans="1:17" x14ac:dyDescent="0.5">
      <c r="A51" s="2">
        <v>2016</v>
      </c>
      <c r="B51" s="2" t="s">
        <v>115</v>
      </c>
      <c r="C51" s="2">
        <v>4</v>
      </c>
      <c r="D51" s="2">
        <v>133</v>
      </c>
      <c r="E51" s="2" t="s">
        <v>33</v>
      </c>
      <c r="F51" s="2" t="s">
        <v>65</v>
      </c>
      <c r="G51" s="2" t="s">
        <v>23</v>
      </c>
      <c r="H51" s="4">
        <f>6*12+0.5</f>
        <v>72.5</v>
      </c>
      <c r="I51" s="2">
        <v>171</v>
      </c>
      <c r="J51" s="4">
        <v>32.25</v>
      </c>
      <c r="K51" s="4">
        <v>9</v>
      </c>
      <c r="L51" s="6">
        <v>4.4000000000000004</v>
      </c>
      <c r="M51" s="6">
        <v>4.5</v>
      </c>
      <c r="N51" s="6">
        <v>7.29</v>
      </c>
      <c r="O51" s="8">
        <v>35.5</v>
      </c>
      <c r="P51" s="2">
        <v>121</v>
      </c>
      <c r="Q51" s="2">
        <v>5</v>
      </c>
    </row>
    <row r="52" spans="1:17" x14ac:dyDescent="0.5">
      <c r="A52" s="2">
        <v>2016</v>
      </c>
      <c r="B52" s="2" t="s">
        <v>116</v>
      </c>
      <c r="C52" s="2">
        <v>5</v>
      </c>
      <c r="D52" s="2">
        <v>141</v>
      </c>
      <c r="E52" s="2" t="s">
        <v>39</v>
      </c>
      <c r="F52" s="2" t="s">
        <v>27</v>
      </c>
      <c r="G52" s="2" t="s">
        <v>376</v>
      </c>
      <c r="H52" s="4">
        <f>5*12+11</f>
        <v>71</v>
      </c>
      <c r="I52" s="2">
        <v>185</v>
      </c>
      <c r="J52" s="4">
        <f>31+3/8</f>
        <v>31.375</v>
      </c>
      <c r="K52" s="4">
        <f>9+3/8</f>
        <v>9.375</v>
      </c>
      <c r="L52" s="6">
        <v>4.5</v>
      </c>
      <c r="M52" s="6">
        <v>4.51</v>
      </c>
      <c r="N52" s="6">
        <v>7.12</v>
      </c>
      <c r="O52" s="8">
        <v>35.5</v>
      </c>
      <c r="P52" s="2">
        <f>9*12+8</f>
        <v>116</v>
      </c>
      <c r="Q52" s="2">
        <v>19</v>
      </c>
    </row>
    <row r="53" spans="1:17" x14ac:dyDescent="0.5">
      <c r="A53" s="2">
        <v>2016</v>
      </c>
      <c r="B53" s="2" t="s">
        <v>368</v>
      </c>
      <c r="C53" s="2">
        <v>5</v>
      </c>
      <c r="D53" s="2">
        <v>157</v>
      </c>
      <c r="E53" s="2" t="s">
        <v>117</v>
      </c>
      <c r="F53" s="2" t="s">
        <v>118</v>
      </c>
      <c r="G53" s="2" t="s">
        <v>119</v>
      </c>
      <c r="H53" s="4">
        <f>6*12+0.5</f>
        <v>72.5</v>
      </c>
      <c r="I53" s="2">
        <v>203</v>
      </c>
      <c r="J53" s="4">
        <f>31+5/8</f>
        <v>31.625</v>
      </c>
      <c r="K53" s="4">
        <f>8+1/8</f>
        <v>8.125</v>
      </c>
      <c r="L53" s="6">
        <v>4.53</v>
      </c>
      <c r="M53" s="6">
        <v>4.1900000000000004</v>
      </c>
      <c r="N53" s="6">
        <v>6.84</v>
      </c>
      <c r="O53" s="8">
        <v>37</v>
      </c>
      <c r="P53" s="2">
        <v>127</v>
      </c>
      <c r="Q53" s="2">
        <v>11</v>
      </c>
    </row>
    <row r="54" spans="1:17" x14ac:dyDescent="0.5">
      <c r="A54" s="2">
        <v>2016</v>
      </c>
      <c r="B54" s="2" t="s">
        <v>120</v>
      </c>
      <c r="C54" s="2">
        <v>5</v>
      </c>
      <c r="D54" s="2">
        <v>173</v>
      </c>
      <c r="E54" s="2" t="s">
        <v>9</v>
      </c>
      <c r="F54" s="2" t="s">
        <v>121</v>
      </c>
      <c r="G54" s="2" t="s">
        <v>72</v>
      </c>
      <c r="H54" s="4">
        <f>5*12+9</f>
        <v>69</v>
      </c>
      <c r="I54" s="2">
        <v>186</v>
      </c>
      <c r="L54" s="6">
        <v>4.34</v>
      </c>
      <c r="M54" s="6">
        <v>4.1900000000000004</v>
      </c>
      <c r="N54" s="6">
        <v>6.6</v>
      </c>
      <c r="O54" s="8">
        <v>33.5</v>
      </c>
      <c r="P54" s="2">
        <f>9*12+6</f>
        <v>114</v>
      </c>
      <c r="Q54" s="2">
        <v>12</v>
      </c>
    </row>
    <row r="55" spans="1:17" x14ac:dyDescent="0.5">
      <c r="A55" s="2">
        <v>2016</v>
      </c>
      <c r="B55" s="2" t="s">
        <v>369</v>
      </c>
      <c r="C55" s="2">
        <v>6</v>
      </c>
      <c r="D55" s="2">
        <v>178</v>
      </c>
      <c r="E55" s="2" t="s">
        <v>20</v>
      </c>
      <c r="F55" s="2" t="s">
        <v>122</v>
      </c>
      <c r="G55" s="2" t="s">
        <v>8</v>
      </c>
      <c r="H55" s="4">
        <f>5*12+11</f>
        <v>71</v>
      </c>
      <c r="I55" s="2">
        <v>193</v>
      </c>
      <c r="J55" s="4">
        <v>31.5</v>
      </c>
      <c r="K55" s="4">
        <v>9.25</v>
      </c>
      <c r="L55" s="6">
        <v>4.49</v>
      </c>
      <c r="M55" s="6">
        <v>4.33</v>
      </c>
      <c r="N55" s="6">
        <v>7.18</v>
      </c>
      <c r="O55" s="8">
        <v>33</v>
      </c>
      <c r="P55" s="2">
        <f>11*12</f>
        <v>132</v>
      </c>
      <c r="Q55" s="2">
        <v>17</v>
      </c>
    </row>
    <row r="56" spans="1:17" ht="31.5" x14ac:dyDescent="0.5">
      <c r="A56" s="2">
        <v>2016</v>
      </c>
      <c r="B56" s="2" t="s">
        <v>370</v>
      </c>
      <c r="C56" s="2">
        <v>6</v>
      </c>
      <c r="D56" s="2">
        <v>185</v>
      </c>
      <c r="E56" s="2" t="s">
        <v>10</v>
      </c>
      <c r="F56" s="2" t="s">
        <v>123</v>
      </c>
      <c r="G56" s="2" t="s">
        <v>46</v>
      </c>
    </row>
    <row r="57" spans="1:17" x14ac:dyDescent="0.5">
      <c r="A57" s="2">
        <v>2016</v>
      </c>
      <c r="B57" s="2" t="s">
        <v>124</v>
      </c>
      <c r="C57" s="2">
        <v>6</v>
      </c>
      <c r="D57" s="2">
        <v>189</v>
      </c>
      <c r="E57" s="2" t="s">
        <v>59</v>
      </c>
      <c r="F57" s="2" t="s">
        <v>38</v>
      </c>
      <c r="G57" s="2" t="s">
        <v>375</v>
      </c>
      <c r="H57" s="4">
        <f>5*12+11.25</f>
        <v>71.25</v>
      </c>
      <c r="I57" s="2">
        <v>192</v>
      </c>
      <c r="J57" s="4">
        <v>31.75</v>
      </c>
      <c r="K57" s="4">
        <v>8.25</v>
      </c>
      <c r="L57" s="6">
        <v>4.3499999999999996</v>
      </c>
      <c r="M57" s="6">
        <v>4.1900000000000004</v>
      </c>
      <c r="N57" s="6">
        <v>7.03</v>
      </c>
      <c r="O57" s="8">
        <v>35</v>
      </c>
      <c r="P57" s="2">
        <f>9*12+7</f>
        <v>115</v>
      </c>
      <c r="Q57" s="2">
        <v>19</v>
      </c>
    </row>
    <row r="58" spans="1:17" x14ac:dyDescent="0.5">
      <c r="A58" s="2">
        <v>2016</v>
      </c>
      <c r="B58" s="2" t="s">
        <v>371</v>
      </c>
      <c r="C58" s="2">
        <v>6</v>
      </c>
      <c r="D58" s="2">
        <v>196</v>
      </c>
      <c r="E58" s="2" t="s">
        <v>21</v>
      </c>
      <c r="F58" s="2" t="s">
        <v>125</v>
      </c>
      <c r="G58" s="2" t="s">
        <v>23</v>
      </c>
      <c r="H58" s="4">
        <f>5*12+9.75</f>
        <v>69.75</v>
      </c>
      <c r="I58" s="2">
        <v>184</v>
      </c>
      <c r="J58" s="4">
        <v>28.75</v>
      </c>
      <c r="K58" s="4">
        <v>8.5</v>
      </c>
      <c r="L58" s="6">
        <v>4.53</v>
      </c>
      <c r="M58" s="6">
        <v>4.1500000000000004</v>
      </c>
      <c r="N58" s="6">
        <v>6.82</v>
      </c>
      <c r="O58" s="8">
        <v>36.5</v>
      </c>
      <c r="P58" s="2">
        <v>121</v>
      </c>
      <c r="Q58" s="2">
        <v>21</v>
      </c>
    </row>
    <row r="59" spans="1:17" ht="31.5" x14ac:dyDescent="0.5">
      <c r="A59" s="2">
        <v>2016</v>
      </c>
      <c r="B59" s="2" t="s">
        <v>126</v>
      </c>
      <c r="C59" s="2">
        <v>6</v>
      </c>
      <c r="D59" s="2">
        <v>205</v>
      </c>
      <c r="E59" s="2" t="s">
        <v>107</v>
      </c>
      <c r="F59" s="2" t="s">
        <v>127</v>
      </c>
      <c r="G59" s="2" t="s">
        <v>128</v>
      </c>
      <c r="H59" s="4">
        <f>6*12</f>
        <v>72</v>
      </c>
      <c r="I59" s="2">
        <v>182</v>
      </c>
      <c r="J59" s="4">
        <f>31+3/8</f>
        <v>31.375</v>
      </c>
      <c r="K59" s="4">
        <f>9+3/8</f>
        <v>9.375</v>
      </c>
      <c r="L59" s="6">
        <v>4.6500000000000004</v>
      </c>
      <c r="M59" s="6">
        <v>4.43</v>
      </c>
      <c r="N59" s="6">
        <v>7.44</v>
      </c>
      <c r="O59" s="8">
        <v>35.5</v>
      </c>
      <c r="P59" s="2">
        <f>9*12+10</f>
        <v>118</v>
      </c>
      <c r="Q59" s="2">
        <v>6</v>
      </c>
    </row>
    <row r="60" spans="1:17" x14ac:dyDescent="0.5">
      <c r="A60" s="2">
        <v>2016</v>
      </c>
      <c r="B60" s="2" t="s">
        <v>322</v>
      </c>
      <c r="C60" s="2">
        <v>6</v>
      </c>
      <c r="D60" s="2">
        <v>209</v>
      </c>
      <c r="E60" s="2" t="s">
        <v>78</v>
      </c>
      <c r="F60" s="2" t="s">
        <v>129</v>
      </c>
      <c r="G60" s="2" t="s">
        <v>8</v>
      </c>
      <c r="H60" s="4">
        <f>6*12+1</f>
        <v>73</v>
      </c>
      <c r="I60" s="2">
        <v>193</v>
      </c>
      <c r="J60" s="4">
        <f>31+5/8</f>
        <v>31.625</v>
      </c>
      <c r="K60" s="4">
        <f>9+1/8</f>
        <v>9.125</v>
      </c>
      <c r="L60" s="6">
        <v>4.49</v>
      </c>
      <c r="M60" s="6">
        <v>4.09</v>
      </c>
      <c r="N60" s="6">
        <v>7.03</v>
      </c>
      <c r="O60" s="8">
        <v>38</v>
      </c>
      <c r="P60" s="2">
        <v>124</v>
      </c>
      <c r="Q60" s="2">
        <v>16</v>
      </c>
    </row>
    <row r="61" spans="1:17" x14ac:dyDescent="0.5">
      <c r="A61" s="2">
        <v>2016</v>
      </c>
      <c r="B61" s="2" t="s">
        <v>130</v>
      </c>
      <c r="C61" s="2">
        <v>6</v>
      </c>
      <c r="D61" s="2">
        <v>218</v>
      </c>
      <c r="E61" s="2" t="s">
        <v>26</v>
      </c>
      <c r="F61" s="2" t="s">
        <v>77</v>
      </c>
      <c r="G61" s="2" t="s">
        <v>75</v>
      </c>
      <c r="H61" s="4">
        <f>5*12+11.5</f>
        <v>71.5</v>
      </c>
      <c r="I61" s="2">
        <v>186</v>
      </c>
      <c r="J61" s="4">
        <v>30.75</v>
      </c>
      <c r="K61" s="4">
        <v>9</v>
      </c>
      <c r="L61" s="6">
        <v>4.3899999999999997</v>
      </c>
      <c r="M61" s="6">
        <v>4.18</v>
      </c>
      <c r="N61" s="6">
        <v>6.81</v>
      </c>
      <c r="O61" s="8">
        <v>35</v>
      </c>
      <c r="P61" s="2">
        <v>124</v>
      </c>
      <c r="Q61" s="2">
        <v>12</v>
      </c>
    </row>
    <row r="62" spans="1:17" ht="31.5" x14ac:dyDescent="0.5">
      <c r="A62" s="2">
        <v>2016</v>
      </c>
      <c r="B62" s="2" t="s">
        <v>131</v>
      </c>
      <c r="C62" s="2">
        <v>7</v>
      </c>
      <c r="D62" s="2">
        <v>249</v>
      </c>
      <c r="E62" s="2" t="s">
        <v>33</v>
      </c>
      <c r="F62" s="2" t="s">
        <v>132</v>
      </c>
      <c r="G62" s="2" t="s">
        <v>19</v>
      </c>
      <c r="H62" s="4">
        <f>5*12+11</f>
        <v>71</v>
      </c>
      <c r="I62" s="2">
        <v>192</v>
      </c>
      <c r="L62" s="6">
        <v>4.34</v>
      </c>
      <c r="M62" s="6">
        <v>4.5199999999999996</v>
      </c>
      <c r="N62" s="6">
        <v>7.12</v>
      </c>
      <c r="O62" s="8">
        <v>40</v>
      </c>
      <c r="P62" s="2">
        <v>128</v>
      </c>
      <c r="Q62" s="2">
        <v>25</v>
      </c>
    </row>
    <row r="63" spans="1:17" x14ac:dyDescent="0.5">
      <c r="A63" s="2">
        <v>2016</v>
      </c>
      <c r="B63" s="2" t="s">
        <v>133</v>
      </c>
      <c r="C63" s="2">
        <v>7</v>
      </c>
      <c r="D63" s="2">
        <v>253</v>
      </c>
      <c r="E63" s="2" t="s">
        <v>117</v>
      </c>
      <c r="F63" s="2" t="s">
        <v>134</v>
      </c>
      <c r="G63" s="2" t="s">
        <v>19</v>
      </c>
      <c r="H63" s="4">
        <f>5*12+11.125</f>
        <v>71.125</v>
      </c>
      <c r="I63" s="2">
        <v>192</v>
      </c>
      <c r="J63" s="4">
        <f>31+3/8</f>
        <v>31.375</v>
      </c>
      <c r="K63" s="4">
        <v>9</v>
      </c>
      <c r="L63" s="6">
        <v>4.49</v>
      </c>
      <c r="M63" s="6">
        <v>4.17</v>
      </c>
      <c r="N63" s="6">
        <v>7.05</v>
      </c>
      <c r="O63" s="8">
        <v>41.5</v>
      </c>
      <c r="P63" s="2">
        <v>122</v>
      </c>
      <c r="Q63" s="2">
        <v>11</v>
      </c>
    </row>
    <row r="64" spans="1:17" x14ac:dyDescent="0.5">
      <c r="A64" s="2">
        <v>2017</v>
      </c>
      <c r="B64" s="2" t="s">
        <v>137</v>
      </c>
      <c r="C64" s="2">
        <v>1</v>
      </c>
      <c r="D64" s="2">
        <v>11</v>
      </c>
      <c r="E64" s="2" t="s">
        <v>17</v>
      </c>
      <c r="F64" s="2" t="s">
        <v>16</v>
      </c>
      <c r="G64" s="2" t="s">
        <v>375</v>
      </c>
      <c r="H64" s="4">
        <f>6*12</f>
        <v>72</v>
      </c>
      <c r="I64" s="2">
        <v>193</v>
      </c>
      <c r="J64" s="4">
        <v>31.25</v>
      </c>
      <c r="K64" s="4">
        <f>8+7/8</f>
        <v>8.875</v>
      </c>
      <c r="L64" s="6">
        <v>4.3600000000000003</v>
      </c>
      <c r="O64" s="8">
        <v>38.5</v>
      </c>
      <c r="P64" s="2">
        <f>11*12</f>
        <v>132</v>
      </c>
    </row>
    <row r="65" spans="1:17" x14ac:dyDescent="0.5">
      <c r="A65" s="2">
        <v>2017</v>
      </c>
      <c r="B65" s="2" t="s">
        <v>373</v>
      </c>
      <c r="C65" s="2">
        <v>1</v>
      </c>
      <c r="D65" s="2">
        <v>16</v>
      </c>
      <c r="E65" s="2" t="s">
        <v>78</v>
      </c>
      <c r="F65" s="2" t="s">
        <v>98</v>
      </c>
      <c r="G65" s="2" t="s">
        <v>23</v>
      </c>
      <c r="H65" s="4">
        <f>6*12+0.25</f>
        <v>72.25</v>
      </c>
      <c r="I65" s="2">
        <v>197</v>
      </c>
      <c r="J65" s="4">
        <v>32.5</v>
      </c>
      <c r="K65" s="4">
        <v>8.75</v>
      </c>
      <c r="L65" s="6">
        <v>4.41</v>
      </c>
      <c r="N65" s="6">
        <v>6.75</v>
      </c>
      <c r="P65" s="2">
        <v>125</v>
      </c>
      <c r="Q65" s="2">
        <v>10</v>
      </c>
    </row>
    <row r="66" spans="1:17" x14ac:dyDescent="0.5">
      <c r="A66" s="2">
        <v>2017</v>
      </c>
      <c r="B66" s="2" t="s">
        <v>372</v>
      </c>
      <c r="C66" s="2">
        <v>1</v>
      </c>
      <c r="D66" s="2">
        <v>18</v>
      </c>
      <c r="E66" s="2" t="s">
        <v>117</v>
      </c>
      <c r="F66" s="2" t="s">
        <v>77</v>
      </c>
      <c r="G66" s="2" t="s">
        <v>75</v>
      </c>
      <c r="H66" s="4">
        <f>5*12+10</f>
        <v>70</v>
      </c>
      <c r="I66" s="2">
        <v>186</v>
      </c>
      <c r="J66" s="4">
        <f>31+3/8</f>
        <v>31.375</v>
      </c>
      <c r="K66" s="4">
        <v>9.25</v>
      </c>
      <c r="L66" s="6">
        <v>4.42</v>
      </c>
      <c r="N66" s="6">
        <v>6.63</v>
      </c>
      <c r="O66" s="8">
        <v>36</v>
      </c>
      <c r="P66" s="2">
        <v>122</v>
      </c>
    </row>
    <row r="67" spans="1:17" x14ac:dyDescent="0.5">
      <c r="A67" s="2">
        <v>2017</v>
      </c>
      <c r="B67" s="2" t="s">
        <v>138</v>
      </c>
      <c r="C67" s="2">
        <v>1</v>
      </c>
      <c r="D67" s="2">
        <v>24</v>
      </c>
      <c r="E67" s="2" t="s">
        <v>29</v>
      </c>
      <c r="F67" s="2" t="s">
        <v>16</v>
      </c>
      <c r="G67" s="2" t="s">
        <v>375</v>
      </c>
      <c r="H67" s="4">
        <f>6*12</f>
        <v>72</v>
      </c>
      <c r="I67" s="2">
        <v>195</v>
      </c>
      <c r="J67" s="4">
        <v>33</v>
      </c>
      <c r="K67" s="4">
        <v>9.5</v>
      </c>
      <c r="L67" s="6">
        <v>4.4400000000000004</v>
      </c>
      <c r="M67" s="6">
        <v>4.18</v>
      </c>
      <c r="N67" s="6">
        <v>6.68</v>
      </c>
      <c r="O67" s="8">
        <v>37</v>
      </c>
      <c r="P67" s="2">
        <v>129</v>
      </c>
      <c r="Q67" s="2">
        <v>11</v>
      </c>
    </row>
    <row r="68" spans="1:17" x14ac:dyDescent="0.5">
      <c r="A68" s="2">
        <v>2017</v>
      </c>
      <c r="B68" s="2" t="s">
        <v>374</v>
      </c>
      <c r="C68" s="2">
        <v>1</v>
      </c>
      <c r="D68" s="2">
        <v>27</v>
      </c>
      <c r="E68" s="2" t="s">
        <v>26</v>
      </c>
      <c r="F68" s="2" t="s">
        <v>65</v>
      </c>
      <c r="G68" s="2" t="s">
        <v>23</v>
      </c>
      <c r="H68" s="4">
        <f>5*12+11.25</f>
        <v>71.25</v>
      </c>
      <c r="I68" s="2">
        <v>192</v>
      </c>
      <c r="J68" s="4">
        <v>32.5</v>
      </c>
      <c r="K68" s="4">
        <v>9.125</v>
      </c>
      <c r="L68" s="6">
        <v>4.47</v>
      </c>
      <c r="M68" s="6">
        <v>4.32</v>
      </c>
      <c r="N68" s="6">
        <v>6.9</v>
      </c>
      <c r="O68" s="8">
        <v>32</v>
      </c>
      <c r="P68" s="2">
        <f>9*12+11</f>
        <v>119</v>
      </c>
      <c r="Q68" s="2">
        <v>16</v>
      </c>
    </row>
    <row r="69" spans="1:17" x14ac:dyDescent="0.5">
      <c r="A69" s="2">
        <v>2017</v>
      </c>
      <c r="B69" s="2" t="s">
        <v>139</v>
      </c>
      <c r="C69" s="2">
        <v>2</v>
      </c>
      <c r="D69" s="2">
        <v>33</v>
      </c>
      <c r="E69" s="2" t="s">
        <v>51</v>
      </c>
      <c r="F69" s="2" t="s">
        <v>64</v>
      </c>
      <c r="G69" s="2" t="s">
        <v>75</v>
      </c>
      <c r="H69" s="4">
        <f>6*12+3.25</f>
        <v>75.25</v>
      </c>
      <c r="I69" s="2">
        <v>200</v>
      </c>
      <c r="J69" s="4">
        <v>32</v>
      </c>
      <c r="K69" s="4">
        <v>9.5</v>
      </c>
      <c r="L69" s="6">
        <v>4.43</v>
      </c>
      <c r="M69" s="6">
        <v>3.89</v>
      </c>
      <c r="N69" s="6">
        <v>6.56</v>
      </c>
      <c r="O69" s="8">
        <v>39.5</v>
      </c>
      <c r="Q69" s="2">
        <v>11</v>
      </c>
    </row>
    <row r="70" spans="1:17" x14ac:dyDescent="0.5">
      <c r="A70" s="2">
        <v>2017</v>
      </c>
      <c r="B70" s="2" t="s">
        <v>140</v>
      </c>
      <c r="C70" s="2">
        <v>2</v>
      </c>
      <c r="D70" s="2">
        <v>43</v>
      </c>
      <c r="E70" s="2" t="s">
        <v>21</v>
      </c>
      <c r="F70" s="2" t="s">
        <v>64</v>
      </c>
      <c r="G70" s="2" t="s">
        <v>75</v>
      </c>
      <c r="H70" s="4">
        <f>72</f>
        <v>72</v>
      </c>
      <c r="I70" s="2">
        <v>186</v>
      </c>
      <c r="J70" s="4">
        <v>31.5</v>
      </c>
      <c r="K70" s="4">
        <f>9+3/8</f>
        <v>9.375</v>
      </c>
      <c r="L70" s="6">
        <v>4.47</v>
      </c>
      <c r="M70" s="6">
        <v>4.28</v>
      </c>
      <c r="N70" s="6">
        <v>7.02</v>
      </c>
      <c r="O70" s="8">
        <v>33.5</v>
      </c>
      <c r="P70" s="2">
        <v>123</v>
      </c>
      <c r="Q70" s="2">
        <v>12</v>
      </c>
    </row>
    <row r="71" spans="1:17" x14ac:dyDescent="0.5">
      <c r="A71" s="2">
        <v>2017</v>
      </c>
      <c r="B71" s="2" t="s">
        <v>141</v>
      </c>
      <c r="C71" s="2">
        <v>2</v>
      </c>
      <c r="D71" s="2">
        <v>46</v>
      </c>
      <c r="E71" s="2" t="s">
        <v>70</v>
      </c>
      <c r="F71" s="2" t="s">
        <v>22</v>
      </c>
      <c r="G71" s="2" t="s">
        <v>23</v>
      </c>
      <c r="H71" s="4">
        <f>6*12+1.5</f>
        <v>73.5</v>
      </c>
      <c r="I71" s="2">
        <v>211</v>
      </c>
      <c r="J71" s="4">
        <v>32.5</v>
      </c>
      <c r="K71" s="4">
        <f>9+5/8</f>
        <v>9.625</v>
      </c>
      <c r="L71" s="6">
        <v>4.54</v>
      </c>
      <c r="M71" s="6">
        <v>4.0199999999999996</v>
      </c>
      <c r="N71" s="6">
        <v>6.86</v>
      </c>
      <c r="O71" s="8">
        <v>32</v>
      </c>
      <c r="P71" s="2">
        <f>9*12+10</f>
        <v>118</v>
      </c>
      <c r="Q71" s="2">
        <v>14</v>
      </c>
    </row>
    <row r="72" spans="1:17" x14ac:dyDescent="0.5">
      <c r="A72" s="2">
        <v>2017</v>
      </c>
      <c r="B72" s="2" t="s">
        <v>377</v>
      </c>
      <c r="C72" s="2">
        <v>2</v>
      </c>
      <c r="D72" s="2">
        <v>53</v>
      </c>
      <c r="E72" s="2" t="s">
        <v>35</v>
      </c>
      <c r="F72" s="2" t="s">
        <v>22</v>
      </c>
      <c r="G72" s="2" t="s">
        <v>23</v>
      </c>
      <c r="H72" s="4">
        <f>6*12+0.5</f>
        <v>72.5</v>
      </c>
      <c r="I72" s="2">
        <v>199</v>
      </c>
      <c r="J72" s="4">
        <v>32</v>
      </c>
      <c r="K72" s="4">
        <f>8+5/8</f>
        <v>8.625</v>
      </c>
      <c r="L72" s="6">
        <v>4.62</v>
      </c>
      <c r="M72" s="6">
        <v>4.22</v>
      </c>
      <c r="N72" s="6">
        <v>6.99</v>
      </c>
      <c r="O72" s="8">
        <v>32</v>
      </c>
      <c r="P72" s="2">
        <v>120</v>
      </c>
      <c r="Q72" s="2">
        <v>9</v>
      </c>
    </row>
    <row r="73" spans="1:17" x14ac:dyDescent="0.5">
      <c r="A73" s="2">
        <v>2017</v>
      </c>
      <c r="B73" s="2" t="s">
        <v>142</v>
      </c>
      <c r="C73" s="2">
        <v>2</v>
      </c>
      <c r="D73" s="2">
        <v>60</v>
      </c>
      <c r="E73" s="2" t="s">
        <v>59</v>
      </c>
      <c r="F73" s="2" t="s">
        <v>143</v>
      </c>
      <c r="G73" s="2" t="s">
        <v>75</v>
      </c>
      <c r="H73" s="4">
        <f>5*12+11+7/8</f>
        <v>71.875</v>
      </c>
      <c r="I73" s="2">
        <v>202</v>
      </c>
      <c r="J73" s="4">
        <f>30+5/8</f>
        <v>30.625</v>
      </c>
      <c r="K73" s="4">
        <v>8.5</v>
      </c>
      <c r="L73" s="6">
        <v>4.43</v>
      </c>
      <c r="M73" s="6">
        <v>4.1399999999999997</v>
      </c>
      <c r="N73" s="6">
        <v>6.81</v>
      </c>
      <c r="O73" s="8">
        <v>39.5</v>
      </c>
      <c r="P73" s="2">
        <f>11*12</f>
        <v>132</v>
      </c>
      <c r="Q73" s="2">
        <v>16</v>
      </c>
    </row>
    <row r="74" spans="1:17" ht="31.5" x14ac:dyDescent="0.5">
      <c r="A74" s="2">
        <v>2017</v>
      </c>
      <c r="B74" s="2" t="s">
        <v>144</v>
      </c>
      <c r="C74" s="2">
        <v>2</v>
      </c>
      <c r="D74" s="2">
        <v>66</v>
      </c>
      <c r="E74" s="2" t="s">
        <v>33</v>
      </c>
      <c r="F74" s="2" t="s">
        <v>143</v>
      </c>
      <c r="G74" s="2" t="s">
        <v>75</v>
      </c>
      <c r="H74" s="4">
        <f>6*12+2.75</f>
        <v>74.75</v>
      </c>
      <c r="I74" s="2">
        <v>198</v>
      </c>
      <c r="J74" s="4">
        <v>33</v>
      </c>
      <c r="K74" s="4">
        <f>9+7/8</f>
        <v>9.875</v>
      </c>
      <c r="L74" s="6">
        <v>4.45</v>
      </c>
      <c r="M74" s="6">
        <v>4.13</v>
      </c>
      <c r="N74" s="6">
        <v>6.93</v>
      </c>
      <c r="O74" s="8">
        <v>40.5</v>
      </c>
      <c r="P74" s="2">
        <v>127</v>
      </c>
    </row>
    <row r="75" spans="1:17" x14ac:dyDescent="0.5">
      <c r="A75" s="2">
        <v>2017</v>
      </c>
      <c r="B75" s="2" t="s">
        <v>145</v>
      </c>
      <c r="C75" s="2">
        <v>3</v>
      </c>
      <c r="D75" s="2">
        <v>81</v>
      </c>
      <c r="E75" s="2" t="s">
        <v>24</v>
      </c>
      <c r="F75" s="2" t="s">
        <v>146</v>
      </c>
      <c r="G75" s="2" t="s">
        <v>75</v>
      </c>
      <c r="H75" s="4">
        <f>6*12+0.5</f>
        <v>72.5</v>
      </c>
      <c r="I75" s="2">
        <v>206</v>
      </c>
      <c r="J75" s="4">
        <f>31+3/8</f>
        <v>31.375</v>
      </c>
      <c r="K75" s="4">
        <v>9</v>
      </c>
      <c r="L75" s="6">
        <v>4.3499999999999996</v>
      </c>
      <c r="M75" s="6">
        <v>4.12</v>
      </c>
      <c r="N75" s="6">
        <v>6.94</v>
      </c>
      <c r="O75" s="8">
        <v>38</v>
      </c>
      <c r="P75" s="2">
        <f>11*12+4</f>
        <v>136</v>
      </c>
    </row>
    <row r="76" spans="1:17" x14ac:dyDescent="0.5">
      <c r="A76" s="2">
        <v>2017</v>
      </c>
      <c r="B76" s="2" t="s">
        <v>147</v>
      </c>
      <c r="C76" s="2">
        <v>3</v>
      </c>
      <c r="D76" s="2">
        <v>90</v>
      </c>
      <c r="E76" s="2" t="s">
        <v>82</v>
      </c>
      <c r="F76" s="2" t="s">
        <v>148</v>
      </c>
      <c r="G76" s="2" t="s">
        <v>44</v>
      </c>
      <c r="H76" s="4">
        <f>6*12+1/8</f>
        <v>72.125</v>
      </c>
      <c r="I76" s="2">
        <v>194</v>
      </c>
      <c r="J76" s="4">
        <f>32+3/8</f>
        <v>32.375</v>
      </c>
      <c r="K76" s="4">
        <v>8.75</v>
      </c>
      <c r="L76" s="6">
        <v>4.38</v>
      </c>
      <c r="M76" s="6">
        <v>4.1399999999999997</v>
      </c>
      <c r="N76" s="6">
        <v>6.87</v>
      </c>
      <c r="O76" s="8">
        <v>38.5</v>
      </c>
      <c r="P76" s="2">
        <f>11*12</f>
        <v>132</v>
      </c>
      <c r="Q76" s="2">
        <v>17</v>
      </c>
    </row>
    <row r="77" spans="1:17" x14ac:dyDescent="0.5">
      <c r="A77" s="2">
        <v>2017</v>
      </c>
      <c r="B77" s="2" t="s">
        <v>149</v>
      </c>
      <c r="C77" s="2">
        <v>3</v>
      </c>
      <c r="D77" s="2">
        <v>92</v>
      </c>
      <c r="E77" s="2" t="s">
        <v>59</v>
      </c>
      <c r="F77" s="2" t="s">
        <v>150</v>
      </c>
      <c r="G77" s="2" t="s">
        <v>375</v>
      </c>
      <c r="H77" s="4">
        <f>5*12+10.25</f>
        <v>70.25</v>
      </c>
      <c r="I77" s="2">
        <v>188</v>
      </c>
      <c r="J77" s="4">
        <f>31+5/8</f>
        <v>31.625</v>
      </c>
      <c r="K77" s="4">
        <v>9.25</v>
      </c>
      <c r="L77" s="6">
        <v>4.47</v>
      </c>
      <c r="M77" s="6">
        <v>4.38</v>
      </c>
      <c r="N77" s="6">
        <v>6.88</v>
      </c>
      <c r="O77" s="8">
        <v>34.5</v>
      </c>
      <c r="P77" s="2">
        <v>121</v>
      </c>
      <c r="Q77" s="2">
        <v>15</v>
      </c>
    </row>
    <row r="78" spans="1:17" x14ac:dyDescent="0.5">
      <c r="A78" s="2">
        <v>2017</v>
      </c>
      <c r="B78" s="2" t="s">
        <v>151</v>
      </c>
      <c r="C78" s="2">
        <v>3</v>
      </c>
      <c r="D78" s="2">
        <v>94</v>
      </c>
      <c r="E78" s="2" t="s">
        <v>41</v>
      </c>
      <c r="F78" s="2" t="s">
        <v>152</v>
      </c>
      <c r="G78" s="2" t="s">
        <v>23</v>
      </c>
      <c r="H78" s="4">
        <f>5*12+11.25</f>
        <v>71.25</v>
      </c>
      <c r="I78" s="2">
        <v>188</v>
      </c>
      <c r="J78" s="4">
        <v>30</v>
      </c>
      <c r="K78" s="4">
        <v>8.25</v>
      </c>
      <c r="L78" s="6">
        <v>4.5199999999999996</v>
      </c>
      <c r="M78" s="6">
        <v>4.2300000000000004</v>
      </c>
      <c r="N78" s="6">
        <v>6.81</v>
      </c>
      <c r="O78" s="8">
        <v>34</v>
      </c>
      <c r="P78" s="2">
        <v>120</v>
      </c>
      <c r="Q78" s="2">
        <v>11</v>
      </c>
    </row>
    <row r="79" spans="1:17" ht="31.5" x14ac:dyDescent="0.5">
      <c r="A79" s="2">
        <v>2017</v>
      </c>
      <c r="B79" s="2" t="s">
        <v>379</v>
      </c>
      <c r="C79" s="2">
        <v>3</v>
      </c>
      <c r="D79" s="2">
        <v>97</v>
      </c>
      <c r="E79" s="2" t="s">
        <v>31</v>
      </c>
      <c r="F79" s="2" t="s">
        <v>25</v>
      </c>
      <c r="G79" s="2" t="s">
        <v>8</v>
      </c>
      <c r="H79" s="4">
        <f>6*12+1.5</f>
        <v>73.5</v>
      </c>
      <c r="I79" s="2">
        <v>199</v>
      </c>
      <c r="J79" s="4">
        <v>32.4</v>
      </c>
      <c r="K79" s="4">
        <f>9+1/8</f>
        <v>9.125</v>
      </c>
      <c r="L79" s="6">
        <v>4.4000000000000004</v>
      </c>
      <c r="M79" s="6">
        <v>4.32</v>
      </c>
      <c r="N79" s="6">
        <v>7</v>
      </c>
      <c r="O79" s="8">
        <v>29.5</v>
      </c>
      <c r="P79" s="2">
        <v>121</v>
      </c>
      <c r="Q79" s="2">
        <v>13</v>
      </c>
    </row>
    <row r="80" spans="1:17" x14ac:dyDescent="0.5">
      <c r="A80" s="2">
        <v>2017</v>
      </c>
      <c r="B80" s="2" t="s">
        <v>153</v>
      </c>
      <c r="C80" s="2">
        <v>3</v>
      </c>
      <c r="D80" s="2">
        <v>99</v>
      </c>
      <c r="E80" s="2" t="s">
        <v>21</v>
      </c>
      <c r="F80" s="2" t="s">
        <v>104</v>
      </c>
      <c r="G80" s="2" t="s">
        <v>376</v>
      </c>
      <c r="H80" s="4">
        <f>6*12+1+5/8</f>
        <v>73.625</v>
      </c>
      <c r="I80" s="2">
        <v>209</v>
      </c>
      <c r="J80" s="4">
        <f>32+3/8</f>
        <v>32.375</v>
      </c>
      <c r="K80" s="4">
        <v>9.25</v>
      </c>
      <c r="L80" s="6">
        <v>4.59</v>
      </c>
      <c r="M80" s="6">
        <v>4.26</v>
      </c>
      <c r="N80" s="6">
        <v>6.97</v>
      </c>
      <c r="O80" s="8">
        <v>33.5</v>
      </c>
      <c r="P80" s="2">
        <v>120</v>
      </c>
      <c r="Q80" s="2">
        <v>16</v>
      </c>
    </row>
    <row r="81" spans="1:17" x14ac:dyDescent="0.5">
      <c r="A81" s="2">
        <v>2017</v>
      </c>
      <c r="B81" s="2" t="s">
        <v>154</v>
      </c>
      <c r="C81" s="2">
        <v>3</v>
      </c>
      <c r="D81" s="2">
        <v>101</v>
      </c>
      <c r="E81" s="2" t="s">
        <v>15</v>
      </c>
      <c r="F81" s="2" t="s">
        <v>155</v>
      </c>
      <c r="G81" s="2" t="s">
        <v>128</v>
      </c>
      <c r="H81" s="4">
        <f>6*12+3/8</f>
        <v>72.375</v>
      </c>
      <c r="I81" s="2">
        <v>199</v>
      </c>
      <c r="J81" s="4">
        <v>32</v>
      </c>
      <c r="K81" s="4">
        <v>9.5</v>
      </c>
      <c r="L81" s="6">
        <v>4.43</v>
      </c>
      <c r="M81" s="6">
        <v>4.21</v>
      </c>
      <c r="N81" s="6">
        <v>7.06</v>
      </c>
      <c r="O81" s="8">
        <v>35.5</v>
      </c>
      <c r="P81" s="2">
        <v>123</v>
      </c>
      <c r="Q81" s="2">
        <v>22</v>
      </c>
    </row>
    <row r="82" spans="1:17" x14ac:dyDescent="0.5">
      <c r="A82" s="2">
        <v>2017</v>
      </c>
      <c r="B82" s="2" t="s">
        <v>156</v>
      </c>
      <c r="C82" s="2">
        <v>4</v>
      </c>
      <c r="D82" s="2">
        <v>126</v>
      </c>
      <c r="E82" s="2" t="s">
        <v>9</v>
      </c>
      <c r="F82" s="2" t="s">
        <v>92</v>
      </c>
      <c r="G82" s="2" t="s">
        <v>44</v>
      </c>
      <c r="H82" s="4">
        <v>73</v>
      </c>
      <c r="I82" s="2">
        <v>184</v>
      </c>
      <c r="J82" s="4">
        <f>31+3/8</f>
        <v>31.375</v>
      </c>
      <c r="K82" s="4">
        <f>9+5/8</f>
        <v>9.625</v>
      </c>
      <c r="L82" s="6">
        <v>4.57</v>
      </c>
      <c r="M82" s="6">
        <v>3.94</v>
      </c>
      <c r="N82" s="6">
        <v>6.68</v>
      </c>
      <c r="O82" s="8">
        <v>33.5</v>
      </c>
      <c r="P82" s="2">
        <f>9*12+11</f>
        <v>119</v>
      </c>
    </row>
    <row r="83" spans="1:17" x14ac:dyDescent="0.5">
      <c r="A83" s="2">
        <v>2017</v>
      </c>
      <c r="B83" s="2" t="s">
        <v>157</v>
      </c>
      <c r="C83" s="2">
        <v>5</v>
      </c>
      <c r="D83" s="2">
        <v>149</v>
      </c>
      <c r="E83" s="2" t="s">
        <v>37</v>
      </c>
      <c r="F83" s="2" t="s">
        <v>158</v>
      </c>
      <c r="G83" s="2" t="s">
        <v>36</v>
      </c>
      <c r="H83" s="4">
        <f>5*12+10.25</f>
        <v>70.25</v>
      </c>
      <c r="I83" s="2">
        <v>184</v>
      </c>
      <c r="J83" s="4">
        <f>30+7/8</f>
        <v>30.875</v>
      </c>
      <c r="K83" s="4">
        <f>8+5/8</f>
        <v>8.625</v>
      </c>
      <c r="L83" s="6">
        <v>4.54</v>
      </c>
      <c r="M83" s="6">
        <v>4.2699999999999996</v>
      </c>
      <c r="N83" s="6">
        <v>7.11</v>
      </c>
      <c r="O83" s="8">
        <v>34</v>
      </c>
      <c r="P83" s="2">
        <v>124</v>
      </c>
      <c r="Q83" s="2">
        <v>11</v>
      </c>
    </row>
    <row r="84" spans="1:17" x14ac:dyDescent="0.5">
      <c r="A84" s="2">
        <v>2017</v>
      </c>
      <c r="B84" s="2" t="s">
        <v>159</v>
      </c>
      <c r="C84" s="2">
        <v>5</v>
      </c>
      <c r="D84" s="2">
        <v>151</v>
      </c>
      <c r="E84" s="2" t="s">
        <v>13</v>
      </c>
      <c r="F84" s="2" t="s">
        <v>160</v>
      </c>
      <c r="G84" s="2" t="s">
        <v>375</v>
      </c>
      <c r="H84" s="4">
        <f>5*12+9+7/8</f>
        <v>69.875</v>
      </c>
      <c r="I84" s="2">
        <v>201</v>
      </c>
      <c r="J84" s="4">
        <f>31+1/8</f>
        <v>31.125</v>
      </c>
      <c r="K84" s="4">
        <f>9+5/8</f>
        <v>9.625</v>
      </c>
      <c r="L84" s="6">
        <v>4.5999999999999996</v>
      </c>
      <c r="M84" s="6">
        <v>4.18</v>
      </c>
      <c r="N84" s="6">
        <v>6.67</v>
      </c>
      <c r="O84" s="8">
        <v>34</v>
      </c>
      <c r="P84" s="2">
        <f>9*12+9</f>
        <v>117</v>
      </c>
      <c r="Q84" s="2">
        <v>14</v>
      </c>
    </row>
    <row r="85" spans="1:17" x14ac:dyDescent="0.5">
      <c r="A85" s="2">
        <v>2017</v>
      </c>
      <c r="B85" s="2" t="s">
        <v>161</v>
      </c>
      <c r="C85" s="2">
        <v>5</v>
      </c>
      <c r="D85" s="2">
        <v>152</v>
      </c>
      <c r="E85" s="2" t="s">
        <v>39</v>
      </c>
      <c r="F85" s="2" t="s">
        <v>94</v>
      </c>
      <c r="G85" s="2" t="s">
        <v>8</v>
      </c>
      <c r="H85" s="4">
        <f>5*12+9+7/8</f>
        <v>69.875</v>
      </c>
      <c r="I85" s="2">
        <v>183</v>
      </c>
      <c r="J85" s="4">
        <v>31.25</v>
      </c>
      <c r="K85" s="4">
        <v>8.75</v>
      </c>
      <c r="L85" s="6">
        <v>4.49</v>
      </c>
      <c r="O85" s="8">
        <v>35</v>
      </c>
      <c r="P85" s="2">
        <f>9*12+8</f>
        <v>116</v>
      </c>
    </row>
    <row r="86" spans="1:17" x14ac:dyDescent="0.5">
      <c r="A86" s="2">
        <v>2017</v>
      </c>
      <c r="B86" s="2" t="s">
        <v>162</v>
      </c>
      <c r="C86" s="2">
        <v>5</v>
      </c>
      <c r="D86" s="2">
        <v>158</v>
      </c>
      <c r="E86" s="2" t="s">
        <v>70</v>
      </c>
      <c r="F86" s="2" t="s">
        <v>110</v>
      </c>
      <c r="G86" s="2" t="s">
        <v>44</v>
      </c>
      <c r="H86" s="4">
        <f>5*12+11+7/8</f>
        <v>71.875</v>
      </c>
      <c r="I86" s="2">
        <v>196</v>
      </c>
      <c r="J86" s="4">
        <v>31</v>
      </c>
      <c r="K86" s="4">
        <v>9.5</v>
      </c>
      <c r="L86" s="6">
        <v>4.5199999999999996</v>
      </c>
      <c r="M86" s="6">
        <v>4.47</v>
      </c>
      <c r="N86" s="6">
        <v>6.85</v>
      </c>
      <c r="O86" s="8">
        <v>35.5</v>
      </c>
      <c r="P86" s="2">
        <f>9*12+10</f>
        <v>118</v>
      </c>
      <c r="Q86" s="2">
        <v>14</v>
      </c>
    </row>
    <row r="87" spans="1:17" x14ac:dyDescent="0.5">
      <c r="A87" s="2">
        <v>2017</v>
      </c>
      <c r="B87" s="2" t="s">
        <v>163</v>
      </c>
      <c r="C87" s="2">
        <v>5</v>
      </c>
      <c r="D87" s="2">
        <v>165</v>
      </c>
      <c r="E87" s="2" t="s">
        <v>35</v>
      </c>
      <c r="F87" s="2" t="s">
        <v>164</v>
      </c>
      <c r="G87" s="2" t="s">
        <v>165</v>
      </c>
      <c r="H87" s="4">
        <f>5*12+9.5</f>
        <v>69.5</v>
      </c>
      <c r="I87" s="2">
        <v>186</v>
      </c>
      <c r="J87" s="4">
        <v>29.5</v>
      </c>
      <c r="K87" s="4">
        <f>8+3/8</f>
        <v>8.375</v>
      </c>
      <c r="L87" s="6">
        <v>4.34</v>
      </c>
      <c r="M87" s="6">
        <v>4.2699999999999996</v>
      </c>
      <c r="N87" s="6">
        <v>6.92</v>
      </c>
      <c r="O87" s="8">
        <v>36</v>
      </c>
      <c r="P87" s="2">
        <v>125</v>
      </c>
      <c r="Q87" s="2">
        <v>16</v>
      </c>
    </row>
    <row r="88" spans="1:17" x14ac:dyDescent="0.5">
      <c r="A88" s="2">
        <v>2017</v>
      </c>
      <c r="B88" s="2" t="s">
        <v>166</v>
      </c>
      <c r="C88" s="2">
        <v>5</v>
      </c>
      <c r="D88" s="2">
        <v>169</v>
      </c>
      <c r="E88" s="2" t="s">
        <v>53</v>
      </c>
      <c r="F88" s="2" t="s">
        <v>74</v>
      </c>
      <c r="G88" s="2" t="s">
        <v>75</v>
      </c>
      <c r="H88" s="4">
        <f>6*12+2</f>
        <v>74</v>
      </c>
      <c r="I88" s="2">
        <v>206</v>
      </c>
      <c r="J88" s="4">
        <v>33</v>
      </c>
      <c r="K88" s="4">
        <v>9.25</v>
      </c>
      <c r="L88" s="6">
        <v>4.62</v>
      </c>
      <c r="O88" s="8">
        <v>31</v>
      </c>
      <c r="P88" s="2">
        <f>9*12+8</f>
        <v>116</v>
      </c>
      <c r="Q88" s="2">
        <v>11</v>
      </c>
    </row>
    <row r="89" spans="1:17" x14ac:dyDescent="0.5">
      <c r="A89" s="2">
        <v>2017</v>
      </c>
      <c r="B89" s="2" t="s">
        <v>167</v>
      </c>
      <c r="C89" s="2">
        <v>5</v>
      </c>
      <c r="D89" s="2">
        <v>173</v>
      </c>
      <c r="E89" s="2" t="s">
        <v>41</v>
      </c>
      <c r="F89" s="2" t="s">
        <v>30</v>
      </c>
      <c r="G89" s="2" t="s">
        <v>75</v>
      </c>
      <c r="H89" s="4">
        <f>6*12+3+1/8</f>
        <v>75.125</v>
      </c>
      <c r="I89" s="2">
        <v>215</v>
      </c>
      <c r="J89" s="4">
        <v>34</v>
      </c>
      <c r="K89" s="4">
        <v>10</v>
      </c>
      <c r="L89" s="6">
        <v>4.4800000000000004</v>
      </c>
      <c r="M89" s="6">
        <v>4.18</v>
      </c>
      <c r="N89" s="6">
        <v>6.64</v>
      </c>
      <c r="O89" s="8">
        <v>38</v>
      </c>
      <c r="P89" s="2">
        <v>127</v>
      </c>
      <c r="Q89" s="2">
        <v>15</v>
      </c>
    </row>
    <row r="90" spans="1:17" x14ac:dyDescent="0.5">
      <c r="A90" s="2">
        <v>2017</v>
      </c>
      <c r="B90" s="2" t="s">
        <v>168</v>
      </c>
      <c r="C90" s="2">
        <v>6</v>
      </c>
      <c r="D90" s="2">
        <v>197</v>
      </c>
      <c r="E90" s="2" t="s">
        <v>18</v>
      </c>
      <c r="F90" s="2" t="s">
        <v>150</v>
      </c>
      <c r="G90" s="2" t="s">
        <v>375</v>
      </c>
      <c r="H90" s="4">
        <f>6*12+3</f>
        <v>75</v>
      </c>
      <c r="I90" s="2">
        <v>220</v>
      </c>
      <c r="J90" s="4">
        <f>32+7/8</f>
        <v>32.875</v>
      </c>
      <c r="K90" s="4">
        <f>9+3/8</f>
        <v>9.375</v>
      </c>
      <c r="Q90" s="2">
        <v>20</v>
      </c>
    </row>
    <row r="91" spans="1:17" x14ac:dyDescent="0.5">
      <c r="A91" s="2">
        <v>2017</v>
      </c>
      <c r="B91" s="2" t="s">
        <v>169</v>
      </c>
      <c r="C91" s="2">
        <v>6</v>
      </c>
      <c r="D91" s="2">
        <v>204</v>
      </c>
      <c r="E91" s="2" t="s">
        <v>18</v>
      </c>
      <c r="F91" s="2" t="s">
        <v>67</v>
      </c>
      <c r="G91" s="2" t="s">
        <v>23</v>
      </c>
      <c r="H91" s="4">
        <f>6*12+2</f>
        <v>74</v>
      </c>
      <c r="I91" s="2">
        <v>188</v>
      </c>
    </row>
    <row r="92" spans="1:17" x14ac:dyDescent="0.5">
      <c r="A92" s="2">
        <v>2017</v>
      </c>
      <c r="B92" s="2" t="s">
        <v>170</v>
      </c>
      <c r="C92" s="2">
        <v>6</v>
      </c>
      <c r="D92" s="2">
        <v>207</v>
      </c>
      <c r="E92" s="2" t="s">
        <v>11</v>
      </c>
      <c r="F92" s="2" t="s">
        <v>92</v>
      </c>
      <c r="G92" s="2" t="s">
        <v>44</v>
      </c>
      <c r="H92" s="4">
        <f>5*12+10+1/8</f>
        <v>70.125</v>
      </c>
      <c r="I92" s="2">
        <v>198</v>
      </c>
      <c r="J92" s="4">
        <v>30.5</v>
      </c>
      <c r="K92" s="4">
        <v>9</v>
      </c>
      <c r="L92" s="6">
        <v>4.4000000000000004</v>
      </c>
      <c r="M92" s="6">
        <v>4.42</v>
      </c>
      <c r="N92" s="6">
        <v>7.09</v>
      </c>
      <c r="O92" s="8">
        <v>41</v>
      </c>
      <c r="P92" s="2">
        <f>11*12+1</f>
        <v>133</v>
      </c>
      <c r="Q92" s="2">
        <v>24</v>
      </c>
    </row>
    <row r="93" spans="1:17" x14ac:dyDescent="0.5">
      <c r="A93" s="2">
        <v>2017</v>
      </c>
      <c r="B93" s="2" t="s">
        <v>171</v>
      </c>
      <c r="C93" s="2">
        <v>6</v>
      </c>
      <c r="D93" s="2">
        <v>216</v>
      </c>
      <c r="E93" s="2" t="s">
        <v>59</v>
      </c>
      <c r="F93" s="2" t="s">
        <v>66</v>
      </c>
      <c r="G93" s="2" t="s">
        <v>8</v>
      </c>
      <c r="H93" s="4">
        <f>6*12</f>
        <v>72</v>
      </c>
      <c r="I93" s="2">
        <v>194</v>
      </c>
      <c r="J93" s="4">
        <f>32+1/8</f>
        <v>32.125</v>
      </c>
      <c r="K93" s="4">
        <v>10</v>
      </c>
      <c r="L93" s="6">
        <v>4.59</v>
      </c>
      <c r="O93" s="8">
        <v>36</v>
      </c>
      <c r="P93" s="2">
        <f>10*12+3</f>
        <v>123</v>
      </c>
    </row>
    <row r="94" spans="1:17" x14ac:dyDescent="0.5">
      <c r="A94" s="2">
        <v>2017</v>
      </c>
      <c r="B94" s="2" t="s">
        <v>172</v>
      </c>
      <c r="C94" s="2">
        <v>7</v>
      </c>
      <c r="D94" s="2">
        <v>222</v>
      </c>
      <c r="E94" s="2" t="s">
        <v>28</v>
      </c>
      <c r="F94" s="2" t="s">
        <v>136</v>
      </c>
      <c r="G94" s="2" t="s">
        <v>375</v>
      </c>
      <c r="H94" s="4">
        <f>5*12+9+5/8</f>
        <v>69.625</v>
      </c>
      <c r="I94" s="2">
        <v>200</v>
      </c>
      <c r="J94" s="4">
        <f>31+5/8</f>
        <v>31.625</v>
      </c>
      <c r="K94" s="4">
        <v>8.75</v>
      </c>
      <c r="L94" s="6">
        <v>4.28</v>
      </c>
      <c r="M94" s="6">
        <v>4.1500000000000004</v>
      </c>
      <c r="N94" s="6">
        <v>7.02</v>
      </c>
      <c r="O94" s="8">
        <v>37.5</v>
      </c>
      <c r="P94" s="2">
        <v>124</v>
      </c>
      <c r="Q94" s="2">
        <v>13</v>
      </c>
    </row>
    <row r="95" spans="1:17" x14ac:dyDescent="0.5">
      <c r="A95" s="2">
        <v>2017</v>
      </c>
      <c r="B95" s="2" t="s">
        <v>387</v>
      </c>
      <c r="C95" s="2">
        <v>7</v>
      </c>
      <c r="D95" s="2">
        <v>229</v>
      </c>
      <c r="E95" s="2" t="s">
        <v>33</v>
      </c>
      <c r="F95" s="2" t="s">
        <v>94</v>
      </c>
      <c r="G95" s="2" t="s">
        <v>8</v>
      </c>
      <c r="H95" s="4">
        <f>6*12+0.5</f>
        <v>72.5</v>
      </c>
      <c r="I95" s="2">
        <v>200</v>
      </c>
      <c r="J95" s="4">
        <v>31.75</v>
      </c>
      <c r="K95" s="4">
        <v>8</v>
      </c>
      <c r="L95" s="6">
        <v>4.49</v>
      </c>
      <c r="M95" s="6">
        <v>4.3099999999999996</v>
      </c>
      <c r="N95" s="6">
        <v>7.24</v>
      </c>
      <c r="O95" s="8">
        <v>33</v>
      </c>
      <c r="P95" s="2">
        <f>9*12+9</f>
        <v>117</v>
      </c>
      <c r="Q95" s="2">
        <v>10</v>
      </c>
    </row>
    <row r="96" spans="1:17" x14ac:dyDescent="0.5">
      <c r="A96" s="2">
        <v>2017</v>
      </c>
      <c r="B96" s="2" t="s">
        <v>173</v>
      </c>
      <c r="C96" s="2">
        <v>7</v>
      </c>
      <c r="D96" s="2">
        <v>235</v>
      </c>
      <c r="E96" s="2" t="s">
        <v>24</v>
      </c>
      <c r="F96" s="2" t="s">
        <v>125</v>
      </c>
      <c r="G96" s="2" t="s">
        <v>23</v>
      </c>
      <c r="H96" s="4">
        <f>5*12+9.75</f>
        <v>69.75</v>
      </c>
      <c r="I96" s="2">
        <v>190</v>
      </c>
      <c r="J96" s="4">
        <v>29.75</v>
      </c>
      <c r="K96" s="4">
        <f>9+1/8</f>
        <v>9.125</v>
      </c>
      <c r="L96" s="6">
        <v>4.4800000000000004</v>
      </c>
      <c r="M96" s="6">
        <v>4.4000000000000004</v>
      </c>
      <c r="N96" s="6">
        <v>6.99</v>
      </c>
      <c r="O96" s="8">
        <v>35</v>
      </c>
      <c r="P96" s="2">
        <f>9*12+10</f>
        <v>118</v>
      </c>
      <c r="Q96" s="2">
        <v>15</v>
      </c>
    </row>
    <row r="97" spans="1:17" x14ac:dyDescent="0.5">
      <c r="A97" s="2">
        <v>2017</v>
      </c>
      <c r="B97" s="2" t="s">
        <v>388</v>
      </c>
      <c r="C97" s="2">
        <v>7</v>
      </c>
      <c r="D97" s="2">
        <v>245</v>
      </c>
      <c r="E97" s="2" t="s">
        <v>45</v>
      </c>
      <c r="F97" s="2" t="s">
        <v>34</v>
      </c>
      <c r="G97" s="2" t="s">
        <v>8</v>
      </c>
      <c r="H97" s="4">
        <f>6*12+1/4</f>
        <v>72.25</v>
      </c>
      <c r="I97" s="2">
        <v>202</v>
      </c>
      <c r="J97" s="4">
        <f>31+5/8</f>
        <v>31.625</v>
      </c>
      <c r="K97" s="4">
        <f>9+3/8</f>
        <v>9.375</v>
      </c>
      <c r="L97" s="6">
        <v>4.5199999999999996</v>
      </c>
      <c r="M97" s="6">
        <v>4.34</v>
      </c>
      <c r="N97" s="6">
        <v>7.11</v>
      </c>
      <c r="O97" s="8">
        <v>35</v>
      </c>
      <c r="P97" s="2">
        <v>125</v>
      </c>
      <c r="Q97" s="2">
        <v>21</v>
      </c>
    </row>
    <row r="98" spans="1:17" x14ac:dyDescent="0.5">
      <c r="A98" s="2">
        <v>2018</v>
      </c>
      <c r="B98" s="2" t="s">
        <v>174</v>
      </c>
      <c r="C98" s="2">
        <v>1</v>
      </c>
      <c r="D98" s="2">
        <v>4</v>
      </c>
      <c r="E98" s="2" t="s">
        <v>9</v>
      </c>
      <c r="F98" s="2" t="s">
        <v>16</v>
      </c>
      <c r="G98" s="2" t="s">
        <v>375</v>
      </c>
      <c r="H98" s="4">
        <f>5*12+10+7/8</f>
        <v>70.875</v>
      </c>
      <c r="I98" s="2">
        <v>183</v>
      </c>
      <c r="J98" s="4">
        <v>31.25</v>
      </c>
      <c r="K98" s="4">
        <v>8.75</v>
      </c>
      <c r="L98" s="6">
        <v>4.32</v>
      </c>
      <c r="O98" s="8">
        <v>39</v>
      </c>
      <c r="P98" s="2">
        <f>11*12+4</f>
        <v>136</v>
      </c>
      <c r="Q98" s="2">
        <v>16</v>
      </c>
    </row>
    <row r="99" spans="1:17" x14ac:dyDescent="0.5">
      <c r="A99" s="2">
        <v>2018</v>
      </c>
      <c r="B99" s="2" t="s">
        <v>175</v>
      </c>
      <c r="C99" s="2">
        <v>1</v>
      </c>
      <c r="D99" s="2">
        <v>18</v>
      </c>
      <c r="E99" s="2" t="s">
        <v>51</v>
      </c>
      <c r="F99" s="2" t="s">
        <v>83</v>
      </c>
      <c r="G99" s="2" t="s">
        <v>8</v>
      </c>
      <c r="H99" s="4">
        <f>5*12+10.25</f>
        <v>70.25</v>
      </c>
      <c r="I99" s="2">
        <v>196</v>
      </c>
      <c r="J99" s="4">
        <f>31+1/8</f>
        <v>31.125</v>
      </c>
      <c r="K99" s="4">
        <v>9.5</v>
      </c>
      <c r="L99" s="6">
        <v>4.38</v>
      </c>
      <c r="M99" s="6">
        <v>3.98</v>
      </c>
      <c r="N99" s="6">
        <v>6.71</v>
      </c>
      <c r="O99" s="8">
        <v>35</v>
      </c>
      <c r="P99" s="2">
        <v>127</v>
      </c>
      <c r="Q99" s="2">
        <v>14</v>
      </c>
    </row>
    <row r="100" spans="1:17" x14ac:dyDescent="0.5">
      <c r="A100" s="2">
        <v>2018</v>
      </c>
      <c r="B100" s="2" t="s">
        <v>176</v>
      </c>
      <c r="C100" s="2">
        <v>1</v>
      </c>
      <c r="D100" s="2">
        <v>30</v>
      </c>
      <c r="E100" s="2" t="s">
        <v>45</v>
      </c>
      <c r="F100" s="2" t="s">
        <v>148</v>
      </c>
      <c r="G100" s="2" t="s">
        <v>44</v>
      </c>
      <c r="H100" s="4">
        <f>5*12+10+1/8</f>
        <v>70.125</v>
      </c>
      <c r="I100" s="2">
        <v>189</v>
      </c>
      <c r="J100" s="4">
        <f>30+7/8</f>
        <v>30.875</v>
      </c>
      <c r="K100" s="4">
        <v>8.75</v>
      </c>
      <c r="L100" s="6">
        <v>4.53</v>
      </c>
      <c r="M100" s="6">
        <v>4.13</v>
      </c>
      <c r="N100" s="6">
        <v>6.7</v>
      </c>
      <c r="O100" s="8">
        <v>35.5</v>
      </c>
      <c r="P100" s="2">
        <v>127</v>
      </c>
      <c r="Q100" s="2">
        <v>20</v>
      </c>
    </row>
    <row r="101" spans="1:17" x14ac:dyDescent="0.5">
      <c r="A101" s="2">
        <v>2018</v>
      </c>
      <c r="B101" s="2" t="s">
        <v>177</v>
      </c>
      <c r="C101" s="2">
        <v>2</v>
      </c>
      <c r="D101" s="2">
        <v>45</v>
      </c>
      <c r="E101" s="2" t="s">
        <v>51</v>
      </c>
      <c r="F101" s="2" t="s">
        <v>160</v>
      </c>
      <c r="G101" s="2" t="s">
        <v>375</v>
      </c>
      <c r="H101" s="4">
        <f>6*12+3/8</f>
        <v>72.375</v>
      </c>
      <c r="I101" s="2">
        <v>196</v>
      </c>
      <c r="J101" s="4">
        <f>31+1/8</f>
        <v>31.125</v>
      </c>
      <c r="K101" s="4">
        <f>9+3/8</f>
        <v>9.375</v>
      </c>
      <c r="L101" s="6">
        <v>4.5599999999999996</v>
      </c>
      <c r="M101" s="6">
        <v>4.03</v>
      </c>
      <c r="N101" s="6">
        <v>6.86</v>
      </c>
      <c r="O101" s="8">
        <v>38</v>
      </c>
      <c r="P101" s="2">
        <v>123</v>
      </c>
      <c r="Q101" s="2">
        <v>18</v>
      </c>
    </row>
    <row r="102" spans="1:17" x14ac:dyDescent="0.5">
      <c r="A102" s="2">
        <v>2018</v>
      </c>
      <c r="B102" s="2" t="s">
        <v>390</v>
      </c>
      <c r="C102" s="2">
        <v>2</v>
      </c>
      <c r="D102" s="2">
        <v>53</v>
      </c>
      <c r="E102" s="2" t="s">
        <v>90</v>
      </c>
      <c r="F102" s="2" t="s">
        <v>56</v>
      </c>
      <c r="G102" s="2" t="s">
        <v>8</v>
      </c>
      <c r="H102" s="4">
        <f>5*12+10+7/8</f>
        <v>70.875</v>
      </c>
      <c r="I102" s="2">
        <v>200</v>
      </c>
      <c r="J102" s="4">
        <v>31.25</v>
      </c>
      <c r="K102" s="4">
        <v>9.25</v>
      </c>
      <c r="L102" s="6">
        <v>4.54</v>
      </c>
      <c r="M102" s="6">
        <v>4.28</v>
      </c>
      <c r="N102" s="6">
        <v>6.9</v>
      </c>
      <c r="O102" s="8">
        <v>35</v>
      </c>
      <c r="P102" s="2">
        <f>9*12+10</f>
        <v>118</v>
      </c>
      <c r="Q102" s="2">
        <v>18</v>
      </c>
    </row>
    <row r="103" spans="1:17" x14ac:dyDescent="0.5">
      <c r="A103" s="2">
        <v>2018</v>
      </c>
      <c r="B103" s="2" t="s">
        <v>178</v>
      </c>
      <c r="C103" s="2">
        <v>2</v>
      </c>
      <c r="D103" s="2">
        <v>55</v>
      </c>
      <c r="E103" s="2" t="s">
        <v>39</v>
      </c>
      <c r="F103" s="2" t="s">
        <v>65</v>
      </c>
      <c r="G103" s="2" t="s">
        <v>23</v>
      </c>
      <c r="H103" s="4">
        <f>5*12+10+0.5</f>
        <v>70.5</v>
      </c>
      <c r="I103" s="2">
        <v>178</v>
      </c>
      <c r="J103" s="4">
        <v>29.5</v>
      </c>
      <c r="K103" s="4">
        <v>8.75</v>
      </c>
      <c r="L103" s="6">
        <v>4.3099999999999996</v>
      </c>
      <c r="O103" s="8">
        <v>37</v>
      </c>
      <c r="P103" s="2">
        <v>124</v>
      </c>
      <c r="Q103" s="2">
        <v>7</v>
      </c>
    </row>
    <row r="104" spans="1:17" x14ac:dyDescent="0.5">
      <c r="A104" s="2">
        <v>2018</v>
      </c>
      <c r="B104" s="2" t="s">
        <v>179</v>
      </c>
      <c r="C104" s="2">
        <v>2</v>
      </c>
      <c r="D104" s="2">
        <v>56</v>
      </c>
      <c r="E104" s="2" t="s">
        <v>85</v>
      </c>
      <c r="F104" s="2" t="s">
        <v>22</v>
      </c>
      <c r="G104" s="2" t="s">
        <v>23</v>
      </c>
      <c r="H104" s="4">
        <f>5*12+10+5/8</f>
        <v>70.625</v>
      </c>
      <c r="I104" s="2">
        <v>197</v>
      </c>
      <c r="J104" s="4">
        <v>31.5</v>
      </c>
      <c r="K104" s="4">
        <v>9</v>
      </c>
      <c r="L104" s="6">
        <v>4.46</v>
      </c>
      <c r="M104" s="6">
        <v>4.3899999999999997</v>
      </c>
      <c r="N104" s="6">
        <v>7.02</v>
      </c>
      <c r="Q104" s="2">
        <v>15</v>
      </c>
    </row>
    <row r="105" spans="1:17" x14ac:dyDescent="0.5">
      <c r="A105" s="2">
        <v>2018</v>
      </c>
      <c r="B105" s="2" t="s">
        <v>180</v>
      </c>
      <c r="C105" s="2">
        <v>2</v>
      </c>
      <c r="D105" s="2">
        <v>58</v>
      </c>
      <c r="E105" s="2" t="s">
        <v>37</v>
      </c>
      <c r="F105" s="2" t="s">
        <v>143</v>
      </c>
      <c r="G105" s="2" t="s">
        <v>75</v>
      </c>
      <c r="H105" s="4">
        <f>6*12+1/4</f>
        <v>72.25</v>
      </c>
      <c r="I105" s="2">
        <v>201</v>
      </c>
      <c r="J105" s="4">
        <v>33.5</v>
      </c>
      <c r="K105" s="4">
        <v>9.75</v>
      </c>
      <c r="L105" s="6">
        <v>4.5</v>
      </c>
    </row>
    <row r="106" spans="1:17" x14ac:dyDescent="0.5">
      <c r="A106" s="2">
        <v>2018</v>
      </c>
      <c r="B106" s="2" t="s">
        <v>181</v>
      </c>
      <c r="C106" s="2">
        <v>2</v>
      </c>
      <c r="D106" s="2">
        <v>63</v>
      </c>
      <c r="E106" s="2" t="s">
        <v>90</v>
      </c>
      <c r="F106" s="2" t="s">
        <v>125</v>
      </c>
      <c r="G106" s="2" t="s">
        <v>23</v>
      </c>
      <c r="H106" s="4">
        <f>6*12+1</f>
        <v>73</v>
      </c>
      <c r="I106" s="2">
        <v>206</v>
      </c>
      <c r="J106" s="4">
        <v>32.75</v>
      </c>
      <c r="K106" s="4">
        <f>8+7/8</f>
        <v>8.875</v>
      </c>
      <c r="L106" s="6">
        <v>4.4400000000000004</v>
      </c>
      <c r="M106" s="6">
        <v>4.3099999999999996</v>
      </c>
      <c r="N106" s="6">
        <v>7.3</v>
      </c>
      <c r="O106" s="8">
        <v>34</v>
      </c>
      <c r="P106" s="2">
        <v>124</v>
      </c>
      <c r="Q106" s="2">
        <v>16</v>
      </c>
    </row>
    <row r="107" spans="1:17" x14ac:dyDescent="0.5">
      <c r="A107" s="2">
        <v>2018</v>
      </c>
      <c r="B107" s="2" t="s">
        <v>182</v>
      </c>
      <c r="C107" s="2">
        <v>3</v>
      </c>
      <c r="D107" s="2">
        <v>85</v>
      </c>
      <c r="E107" s="2" t="s">
        <v>39</v>
      </c>
      <c r="F107" s="2" t="s">
        <v>152</v>
      </c>
      <c r="G107" s="2" t="s">
        <v>23</v>
      </c>
    </row>
    <row r="108" spans="1:17" x14ac:dyDescent="0.5">
      <c r="A108" s="2">
        <v>2018</v>
      </c>
      <c r="B108" s="2" t="s">
        <v>183</v>
      </c>
      <c r="C108" s="2">
        <v>3</v>
      </c>
      <c r="D108" s="2">
        <v>99</v>
      </c>
      <c r="E108" s="2" t="s">
        <v>15</v>
      </c>
      <c r="F108" s="2" t="s">
        <v>184</v>
      </c>
      <c r="G108" s="2" t="s">
        <v>8</v>
      </c>
      <c r="H108" s="4">
        <f>6*12+7/8</f>
        <v>72.875</v>
      </c>
      <c r="I108" s="2">
        <v>190</v>
      </c>
      <c r="J108" s="4">
        <v>32.25</v>
      </c>
      <c r="K108" s="4">
        <f>8+7/8</f>
        <v>8.875</v>
      </c>
      <c r="L108" s="6">
        <v>4.5199999999999996</v>
      </c>
      <c r="M108" s="6">
        <v>4.18</v>
      </c>
      <c r="N108" s="6">
        <v>6.85</v>
      </c>
      <c r="O108" s="8">
        <v>34.5</v>
      </c>
      <c r="P108" s="2">
        <v>120</v>
      </c>
      <c r="Q108" s="2">
        <v>8</v>
      </c>
    </row>
    <row r="109" spans="1:17" x14ac:dyDescent="0.5">
      <c r="A109" s="2">
        <v>2018</v>
      </c>
      <c r="B109" s="2" t="s">
        <v>185</v>
      </c>
      <c r="C109" s="2">
        <v>4</v>
      </c>
      <c r="D109" s="2">
        <v>110</v>
      </c>
      <c r="E109" s="2" t="s">
        <v>29</v>
      </c>
      <c r="F109" s="2" t="s">
        <v>186</v>
      </c>
      <c r="G109" s="2" t="s">
        <v>375</v>
      </c>
      <c r="H109" s="4">
        <f>5*12+10+5/8</f>
        <v>70.625</v>
      </c>
      <c r="I109" s="2">
        <v>200</v>
      </c>
      <c r="J109" s="4">
        <v>30.75</v>
      </c>
      <c r="K109" s="4">
        <v>9.25</v>
      </c>
      <c r="L109" s="6">
        <v>4.5199999999999996</v>
      </c>
      <c r="P109" s="2">
        <v>123</v>
      </c>
      <c r="Q109" s="2">
        <v>17</v>
      </c>
    </row>
    <row r="110" spans="1:17" x14ac:dyDescent="0.5">
      <c r="A110" s="2">
        <v>2018</v>
      </c>
      <c r="B110" s="2" t="s">
        <v>187</v>
      </c>
      <c r="C110" s="2">
        <v>4</v>
      </c>
      <c r="D110" s="2">
        <v>118</v>
      </c>
      <c r="E110" s="2" t="s">
        <v>78</v>
      </c>
      <c r="F110" s="2" t="s">
        <v>98</v>
      </c>
      <c r="G110" s="2" t="s">
        <v>23</v>
      </c>
      <c r="H110" s="4">
        <f>5*12+11+1/8</f>
        <v>71.125</v>
      </c>
      <c r="I110" s="2">
        <v>183</v>
      </c>
      <c r="J110" s="4">
        <v>30.25</v>
      </c>
      <c r="K110" s="4">
        <v>8.5</v>
      </c>
      <c r="L110" s="6">
        <v>4.3600000000000003</v>
      </c>
      <c r="M110" s="6">
        <v>4.4000000000000004</v>
      </c>
      <c r="N110" s="6">
        <v>6.93</v>
      </c>
      <c r="O110" s="8">
        <v>31.5</v>
      </c>
      <c r="P110" s="2">
        <f>9*12+11</f>
        <v>119</v>
      </c>
      <c r="Q110" s="2">
        <v>13</v>
      </c>
    </row>
    <row r="111" spans="1:17" x14ac:dyDescent="0.5">
      <c r="A111" s="2">
        <v>2018</v>
      </c>
      <c r="B111" s="2" t="s">
        <v>188</v>
      </c>
      <c r="C111" s="2">
        <v>4</v>
      </c>
      <c r="D111" s="2">
        <v>121</v>
      </c>
      <c r="E111" s="2" t="s">
        <v>26</v>
      </c>
      <c r="F111" s="2" t="s">
        <v>189</v>
      </c>
      <c r="G111" s="2" t="s">
        <v>119</v>
      </c>
      <c r="H111" s="4">
        <f>5*12+11+1/8</f>
        <v>71.125</v>
      </c>
      <c r="I111" s="2">
        <v>192</v>
      </c>
      <c r="J111" s="4">
        <f>30+7/8</f>
        <v>30.875</v>
      </c>
      <c r="K111" s="4">
        <f>9+1/8</f>
        <v>9.125</v>
      </c>
      <c r="L111" s="6">
        <v>4.5</v>
      </c>
      <c r="M111" s="6">
        <v>4.2699999999999996</v>
      </c>
      <c r="N111" s="6">
        <v>6.86</v>
      </c>
      <c r="O111" s="8">
        <v>33</v>
      </c>
      <c r="P111" s="2">
        <f>9*12+10</f>
        <v>118</v>
      </c>
      <c r="Q111" s="2">
        <v>17</v>
      </c>
    </row>
    <row r="112" spans="1:17" x14ac:dyDescent="0.5">
      <c r="A112" s="2">
        <v>2018</v>
      </c>
      <c r="B112" s="2" t="s">
        <v>190</v>
      </c>
      <c r="C112" s="2">
        <v>4</v>
      </c>
      <c r="D112" s="2">
        <v>125</v>
      </c>
      <c r="E112" s="2" t="s">
        <v>21</v>
      </c>
      <c r="F112" s="2" t="s">
        <v>191</v>
      </c>
      <c r="G112" s="2" t="s">
        <v>8</v>
      </c>
      <c r="H112" s="4">
        <f>5*12+9+1/8</f>
        <v>69.125</v>
      </c>
      <c r="I112" s="2">
        <v>184</v>
      </c>
      <c r="J112" s="4">
        <v>29.5</v>
      </c>
      <c r="K112" s="4">
        <v>8.75</v>
      </c>
      <c r="L112" s="6">
        <v>4.3899999999999997</v>
      </c>
      <c r="M112" s="6">
        <v>4</v>
      </c>
      <c r="N112" s="6">
        <v>6.51</v>
      </c>
      <c r="O112" s="8">
        <v>37</v>
      </c>
      <c r="P112" s="2">
        <v>125</v>
      </c>
      <c r="Q112" s="2">
        <v>13</v>
      </c>
    </row>
    <row r="113" spans="1:17" x14ac:dyDescent="0.5">
      <c r="A113" s="2">
        <v>2018</v>
      </c>
      <c r="B113" s="2" t="s">
        <v>394</v>
      </c>
      <c r="C113" s="2">
        <v>5</v>
      </c>
      <c r="D113" s="2">
        <v>142</v>
      </c>
      <c r="E113" s="2" t="s">
        <v>33</v>
      </c>
      <c r="F113" s="2" t="s">
        <v>84</v>
      </c>
      <c r="G113" s="2" t="s">
        <v>376</v>
      </c>
      <c r="H113" s="4">
        <f>5*12+9+1/8</f>
        <v>69.125</v>
      </c>
      <c r="I113" s="2">
        <v>188</v>
      </c>
      <c r="J113" s="4">
        <f>31+5/8</f>
        <v>31.625</v>
      </c>
      <c r="K113" s="4">
        <v>10</v>
      </c>
      <c r="L113" s="6">
        <v>4.51</v>
      </c>
      <c r="M113" s="6">
        <v>4.0599999999999996</v>
      </c>
      <c r="N113" s="6">
        <v>6.82</v>
      </c>
      <c r="O113" s="8">
        <v>36.5</v>
      </c>
      <c r="P113" s="2">
        <f>10*12+4</f>
        <v>124</v>
      </c>
      <c r="Q113" s="2">
        <v>11</v>
      </c>
    </row>
    <row r="114" spans="1:17" x14ac:dyDescent="0.5">
      <c r="A114" s="2">
        <v>2018</v>
      </c>
      <c r="B114" s="2" t="s">
        <v>192</v>
      </c>
      <c r="C114" s="2">
        <v>5</v>
      </c>
      <c r="D114" s="2">
        <v>151</v>
      </c>
      <c r="E114" s="2" t="s">
        <v>11</v>
      </c>
      <c r="F114" s="2" t="s">
        <v>193</v>
      </c>
      <c r="G114" s="2" t="s">
        <v>194</v>
      </c>
      <c r="H114" s="4">
        <f>5*12+11+3/8</f>
        <v>71.375</v>
      </c>
      <c r="I114" s="2">
        <v>205</v>
      </c>
      <c r="J114" s="4">
        <f>31+1/8</f>
        <v>31.125</v>
      </c>
      <c r="K114" s="4">
        <v>8.75</v>
      </c>
      <c r="L114" s="6">
        <v>4.43</v>
      </c>
      <c r="M114" s="6">
        <v>4.4000000000000004</v>
      </c>
      <c r="N114" s="6">
        <v>6.96</v>
      </c>
      <c r="O114" s="8">
        <v>33.5</v>
      </c>
      <c r="P114" s="2">
        <v>123</v>
      </c>
      <c r="Q114" s="2">
        <v>22</v>
      </c>
    </row>
    <row r="115" spans="1:17" x14ac:dyDescent="0.5">
      <c r="A115" s="2">
        <v>2018</v>
      </c>
      <c r="B115" s="2" t="s">
        <v>195</v>
      </c>
      <c r="C115" s="2">
        <v>5</v>
      </c>
      <c r="D115" s="2">
        <v>152</v>
      </c>
      <c r="E115" s="2" t="s">
        <v>117</v>
      </c>
      <c r="F115" s="2" t="s">
        <v>42</v>
      </c>
      <c r="G115" s="2" t="s">
        <v>75</v>
      </c>
      <c r="H115" s="4">
        <f>6*12+1.25</f>
        <v>73.25</v>
      </c>
      <c r="I115" s="2">
        <v>209</v>
      </c>
      <c r="J115" s="4">
        <v>31</v>
      </c>
      <c r="K115" s="4">
        <v>8.75</v>
      </c>
      <c r="L115" s="6">
        <v>4.41</v>
      </c>
      <c r="M115" s="6">
        <v>4.24</v>
      </c>
      <c r="N115" s="6">
        <v>6.89</v>
      </c>
      <c r="O115" s="8">
        <v>38.5</v>
      </c>
      <c r="P115" s="2">
        <v>121</v>
      </c>
      <c r="Q115" s="2">
        <v>25</v>
      </c>
    </row>
    <row r="116" spans="1:17" x14ac:dyDescent="0.5">
      <c r="A116" s="2">
        <v>2018</v>
      </c>
      <c r="B116" s="2" t="s">
        <v>196</v>
      </c>
      <c r="C116" s="2">
        <v>5</v>
      </c>
      <c r="D116" s="2">
        <v>154</v>
      </c>
      <c r="E116" s="2" t="s">
        <v>26</v>
      </c>
      <c r="F116" s="2" t="s">
        <v>197</v>
      </c>
      <c r="G116" s="2" t="s">
        <v>198</v>
      </c>
      <c r="H116" s="4">
        <f>6*12</f>
        <v>72</v>
      </c>
      <c r="I116" s="2">
        <v>206</v>
      </c>
      <c r="J116" s="4">
        <f>31+1/8</f>
        <v>31.125</v>
      </c>
      <c r="K116" s="4">
        <f>9+7/8</f>
        <v>9.875</v>
      </c>
      <c r="L116" s="6">
        <v>4.5599999999999996</v>
      </c>
      <c r="M116" s="6">
        <v>4.28</v>
      </c>
      <c r="N116" s="6">
        <v>7</v>
      </c>
      <c r="O116" s="8">
        <v>40.5</v>
      </c>
      <c r="P116" s="2">
        <v>122</v>
      </c>
      <c r="Q116" s="2">
        <v>17</v>
      </c>
    </row>
    <row r="117" spans="1:17" x14ac:dyDescent="0.5">
      <c r="A117" s="2">
        <v>2018</v>
      </c>
      <c r="B117" s="2" t="s">
        <v>199</v>
      </c>
      <c r="C117" s="2">
        <v>5</v>
      </c>
      <c r="D117" s="2">
        <v>170</v>
      </c>
      <c r="E117" s="2" t="s">
        <v>11</v>
      </c>
      <c r="F117" s="2" t="s">
        <v>200</v>
      </c>
      <c r="G117" s="2" t="s">
        <v>55</v>
      </c>
      <c r="H117" s="4">
        <f>5*12+9+7/8</f>
        <v>69.875</v>
      </c>
      <c r="I117" s="2">
        <v>193</v>
      </c>
      <c r="J117" s="4">
        <v>31.5</v>
      </c>
      <c r="K117" s="4">
        <f>9+1/8</f>
        <v>9.125</v>
      </c>
      <c r="L117" s="6">
        <v>4.4000000000000004</v>
      </c>
      <c r="M117" s="6">
        <v>4.18</v>
      </c>
      <c r="O117" s="8">
        <v>32.5</v>
      </c>
      <c r="Q117" s="2">
        <v>9</v>
      </c>
    </row>
    <row r="118" spans="1:17" x14ac:dyDescent="0.5">
      <c r="A118" s="2">
        <v>2018</v>
      </c>
      <c r="B118" s="2" t="s">
        <v>201</v>
      </c>
      <c r="C118" s="2">
        <v>6</v>
      </c>
      <c r="D118" s="2">
        <v>179</v>
      </c>
      <c r="E118" s="2" t="s">
        <v>18</v>
      </c>
      <c r="F118" s="2" t="s">
        <v>80</v>
      </c>
      <c r="G118" s="2" t="s">
        <v>44</v>
      </c>
      <c r="H118" s="4">
        <f>5*12+10+3/8</f>
        <v>70.375</v>
      </c>
      <c r="I118" s="2">
        <v>182</v>
      </c>
      <c r="J118" s="4">
        <v>30.25</v>
      </c>
      <c r="K118" s="4">
        <v>8.25</v>
      </c>
      <c r="L118" s="6">
        <v>4.32</v>
      </c>
      <c r="M118" s="6">
        <v>4.29</v>
      </c>
      <c r="N118" s="6">
        <v>7.31</v>
      </c>
      <c r="O118" s="8">
        <v>33.5</v>
      </c>
      <c r="P118" s="2">
        <v>120</v>
      </c>
      <c r="Q118" s="2">
        <v>15</v>
      </c>
    </row>
    <row r="119" spans="1:17" x14ac:dyDescent="0.5">
      <c r="A119" s="2">
        <v>2018</v>
      </c>
      <c r="B119" s="2" t="s">
        <v>202</v>
      </c>
      <c r="C119" s="2">
        <v>6</v>
      </c>
      <c r="D119" s="2">
        <v>182</v>
      </c>
      <c r="E119" s="2" t="s">
        <v>107</v>
      </c>
      <c r="F119" s="2" t="s">
        <v>203</v>
      </c>
      <c r="G119" s="2" t="s">
        <v>375</v>
      </c>
    </row>
    <row r="120" spans="1:17" x14ac:dyDescent="0.5">
      <c r="A120" s="2">
        <v>2018</v>
      </c>
      <c r="B120" s="2" t="s">
        <v>204</v>
      </c>
      <c r="C120" s="2">
        <v>6</v>
      </c>
      <c r="D120" s="2">
        <v>188</v>
      </c>
      <c r="E120" s="2" t="s">
        <v>9</v>
      </c>
      <c r="F120" s="2" t="s">
        <v>205</v>
      </c>
      <c r="G120" s="2" t="s">
        <v>72</v>
      </c>
    </row>
    <row r="121" spans="1:17" x14ac:dyDescent="0.5">
      <c r="A121" s="2">
        <v>2018</v>
      </c>
      <c r="B121" s="2" t="s">
        <v>206</v>
      </c>
      <c r="C121" s="2">
        <v>6</v>
      </c>
      <c r="D121" s="2">
        <v>189</v>
      </c>
      <c r="E121" s="2" t="s">
        <v>17</v>
      </c>
      <c r="F121" s="2" t="s">
        <v>184</v>
      </c>
      <c r="G121" s="2" t="s">
        <v>8</v>
      </c>
    </row>
    <row r="122" spans="1:17" x14ac:dyDescent="0.5">
      <c r="A122" s="2">
        <v>2018</v>
      </c>
      <c r="B122" s="2" t="s">
        <v>207</v>
      </c>
      <c r="C122" s="2">
        <v>6</v>
      </c>
      <c r="D122" s="2">
        <v>196</v>
      </c>
      <c r="E122" s="2" t="s">
        <v>20</v>
      </c>
      <c r="F122" s="2" t="s">
        <v>208</v>
      </c>
      <c r="G122" s="2" t="s">
        <v>128</v>
      </c>
      <c r="H122" s="4">
        <f>5*12+9+5/8</f>
        <v>69.625</v>
      </c>
      <c r="I122" s="2">
        <v>191</v>
      </c>
      <c r="J122" s="4">
        <v>31</v>
      </c>
      <c r="K122" s="4">
        <f>8+3/8</f>
        <v>8.375</v>
      </c>
      <c r="L122" s="6">
        <v>4.4000000000000004</v>
      </c>
      <c r="M122" s="6">
        <v>4.1399999999999997</v>
      </c>
      <c r="N122" s="6">
        <v>7.03</v>
      </c>
      <c r="O122" s="8">
        <v>34</v>
      </c>
      <c r="P122" s="2">
        <f>9*12+11</f>
        <v>119</v>
      </c>
      <c r="Q122" s="2">
        <v>15</v>
      </c>
    </row>
    <row r="123" spans="1:17" x14ac:dyDescent="0.5">
      <c r="A123" s="2">
        <v>2018</v>
      </c>
      <c r="B123" s="2" t="s">
        <v>209</v>
      </c>
      <c r="C123" s="2">
        <v>6</v>
      </c>
      <c r="D123" s="2">
        <v>209</v>
      </c>
      <c r="E123" s="2" t="s">
        <v>31</v>
      </c>
      <c r="F123" s="2" t="s">
        <v>134</v>
      </c>
      <c r="G123" s="2" t="s">
        <v>19</v>
      </c>
      <c r="H123" s="4">
        <f>5*12+11+1/8</f>
        <v>71.125</v>
      </c>
      <c r="I123" s="2">
        <v>193</v>
      </c>
      <c r="J123" s="4">
        <f>30+1/8</f>
        <v>30.125</v>
      </c>
      <c r="K123" s="4">
        <f>9+1/8</f>
        <v>9.125</v>
      </c>
      <c r="L123" s="6">
        <v>4.45</v>
      </c>
      <c r="M123" s="6">
        <v>4.28</v>
      </c>
      <c r="N123" s="6">
        <v>7</v>
      </c>
      <c r="O123" s="8">
        <v>37.5</v>
      </c>
      <c r="P123" s="2">
        <v>125</v>
      </c>
      <c r="Q123" s="2">
        <v>18</v>
      </c>
    </row>
    <row r="124" spans="1:17" x14ac:dyDescent="0.5">
      <c r="A124" s="2">
        <v>2018</v>
      </c>
      <c r="B124" s="2" t="s">
        <v>210</v>
      </c>
      <c r="C124" s="2">
        <v>7</v>
      </c>
      <c r="D124" s="2">
        <v>222</v>
      </c>
      <c r="E124" s="2" t="s">
        <v>53</v>
      </c>
      <c r="F124" s="2" t="s">
        <v>40</v>
      </c>
      <c r="G124" s="2" t="s">
        <v>36</v>
      </c>
    </row>
    <row r="125" spans="1:17" x14ac:dyDescent="0.5">
      <c r="A125" s="2">
        <v>2018</v>
      </c>
      <c r="B125" s="2" t="s">
        <v>211</v>
      </c>
      <c r="C125" s="2">
        <v>7</v>
      </c>
      <c r="D125" s="2">
        <v>241</v>
      </c>
      <c r="E125" s="2" t="s">
        <v>24</v>
      </c>
      <c r="F125" s="2" t="s">
        <v>7</v>
      </c>
      <c r="G125" s="2" t="s">
        <v>8</v>
      </c>
      <c r="H125" s="4">
        <f>5*12+11</f>
        <v>71</v>
      </c>
      <c r="I125" s="2">
        <v>182</v>
      </c>
      <c r="J125" s="4">
        <f>29+7/8</f>
        <v>29.875</v>
      </c>
      <c r="K125" s="4">
        <v>8.75</v>
      </c>
      <c r="L125" s="6">
        <v>4.4800000000000004</v>
      </c>
      <c r="M125" s="6">
        <v>4.43</v>
      </c>
      <c r="N125" s="6">
        <v>7.02</v>
      </c>
      <c r="O125" s="8">
        <v>34</v>
      </c>
      <c r="P125" s="2">
        <f>9*12+7</f>
        <v>115</v>
      </c>
      <c r="Q125" s="2">
        <v>16</v>
      </c>
    </row>
    <row r="126" spans="1:17" x14ac:dyDescent="0.5">
      <c r="A126" s="2">
        <v>2018</v>
      </c>
      <c r="B126" s="2" t="s">
        <v>212</v>
      </c>
      <c r="C126" s="2">
        <v>7</v>
      </c>
      <c r="D126" s="2">
        <v>243</v>
      </c>
      <c r="E126" s="2" t="s">
        <v>85</v>
      </c>
      <c r="F126" s="2" t="s">
        <v>213</v>
      </c>
      <c r="G126" s="2" t="s">
        <v>58</v>
      </c>
      <c r="H126" s="4">
        <f>5*12+9+1/8</f>
        <v>69.125</v>
      </c>
      <c r="I126" s="2">
        <v>178</v>
      </c>
      <c r="J126" s="4">
        <f>32+1/8</f>
        <v>32.125</v>
      </c>
      <c r="K126" s="4">
        <v>8.75</v>
      </c>
      <c r="L126" s="6">
        <v>4.33</v>
      </c>
      <c r="M126" s="6">
        <v>4.01</v>
      </c>
      <c r="N126" s="6">
        <v>6.67</v>
      </c>
      <c r="O126" s="8">
        <v>39.5</v>
      </c>
      <c r="P126" s="2">
        <f>10*12+11</f>
        <v>131</v>
      </c>
      <c r="Q126" s="2">
        <v>13</v>
      </c>
    </row>
    <row r="127" spans="1:17" x14ac:dyDescent="0.5">
      <c r="A127" s="2">
        <v>2019</v>
      </c>
      <c r="B127" s="2" t="s">
        <v>214</v>
      </c>
      <c r="C127" s="2">
        <v>1</v>
      </c>
      <c r="D127" s="2">
        <v>30</v>
      </c>
      <c r="E127" s="2" t="s">
        <v>47</v>
      </c>
      <c r="F127" s="2" t="s">
        <v>81</v>
      </c>
      <c r="G127" s="2" t="s">
        <v>23</v>
      </c>
      <c r="H127" s="4">
        <v>71</v>
      </c>
      <c r="I127" s="2">
        <v>193</v>
      </c>
      <c r="J127" s="4">
        <v>32</v>
      </c>
      <c r="K127" s="4">
        <v>9</v>
      </c>
      <c r="L127" s="6">
        <v>4.51</v>
      </c>
      <c r="M127" s="6">
        <v>4.2699999999999996</v>
      </c>
      <c r="N127" s="6">
        <v>6.95</v>
      </c>
      <c r="O127" s="8">
        <v>31.5</v>
      </c>
      <c r="P127" s="2">
        <v>118</v>
      </c>
      <c r="Q127" s="2">
        <v>14</v>
      </c>
    </row>
    <row r="128" spans="1:17" x14ac:dyDescent="0.5">
      <c r="A128" s="2">
        <v>2019</v>
      </c>
      <c r="B128" s="2" t="s">
        <v>215</v>
      </c>
      <c r="C128" s="2">
        <v>2</v>
      </c>
      <c r="D128" s="2">
        <v>33</v>
      </c>
      <c r="E128" s="2" t="s">
        <v>107</v>
      </c>
      <c r="F128" s="2" t="s">
        <v>64</v>
      </c>
      <c r="G128" s="2" t="s">
        <v>75</v>
      </c>
      <c r="H128" s="4">
        <v>70.75</v>
      </c>
      <c r="I128" s="2">
        <v>190</v>
      </c>
      <c r="J128" s="4">
        <v>30.125</v>
      </c>
      <c r="K128" s="4">
        <v>8.875</v>
      </c>
      <c r="L128" s="6">
        <v>4.55</v>
      </c>
      <c r="M128" s="6">
        <v>4.13</v>
      </c>
      <c r="N128" s="6">
        <v>6.83</v>
      </c>
      <c r="O128" s="8">
        <v>36.5</v>
      </c>
      <c r="P128" s="2">
        <v>120</v>
      </c>
      <c r="Q128" s="2">
        <v>14</v>
      </c>
    </row>
    <row r="129" spans="1:17" x14ac:dyDescent="0.5">
      <c r="A129" s="2">
        <v>2019</v>
      </c>
      <c r="B129" s="2" t="s">
        <v>401</v>
      </c>
      <c r="C129" s="2">
        <v>2</v>
      </c>
      <c r="D129" s="2">
        <v>34</v>
      </c>
      <c r="E129" s="2" t="s">
        <v>70</v>
      </c>
      <c r="F129" s="2" t="s">
        <v>110</v>
      </c>
      <c r="G129" s="2" t="s">
        <v>44</v>
      </c>
      <c r="H129" s="4">
        <v>71.75</v>
      </c>
      <c r="I129" s="2">
        <v>192</v>
      </c>
      <c r="J129" s="4">
        <v>32</v>
      </c>
      <c r="K129" s="4">
        <v>9.875</v>
      </c>
      <c r="L129" s="6">
        <v>4.51</v>
      </c>
      <c r="M129" s="6">
        <v>4.18</v>
      </c>
      <c r="N129" s="6">
        <v>6.97</v>
      </c>
      <c r="O129" s="8">
        <v>39.5</v>
      </c>
      <c r="P129" s="2">
        <v>120</v>
      </c>
      <c r="Q129" s="2">
        <v>18</v>
      </c>
    </row>
    <row r="130" spans="1:17" ht="31.5" x14ac:dyDescent="0.5">
      <c r="A130" s="2">
        <v>2019</v>
      </c>
      <c r="B130" s="2" t="s">
        <v>402</v>
      </c>
      <c r="C130" s="2">
        <v>2</v>
      </c>
      <c r="D130" s="2">
        <v>39</v>
      </c>
      <c r="E130" s="2" t="s">
        <v>90</v>
      </c>
      <c r="F130" s="2" t="s">
        <v>216</v>
      </c>
      <c r="G130" s="2" t="s">
        <v>55</v>
      </c>
      <c r="H130" s="4">
        <v>72.375</v>
      </c>
      <c r="I130" s="2">
        <v>195</v>
      </c>
      <c r="J130" s="4">
        <v>31.75</v>
      </c>
      <c r="K130" s="4">
        <v>9.625</v>
      </c>
      <c r="L130" s="6">
        <v>4.42</v>
      </c>
      <c r="M130" s="6">
        <v>4.2</v>
      </c>
      <c r="N130" s="6">
        <v>6.89</v>
      </c>
      <c r="O130" s="8">
        <v>41.5</v>
      </c>
      <c r="P130" s="2">
        <v>126</v>
      </c>
      <c r="Q130" s="2">
        <v>14</v>
      </c>
    </row>
    <row r="131" spans="1:17" x14ac:dyDescent="0.5">
      <c r="A131" s="2">
        <v>2019</v>
      </c>
      <c r="B131" s="2" t="s">
        <v>217</v>
      </c>
      <c r="C131" s="2">
        <v>2</v>
      </c>
      <c r="D131" s="2">
        <v>40</v>
      </c>
      <c r="E131" s="2" t="s">
        <v>29</v>
      </c>
      <c r="F131" s="2" t="s">
        <v>25</v>
      </c>
      <c r="G131" s="2" t="s">
        <v>8</v>
      </c>
      <c r="H131" s="4">
        <v>73.5</v>
      </c>
      <c r="I131" s="2">
        <v>199</v>
      </c>
      <c r="J131" s="4">
        <v>31</v>
      </c>
      <c r="K131" s="4">
        <v>9.125</v>
      </c>
      <c r="L131" s="6">
        <v>4.46</v>
      </c>
      <c r="O131" s="8">
        <v>34.5</v>
      </c>
      <c r="P131" s="2">
        <v>123</v>
      </c>
    </row>
    <row r="132" spans="1:17" x14ac:dyDescent="0.5">
      <c r="A132" s="2">
        <v>2019</v>
      </c>
      <c r="B132" s="2" t="s">
        <v>218</v>
      </c>
      <c r="C132" s="2">
        <v>2</v>
      </c>
      <c r="D132" s="2">
        <v>45</v>
      </c>
      <c r="E132" s="2" t="s">
        <v>85</v>
      </c>
      <c r="F132" s="2" t="s">
        <v>54</v>
      </c>
      <c r="G132" s="2" t="s">
        <v>23</v>
      </c>
      <c r="H132" s="4">
        <v>75.625</v>
      </c>
      <c r="I132" s="2">
        <v>211</v>
      </c>
      <c r="J132" s="4">
        <v>32.5</v>
      </c>
      <c r="K132" s="4">
        <v>9.75</v>
      </c>
      <c r="L132" s="6">
        <v>4.5999999999999996</v>
      </c>
      <c r="M132" s="6">
        <v>4.07</v>
      </c>
      <c r="N132" s="6">
        <v>6.92</v>
      </c>
      <c r="O132" s="8">
        <v>36</v>
      </c>
      <c r="P132" s="2">
        <v>127</v>
      </c>
      <c r="Q132" s="2">
        <v>17</v>
      </c>
    </row>
    <row r="133" spans="1:17" x14ac:dyDescent="0.5">
      <c r="A133" s="2">
        <v>2019</v>
      </c>
      <c r="B133" s="2" t="s">
        <v>219</v>
      </c>
      <c r="C133" s="2">
        <v>2</v>
      </c>
      <c r="D133" s="2">
        <v>46</v>
      </c>
      <c r="E133" s="2" t="s">
        <v>9</v>
      </c>
      <c r="F133" s="2" t="s">
        <v>65</v>
      </c>
      <c r="G133" s="2" t="s">
        <v>23</v>
      </c>
      <c r="H133" s="4">
        <v>73.875</v>
      </c>
      <c r="I133" s="2">
        <v>185</v>
      </c>
      <c r="J133" s="4">
        <v>31.5</v>
      </c>
      <c r="K133" s="4">
        <v>9.25</v>
      </c>
      <c r="L133" s="6">
        <v>4.37</v>
      </c>
      <c r="O133" s="8">
        <v>36</v>
      </c>
      <c r="P133" s="2">
        <v>124</v>
      </c>
      <c r="Q133" s="2">
        <v>8</v>
      </c>
    </row>
    <row r="134" spans="1:17" x14ac:dyDescent="0.5">
      <c r="A134" s="2">
        <v>2019</v>
      </c>
      <c r="B134" s="2" t="s">
        <v>220</v>
      </c>
      <c r="C134" s="2">
        <v>2</v>
      </c>
      <c r="D134" s="2">
        <v>54</v>
      </c>
      <c r="E134" s="2" t="s">
        <v>53</v>
      </c>
      <c r="F134" s="2" t="s">
        <v>221</v>
      </c>
      <c r="G134" s="2" t="s">
        <v>23</v>
      </c>
      <c r="H134" s="4">
        <f>6*12+1+7/8</f>
        <v>73.875</v>
      </c>
      <c r="I134" s="2">
        <v>213</v>
      </c>
      <c r="J134" s="4">
        <f>32+5/8</f>
        <v>32.625</v>
      </c>
      <c r="K134" s="4">
        <f>9+1/8</f>
        <v>9.125</v>
      </c>
      <c r="L134" s="6">
        <v>4.4800000000000004</v>
      </c>
      <c r="M134" s="6">
        <v>4.0999999999999996</v>
      </c>
      <c r="N134" s="6">
        <v>7.01</v>
      </c>
      <c r="O134" s="8">
        <v>38</v>
      </c>
      <c r="P134" s="2">
        <v>129</v>
      </c>
      <c r="Q134" s="2">
        <v>15</v>
      </c>
    </row>
    <row r="135" spans="1:17" x14ac:dyDescent="0.5">
      <c r="A135" s="2">
        <v>2019</v>
      </c>
      <c r="B135" s="2" t="s">
        <v>222</v>
      </c>
      <c r="C135" s="2">
        <v>3</v>
      </c>
      <c r="D135" s="2">
        <v>79</v>
      </c>
      <c r="E135" s="2" t="s">
        <v>50</v>
      </c>
      <c r="F135" s="2" t="s">
        <v>150</v>
      </c>
      <c r="G135" s="2" t="s">
        <v>375</v>
      </c>
      <c r="H135" s="4">
        <f>5*12+10+5/8</f>
        <v>70.625</v>
      </c>
      <c r="I135" s="2">
        <v>196</v>
      </c>
      <c r="J135" s="4">
        <f>30+7/8</f>
        <v>30.875</v>
      </c>
      <c r="K135" s="4">
        <f>9+5/8</f>
        <v>9.625</v>
      </c>
      <c r="L135" s="6">
        <v>4.45</v>
      </c>
      <c r="M135" s="6">
        <v>3.97</v>
      </c>
      <c r="N135" s="6">
        <v>6.45</v>
      </c>
      <c r="O135" s="8">
        <v>39.5</v>
      </c>
      <c r="P135" s="2">
        <v>120</v>
      </c>
      <c r="Q135" s="2">
        <v>15</v>
      </c>
    </row>
    <row r="136" spans="1:17" x14ac:dyDescent="0.5">
      <c r="A136" s="2">
        <v>2019</v>
      </c>
      <c r="B136" s="2" t="s">
        <v>223</v>
      </c>
      <c r="C136" s="2">
        <v>3</v>
      </c>
      <c r="D136" s="2">
        <v>83</v>
      </c>
      <c r="E136" s="2" t="s">
        <v>41</v>
      </c>
      <c r="F136" s="2" t="s">
        <v>12</v>
      </c>
      <c r="G136" s="2" t="s">
        <v>375</v>
      </c>
      <c r="H136" s="4">
        <f>6*12+1.75</f>
        <v>73.75</v>
      </c>
      <c r="I136" s="2">
        <v>192</v>
      </c>
      <c r="J136" s="4">
        <v>33</v>
      </c>
      <c r="K136" s="4">
        <v>9.25</v>
      </c>
      <c r="L136" s="6">
        <v>4.5</v>
      </c>
      <c r="M136" s="6">
        <v>4.09</v>
      </c>
      <c r="N136" s="6">
        <v>6.9</v>
      </c>
      <c r="O136" s="8">
        <v>37.5</v>
      </c>
      <c r="P136" s="2">
        <f>11*12+2</f>
        <v>134</v>
      </c>
    </row>
    <row r="137" spans="1:17" x14ac:dyDescent="0.5">
      <c r="A137" s="2">
        <v>2019</v>
      </c>
      <c r="B137" s="2" t="s">
        <v>224</v>
      </c>
      <c r="C137" s="2">
        <v>3</v>
      </c>
      <c r="D137" s="2">
        <v>94</v>
      </c>
      <c r="E137" s="2" t="s">
        <v>90</v>
      </c>
      <c r="F137" s="2" t="s">
        <v>125</v>
      </c>
      <c r="G137" s="2" t="s">
        <v>23</v>
      </c>
      <c r="H137" s="4">
        <f>6*12+1</f>
        <v>73</v>
      </c>
      <c r="I137" s="2">
        <v>206</v>
      </c>
      <c r="J137" s="4">
        <v>31.75</v>
      </c>
      <c r="K137" s="4">
        <f>9+1/8</f>
        <v>9.125</v>
      </c>
      <c r="L137" s="6">
        <v>4.3</v>
      </c>
      <c r="M137" s="6">
        <v>4.1900000000000004</v>
      </c>
      <c r="N137" s="6">
        <v>7.02</v>
      </c>
      <c r="O137" s="8">
        <v>41</v>
      </c>
      <c r="P137" s="2">
        <v>130</v>
      </c>
      <c r="Q137" s="2">
        <v>16</v>
      </c>
    </row>
    <row r="138" spans="1:17" x14ac:dyDescent="0.5">
      <c r="A138" s="2">
        <v>2019</v>
      </c>
      <c r="B138" s="2" t="s">
        <v>225</v>
      </c>
      <c r="C138" s="2">
        <v>4</v>
      </c>
      <c r="D138" s="2">
        <v>108</v>
      </c>
      <c r="E138" s="2" t="s">
        <v>47</v>
      </c>
      <c r="F138" s="2" t="s">
        <v>48</v>
      </c>
      <c r="G138" s="2" t="s">
        <v>49</v>
      </c>
    </row>
    <row r="139" spans="1:17" x14ac:dyDescent="0.5">
      <c r="A139" s="2">
        <v>2019</v>
      </c>
      <c r="B139" s="2" t="s">
        <v>226</v>
      </c>
      <c r="C139" s="2">
        <v>4</v>
      </c>
      <c r="D139" s="2">
        <v>111</v>
      </c>
      <c r="E139" s="2" t="s">
        <v>37</v>
      </c>
      <c r="F139" s="2" t="s">
        <v>16</v>
      </c>
      <c r="G139" s="2" t="s">
        <v>375</v>
      </c>
      <c r="H139" s="4">
        <f>5*12+11+3/8</f>
        <v>71.375</v>
      </c>
      <c r="I139" s="2">
        <v>193</v>
      </c>
      <c r="J139" s="4">
        <v>31.5</v>
      </c>
      <c r="K139" s="4">
        <v>9.25</v>
      </c>
      <c r="M139" s="6">
        <v>4.0599999999999996</v>
      </c>
      <c r="N139" s="6">
        <v>6.69</v>
      </c>
      <c r="O139" s="8">
        <v>39</v>
      </c>
      <c r="P139" s="2">
        <v>128</v>
      </c>
    </row>
    <row r="140" spans="1:17" x14ac:dyDescent="0.5">
      <c r="A140" s="2">
        <v>2019</v>
      </c>
      <c r="B140" s="2" t="s">
        <v>227</v>
      </c>
      <c r="C140" s="2">
        <v>4</v>
      </c>
      <c r="D140" s="2">
        <v>127</v>
      </c>
      <c r="E140" s="2" t="s">
        <v>78</v>
      </c>
      <c r="F140" s="2" t="s">
        <v>77</v>
      </c>
      <c r="G140" s="2" t="s">
        <v>75</v>
      </c>
    </row>
    <row r="141" spans="1:17" x14ac:dyDescent="0.5">
      <c r="A141" s="2">
        <v>2019</v>
      </c>
      <c r="B141" s="2" t="s">
        <v>228</v>
      </c>
      <c r="C141" s="2">
        <v>4</v>
      </c>
      <c r="D141" s="2">
        <v>129</v>
      </c>
      <c r="E141" s="2" t="s">
        <v>29</v>
      </c>
      <c r="F141" s="2" t="s">
        <v>92</v>
      </c>
      <c r="G141" s="2" t="s">
        <v>44</v>
      </c>
      <c r="H141" s="4">
        <f>6*12+2+1/8</f>
        <v>74.125</v>
      </c>
      <c r="I141" s="2">
        <v>208</v>
      </c>
      <c r="J141" s="4">
        <v>33</v>
      </c>
      <c r="K141" s="4">
        <v>8.75</v>
      </c>
      <c r="L141" s="6">
        <v>4.4000000000000004</v>
      </c>
      <c r="M141" s="6">
        <v>4.0599999999999996</v>
      </c>
      <c r="N141" s="6">
        <v>6.81</v>
      </c>
      <c r="O141" s="8">
        <v>36.5</v>
      </c>
      <c r="P141" s="2">
        <f>11*12+1</f>
        <v>133</v>
      </c>
      <c r="Q141" s="2">
        <v>9</v>
      </c>
    </row>
    <row r="142" spans="1:17" x14ac:dyDescent="0.5">
      <c r="A142" s="2">
        <v>2019</v>
      </c>
      <c r="B142" s="2" t="s">
        <v>229</v>
      </c>
      <c r="C142" s="2">
        <v>5</v>
      </c>
      <c r="D142" s="2">
        <v>146</v>
      </c>
      <c r="E142" s="2" t="s">
        <v>35</v>
      </c>
      <c r="F142" s="2" t="s">
        <v>203</v>
      </c>
      <c r="G142" s="2" t="s">
        <v>375</v>
      </c>
      <c r="H142" s="4">
        <f>6*12+1+5/8</f>
        <v>73.625</v>
      </c>
      <c r="I142" s="2">
        <v>205</v>
      </c>
      <c r="J142" s="4">
        <f>31+3/8</f>
        <v>31.375</v>
      </c>
      <c r="K142" s="4">
        <v>9</v>
      </c>
      <c r="L142" s="6">
        <v>4.47</v>
      </c>
      <c r="M142" s="6">
        <v>4.16</v>
      </c>
      <c r="N142" s="6">
        <v>6.82</v>
      </c>
      <c r="O142" s="8">
        <v>36.5</v>
      </c>
      <c r="P142" s="2">
        <v>120</v>
      </c>
      <c r="Q142" s="2">
        <v>17</v>
      </c>
    </row>
    <row r="143" spans="1:17" x14ac:dyDescent="0.5">
      <c r="A143" s="2">
        <v>2019</v>
      </c>
      <c r="B143" s="2" t="s">
        <v>230</v>
      </c>
      <c r="C143" s="2">
        <v>5</v>
      </c>
      <c r="D143" s="2">
        <v>158</v>
      </c>
      <c r="E143" s="2" t="s">
        <v>59</v>
      </c>
      <c r="F143" s="2" t="s">
        <v>94</v>
      </c>
      <c r="G143" s="2" t="s">
        <v>8</v>
      </c>
      <c r="H143" s="4">
        <f>6*12+5/8</f>
        <v>72.625</v>
      </c>
      <c r="I143" s="2">
        <v>210</v>
      </c>
      <c r="J143" s="4">
        <v>32.5</v>
      </c>
      <c r="K143" s="4">
        <v>9.75</v>
      </c>
      <c r="L143" s="6">
        <v>4.45</v>
      </c>
      <c r="M143" s="6">
        <v>4.12</v>
      </c>
      <c r="N143" s="6">
        <v>7.12</v>
      </c>
      <c r="O143" s="8">
        <v>40.5</v>
      </c>
      <c r="P143" s="2">
        <v>130</v>
      </c>
      <c r="Q143" s="2">
        <v>13</v>
      </c>
    </row>
    <row r="144" spans="1:17" x14ac:dyDescent="0.5">
      <c r="A144" s="2">
        <v>2019</v>
      </c>
      <c r="B144" s="2" t="s">
        <v>231</v>
      </c>
      <c r="C144" s="2">
        <v>5</v>
      </c>
      <c r="D144" s="2">
        <v>172</v>
      </c>
      <c r="E144" s="2" t="s">
        <v>37</v>
      </c>
      <c r="F144" s="2" t="s">
        <v>64</v>
      </c>
      <c r="G144" s="2" t="s">
        <v>75</v>
      </c>
    </row>
    <row r="145" spans="1:17" x14ac:dyDescent="0.5">
      <c r="A145" s="2">
        <v>2019</v>
      </c>
      <c r="B145" s="2" t="s">
        <v>232</v>
      </c>
      <c r="C145" s="2">
        <v>6</v>
      </c>
      <c r="D145" s="2">
        <v>180</v>
      </c>
      <c r="E145" s="2" t="s">
        <v>47</v>
      </c>
      <c r="F145" s="2" t="s">
        <v>233</v>
      </c>
      <c r="G145" s="2" t="s">
        <v>32</v>
      </c>
      <c r="H145" s="4">
        <f>5*12+11</f>
        <v>71</v>
      </c>
      <c r="I145" s="2">
        <v>196</v>
      </c>
      <c r="J145" s="4">
        <f>31+5/8</f>
        <v>31.625</v>
      </c>
      <c r="K145" s="4">
        <v>9.5</v>
      </c>
      <c r="L145" s="6">
        <v>4.47</v>
      </c>
      <c r="M145" s="6">
        <v>4.1399999999999997</v>
      </c>
      <c r="N145" s="6">
        <v>6.82</v>
      </c>
      <c r="O145" s="8">
        <v>39.5</v>
      </c>
      <c r="P145" s="2">
        <f>11*12+3</f>
        <v>135</v>
      </c>
      <c r="Q145" s="2">
        <v>15</v>
      </c>
    </row>
    <row r="146" spans="1:17" x14ac:dyDescent="0.5">
      <c r="A146" s="2">
        <v>2019</v>
      </c>
      <c r="B146" s="2" t="s">
        <v>234</v>
      </c>
      <c r="C146" s="2">
        <v>6</v>
      </c>
      <c r="D146" s="2">
        <v>181</v>
      </c>
      <c r="E146" s="2" t="s">
        <v>26</v>
      </c>
      <c r="F146" s="2" t="s">
        <v>94</v>
      </c>
      <c r="G146" s="2" t="s">
        <v>8</v>
      </c>
      <c r="H146" s="4">
        <f>5*12+10.125</f>
        <v>70.125</v>
      </c>
      <c r="I146" s="2">
        <v>191</v>
      </c>
      <c r="J146" s="4">
        <f>29+5/8</f>
        <v>29.625</v>
      </c>
      <c r="K146" s="4">
        <v>8.75</v>
      </c>
      <c r="L146" s="6">
        <v>4.6900000000000004</v>
      </c>
      <c r="O146" s="8">
        <v>33</v>
      </c>
      <c r="P146" s="2">
        <v>121</v>
      </c>
      <c r="Q146" s="2">
        <v>18</v>
      </c>
    </row>
    <row r="147" spans="1:17" x14ac:dyDescent="0.5">
      <c r="A147" s="2">
        <v>2019</v>
      </c>
      <c r="B147" s="2" t="s">
        <v>411</v>
      </c>
      <c r="C147" s="2">
        <v>6</v>
      </c>
      <c r="D147" s="2">
        <v>185</v>
      </c>
      <c r="E147" s="2" t="s">
        <v>51</v>
      </c>
      <c r="F147" s="2" t="s">
        <v>235</v>
      </c>
      <c r="G147" s="2" t="s">
        <v>55</v>
      </c>
      <c r="H147" s="4">
        <f>5*12+11.75</f>
        <v>71.75</v>
      </c>
      <c r="I147" s="2">
        <v>196</v>
      </c>
      <c r="J147" s="4">
        <v>31</v>
      </c>
      <c r="K147" s="4">
        <v>9</v>
      </c>
      <c r="L147" s="6">
        <v>4.38</v>
      </c>
      <c r="M147" s="6">
        <v>4.2300000000000004</v>
      </c>
      <c r="N147" s="6">
        <v>6.81</v>
      </c>
      <c r="O147" s="8">
        <v>38.5</v>
      </c>
      <c r="P147" s="2">
        <f>9*12+11</f>
        <v>119</v>
      </c>
      <c r="Q147" s="2">
        <v>18</v>
      </c>
    </row>
    <row r="148" spans="1:17" x14ac:dyDescent="0.5">
      <c r="A148" s="2">
        <v>2019</v>
      </c>
      <c r="B148" s="2" t="s">
        <v>236</v>
      </c>
      <c r="C148" s="2">
        <v>6</v>
      </c>
      <c r="D148" s="2">
        <v>195</v>
      </c>
      <c r="E148" s="2" t="s">
        <v>53</v>
      </c>
      <c r="F148" s="2" t="s">
        <v>216</v>
      </c>
      <c r="G148" s="2" t="s">
        <v>55</v>
      </c>
      <c r="H148" s="4">
        <f>5*12+10+7/8</f>
        <v>70.875</v>
      </c>
      <c r="I148" s="2">
        <v>187</v>
      </c>
      <c r="J148" s="4">
        <f>29+1/8</f>
        <v>29.125</v>
      </c>
      <c r="K148" s="4">
        <v>9</v>
      </c>
      <c r="L148" s="6">
        <v>4.4800000000000004</v>
      </c>
      <c r="O148" s="8">
        <v>37.5</v>
      </c>
      <c r="Q148" s="2">
        <v>11</v>
      </c>
    </row>
    <row r="149" spans="1:17" x14ac:dyDescent="0.5">
      <c r="A149" s="2">
        <v>2019</v>
      </c>
      <c r="B149" s="2" t="s">
        <v>237</v>
      </c>
      <c r="C149" s="2">
        <v>6</v>
      </c>
      <c r="D149" s="2">
        <v>196</v>
      </c>
      <c r="E149" s="2" t="s">
        <v>18</v>
      </c>
      <c r="F149" s="2" t="s">
        <v>238</v>
      </c>
      <c r="G149" s="2" t="s">
        <v>375</v>
      </c>
      <c r="H149" s="4">
        <f>6*12+5/8</f>
        <v>72.625</v>
      </c>
      <c r="I149" s="2">
        <v>198</v>
      </c>
      <c r="J149" s="4">
        <v>32.5</v>
      </c>
      <c r="K149" s="4">
        <v>10</v>
      </c>
      <c r="L149" s="6">
        <v>4.6900000000000004</v>
      </c>
      <c r="O149" s="8">
        <v>35.5</v>
      </c>
      <c r="P149" s="2">
        <v>123</v>
      </c>
      <c r="Q149" s="2">
        <v>15</v>
      </c>
    </row>
    <row r="150" spans="1:17" x14ac:dyDescent="0.5">
      <c r="A150" s="2">
        <v>2019</v>
      </c>
      <c r="B150" s="2" t="s">
        <v>239</v>
      </c>
      <c r="C150" s="2">
        <v>6</v>
      </c>
      <c r="D150" s="2">
        <v>198</v>
      </c>
      <c r="E150" s="2" t="s">
        <v>33</v>
      </c>
      <c r="F150" s="2" t="s">
        <v>129</v>
      </c>
      <c r="G150" s="2" t="s">
        <v>8</v>
      </c>
    </row>
    <row r="151" spans="1:17" x14ac:dyDescent="0.5">
      <c r="A151" s="2">
        <v>2019</v>
      </c>
      <c r="B151" s="2" t="s">
        <v>240</v>
      </c>
      <c r="C151" s="2">
        <v>6</v>
      </c>
      <c r="D151" s="2">
        <v>201</v>
      </c>
      <c r="E151" s="2" t="s">
        <v>20</v>
      </c>
      <c r="F151" s="2" t="s">
        <v>241</v>
      </c>
      <c r="G151" s="2" t="s">
        <v>23</v>
      </c>
      <c r="H151" s="4">
        <f>5*12+11</f>
        <v>71</v>
      </c>
      <c r="I151" s="2">
        <v>193</v>
      </c>
      <c r="J151" s="4">
        <f>30+3/8</f>
        <v>30.375</v>
      </c>
      <c r="K151" s="4">
        <v>8.75</v>
      </c>
      <c r="L151" s="6">
        <v>4.5199999999999996</v>
      </c>
      <c r="M151" s="6">
        <v>4.25</v>
      </c>
      <c r="N151" s="6">
        <v>7.06</v>
      </c>
      <c r="O151" s="8">
        <v>34</v>
      </c>
      <c r="P151" s="2">
        <f>9*12+9</f>
        <v>117</v>
      </c>
      <c r="Q151" s="2">
        <v>12</v>
      </c>
    </row>
    <row r="152" spans="1:17" x14ac:dyDescent="0.5">
      <c r="A152" s="2">
        <v>2019</v>
      </c>
      <c r="B152" s="2" t="s">
        <v>242</v>
      </c>
      <c r="C152" s="2">
        <v>6</v>
      </c>
      <c r="D152" s="2">
        <v>205</v>
      </c>
      <c r="E152" s="2" t="s">
        <v>10</v>
      </c>
      <c r="F152" s="2" t="s">
        <v>84</v>
      </c>
      <c r="G152" s="2" t="s">
        <v>376</v>
      </c>
      <c r="H152" s="4">
        <f>5*12+8+5/8</f>
        <v>68.625</v>
      </c>
      <c r="I152" s="2">
        <v>173</v>
      </c>
      <c r="J152" s="4">
        <v>31</v>
      </c>
      <c r="K152" s="4">
        <v>8.25</v>
      </c>
      <c r="L152" s="6">
        <v>4.51</v>
      </c>
      <c r="M152" s="6">
        <v>4.2300000000000004</v>
      </c>
      <c r="N152" s="6">
        <v>7.1</v>
      </c>
      <c r="O152" s="8">
        <v>34</v>
      </c>
      <c r="P152" s="2">
        <f>9*12+6</f>
        <v>114</v>
      </c>
      <c r="Q152" s="2">
        <v>11</v>
      </c>
    </row>
    <row r="153" spans="1:17" x14ac:dyDescent="0.5">
      <c r="A153" s="2">
        <v>2019</v>
      </c>
      <c r="B153" s="2" t="s">
        <v>243</v>
      </c>
      <c r="C153" s="2">
        <v>7</v>
      </c>
      <c r="D153" s="2">
        <v>217</v>
      </c>
      <c r="E153" s="2" t="s">
        <v>45</v>
      </c>
      <c r="F153" s="2" t="s">
        <v>244</v>
      </c>
      <c r="G153" s="2" t="s">
        <v>376</v>
      </c>
      <c r="H153" s="4">
        <f>5*12+11.5</f>
        <v>71.5</v>
      </c>
      <c r="I153" s="2">
        <v>201</v>
      </c>
      <c r="J153" s="4">
        <v>30.75</v>
      </c>
      <c r="K153" s="4">
        <v>9</v>
      </c>
      <c r="L153" s="6">
        <v>4.45</v>
      </c>
      <c r="M153" s="6">
        <v>4.08</v>
      </c>
      <c r="N153" s="6">
        <v>6.94</v>
      </c>
      <c r="O153" s="8">
        <v>36.5</v>
      </c>
      <c r="P153" s="2">
        <v>127</v>
      </c>
      <c r="Q153" s="2">
        <v>19</v>
      </c>
    </row>
    <row r="154" spans="1:17" x14ac:dyDescent="0.5">
      <c r="A154" s="2">
        <v>2019</v>
      </c>
      <c r="B154" s="2" t="s">
        <v>245</v>
      </c>
      <c r="C154" s="2">
        <v>7</v>
      </c>
      <c r="D154" s="2">
        <v>221</v>
      </c>
      <c r="E154" s="2" t="s">
        <v>9</v>
      </c>
      <c r="F154" s="2" t="s">
        <v>80</v>
      </c>
      <c r="G154" s="2" t="s">
        <v>44</v>
      </c>
    </row>
    <row r="155" spans="1:17" ht="31.5" x14ac:dyDescent="0.5">
      <c r="A155" s="2">
        <v>2019</v>
      </c>
      <c r="B155" s="2" t="s">
        <v>246</v>
      </c>
      <c r="C155" s="2">
        <v>7</v>
      </c>
      <c r="D155" s="2">
        <v>223</v>
      </c>
      <c r="E155" s="2" t="s">
        <v>11</v>
      </c>
      <c r="F155" s="2" t="s">
        <v>247</v>
      </c>
      <c r="G155" s="2" t="s">
        <v>194</v>
      </c>
      <c r="H155" s="4">
        <f>6*12+3/8</f>
        <v>72.375</v>
      </c>
      <c r="I155" s="2">
        <v>201</v>
      </c>
      <c r="J155" s="4">
        <v>30.5</v>
      </c>
      <c r="K155" s="4">
        <f>9+5/8</f>
        <v>9.625</v>
      </c>
      <c r="L155" s="6">
        <v>4.51</v>
      </c>
      <c r="M155" s="6">
        <v>4.2</v>
      </c>
      <c r="N155" s="6">
        <v>6.92</v>
      </c>
      <c r="O155" s="8">
        <v>39.5</v>
      </c>
      <c r="P155" s="2">
        <v>128</v>
      </c>
      <c r="Q155" s="2">
        <v>13</v>
      </c>
    </row>
    <row r="156" spans="1:17" x14ac:dyDescent="0.5">
      <c r="A156" s="2">
        <v>2019</v>
      </c>
      <c r="B156" s="2" t="s">
        <v>248</v>
      </c>
      <c r="C156" s="2">
        <v>7</v>
      </c>
      <c r="D156" s="2">
        <v>227</v>
      </c>
      <c r="E156" s="2" t="s">
        <v>24</v>
      </c>
      <c r="F156" s="2" t="s">
        <v>249</v>
      </c>
      <c r="G156" s="2" t="s">
        <v>46</v>
      </c>
      <c r="H156" s="4">
        <f>5*12+9.75</f>
        <v>69.75</v>
      </c>
      <c r="I156" s="2">
        <v>179</v>
      </c>
      <c r="J156" s="4">
        <f>29+5/8</f>
        <v>29.625</v>
      </c>
      <c r="K156" s="4">
        <v>9</v>
      </c>
      <c r="L156" s="6">
        <v>4.46</v>
      </c>
      <c r="M156" s="6">
        <v>4.26</v>
      </c>
      <c r="N156" s="6">
        <v>6.83</v>
      </c>
      <c r="O156" s="8">
        <v>39</v>
      </c>
      <c r="P156" s="2">
        <v>120</v>
      </c>
      <c r="Q156" s="2">
        <v>8</v>
      </c>
    </row>
    <row r="157" spans="1:17" x14ac:dyDescent="0.5">
      <c r="A157" s="2">
        <v>2019</v>
      </c>
      <c r="B157" s="2" t="s">
        <v>250</v>
      </c>
      <c r="C157" s="2">
        <v>7</v>
      </c>
      <c r="D157" s="2">
        <v>238</v>
      </c>
      <c r="E157" s="2" t="s">
        <v>10</v>
      </c>
      <c r="F157" s="2" t="s">
        <v>251</v>
      </c>
      <c r="G157" s="2" t="s">
        <v>252</v>
      </c>
    </row>
    <row r="158" spans="1:17" x14ac:dyDescent="0.5">
      <c r="A158" s="2">
        <v>2019</v>
      </c>
      <c r="B158" s="2" t="s">
        <v>253</v>
      </c>
      <c r="C158" s="2">
        <v>7</v>
      </c>
      <c r="D158" s="2">
        <v>252</v>
      </c>
      <c r="E158" s="2" t="s">
        <v>85</v>
      </c>
      <c r="F158" s="2" t="s">
        <v>67</v>
      </c>
      <c r="G158" s="2" t="s">
        <v>23</v>
      </c>
      <c r="H158" s="4">
        <f>5*12+10+7/8</f>
        <v>70.875</v>
      </c>
      <c r="I158" s="2">
        <v>203</v>
      </c>
      <c r="J158" s="4">
        <v>32</v>
      </c>
      <c r="K158" s="4">
        <f>8+7/8</f>
        <v>8.875</v>
      </c>
      <c r="L158" s="6">
        <v>4.43</v>
      </c>
      <c r="M158" s="6">
        <v>4.1399999999999997</v>
      </c>
      <c r="N158" s="6">
        <v>6.85</v>
      </c>
      <c r="O158" s="8">
        <v>43</v>
      </c>
      <c r="P158" s="2">
        <f>11*12+1</f>
        <v>133</v>
      </c>
      <c r="Q158" s="2">
        <v>18</v>
      </c>
    </row>
    <row r="159" spans="1:17" x14ac:dyDescent="0.5">
      <c r="A159" s="2">
        <v>2020</v>
      </c>
      <c r="B159" s="2" t="s">
        <v>254</v>
      </c>
      <c r="C159" s="2">
        <v>1</v>
      </c>
      <c r="D159" s="2">
        <v>3</v>
      </c>
      <c r="E159" s="2" t="s">
        <v>35</v>
      </c>
      <c r="F159" s="2" t="s">
        <v>16</v>
      </c>
      <c r="G159" s="2" t="s">
        <v>375</v>
      </c>
      <c r="H159" s="4">
        <f>6*12+1+1/8</f>
        <v>73.125</v>
      </c>
      <c r="I159" s="2">
        <v>205</v>
      </c>
      <c r="J159" s="4">
        <f>32+5/8</f>
        <v>32.625</v>
      </c>
      <c r="K159" s="4">
        <f>9+1/8</f>
        <v>9.125</v>
      </c>
      <c r="L159" s="6">
        <v>4.4800000000000004</v>
      </c>
      <c r="O159" s="8">
        <v>41</v>
      </c>
      <c r="P159" s="2">
        <f>11*12+3</f>
        <v>135</v>
      </c>
      <c r="Q159" s="2">
        <v>11</v>
      </c>
    </row>
    <row r="160" spans="1:17" x14ac:dyDescent="0.5">
      <c r="A160" s="2">
        <v>2020</v>
      </c>
      <c r="B160" s="2" t="s">
        <v>415</v>
      </c>
      <c r="C160" s="2">
        <v>1</v>
      </c>
      <c r="D160" s="2">
        <v>9</v>
      </c>
      <c r="E160" s="2" t="s">
        <v>28</v>
      </c>
      <c r="F160" s="2" t="s">
        <v>22</v>
      </c>
      <c r="G160" s="2" t="s">
        <v>23</v>
      </c>
      <c r="H160" s="4">
        <f>72.75</f>
        <v>72.75</v>
      </c>
      <c r="I160" s="2">
        <v>204</v>
      </c>
      <c r="J160" s="4">
        <f>31+5/8</f>
        <v>31.625</v>
      </c>
      <c r="K160" s="4">
        <v>9</v>
      </c>
      <c r="L160" s="6">
        <v>4.3899999999999997</v>
      </c>
      <c r="O160" s="8">
        <v>37.5</v>
      </c>
      <c r="P160" s="2">
        <v>127</v>
      </c>
      <c r="Q160" s="2">
        <v>20</v>
      </c>
    </row>
    <row r="161" spans="1:17" x14ac:dyDescent="0.5">
      <c r="A161" s="2">
        <v>2020</v>
      </c>
      <c r="B161" s="2" t="s">
        <v>416</v>
      </c>
      <c r="C161" s="2">
        <v>1</v>
      </c>
      <c r="D161" s="2">
        <v>16</v>
      </c>
      <c r="E161" s="2" t="s">
        <v>37</v>
      </c>
      <c r="F161" s="2" t="s">
        <v>25</v>
      </c>
      <c r="G161" s="2" t="s">
        <v>8</v>
      </c>
      <c r="H161" s="4">
        <f>6*12+1+1/8</f>
        <v>73.125</v>
      </c>
      <c r="I161" s="2">
        <v>195</v>
      </c>
      <c r="J161" s="4">
        <v>31.25</v>
      </c>
      <c r="K161" s="4">
        <v>9</v>
      </c>
      <c r="L161" s="6">
        <v>4.42</v>
      </c>
      <c r="M161" s="6">
        <v>4.2699999999999996</v>
      </c>
      <c r="N161" s="6">
        <v>7.12</v>
      </c>
      <c r="O161" s="8">
        <v>34.5</v>
      </c>
      <c r="P161" s="2">
        <v>129</v>
      </c>
      <c r="Q161" s="2">
        <v>15</v>
      </c>
    </row>
    <row r="162" spans="1:17" x14ac:dyDescent="0.5">
      <c r="A162" s="2">
        <v>2020</v>
      </c>
      <c r="B162" s="2" t="s">
        <v>255</v>
      </c>
      <c r="C162" s="2">
        <v>1</v>
      </c>
      <c r="D162" s="2">
        <v>19</v>
      </c>
      <c r="E162" s="2" t="s">
        <v>29</v>
      </c>
      <c r="F162" s="2" t="s">
        <v>16</v>
      </c>
      <c r="G162" s="2" t="s">
        <v>375</v>
      </c>
      <c r="H162" s="4">
        <f>5*12+11+5/8</f>
        <v>71.625</v>
      </c>
      <c r="I162" s="2">
        <v>195</v>
      </c>
      <c r="J162" s="4">
        <v>30</v>
      </c>
      <c r="K162" s="4">
        <v>9.125</v>
      </c>
      <c r="L162" s="6">
        <v>4.5599999999999996</v>
      </c>
    </row>
    <row r="163" spans="1:17" x14ac:dyDescent="0.5">
      <c r="A163" s="2">
        <v>2020</v>
      </c>
      <c r="B163" s="2" t="s">
        <v>256</v>
      </c>
      <c r="C163" s="2">
        <v>1</v>
      </c>
      <c r="D163" s="2">
        <v>30</v>
      </c>
      <c r="E163" s="2" t="s">
        <v>31</v>
      </c>
      <c r="F163" s="2" t="s">
        <v>125</v>
      </c>
      <c r="G163" s="2" t="s">
        <v>23</v>
      </c>
      <c r="H163" s="4">
        <f>5*12+10+3/8</f>
        <v>70.375</v>
      </c>
      <c r="I163" s="2">
        <v>198</v>
      </c>
      <c r="J163" s="4">
        <v>31.75</v>
      </c>
      <c r="K163" s="4">
        <f>9+3/8</f>
        <v>9.375</v>
      </c>
      <c r="L163" s="6">
        <v>4.4800000000000004</v>
      </c>
      <c r="M163" s="6">
        <v>4.1900000000000004</v>
      </c>
      <c r="N163" s="6">
        <v>7.1</v>
      </c>
      <c r="O163" s="8">
        <v>40</v>
      </c>
      <c r="P163" s="2">
        <v>128</v>
      </c>
      <c r="Q163" s="2">
        <v>15</v>
      </c>
    </row>
    <row r="164" spans="1:17" x14ac:dyDescent="0.5">
      <c r="A164" s="2">
        <v>2020</v>
      </c>
      <c r="B164" s="2" t="s">
        <v>257</v>
      </c>
      <c r="C164" s="2">
        <v>2</v>
      </c>
      <c r="D164" s="2">
        <v>31</v>
      </c>
      <c r="E164" s="2" t="s">
        <v>45</v>
      </c>
      <c r="F164" s="2" t="s">
        <v>14</v>
      </c>
      <c r="G164" s="2" t="s">
        <v>376</v>
      </c>
      <c r="H164" s="4">
        <f>5*12+10.25</f>
        <v>70.25</v>
      </c>
      <c r="I164" s="2">
        <v>191</v>
      </c>
      <c r="J164" s="4">
        <f>31+7/8</f>
        <v>31.875</v>
      </c>
      <c r="K164" s="4">
        <v>9</v>
      </c>
      <c r="L164" s="6">
        <v>4.4800000000000004</v>
      </c>
      <c r="N164" s="6">
        <v>7.26</v>
      </c>
      <c r="O164" s="8">
        <v>37.5</v>
      </c>
      <c r="P164" s="2">
        <v>124</v>
      </c>
      <c r="Q164" s="2">
        <v>17</v>
      </c>
    </row>
    <row r="165" spans="1:17" x14ac:dyDescent="0.5">
      <c r="A165" s="2">
        <v>2020</v>
      </c>
      <c r="B165" s="2" t="s">
        <v>258</v>
      </c>
      <c r="C165" s="2">
        <v>2</v>
      </c>
      <c r="D165" s="2">
        <v>50</v>
      </c>
      <c r="E165" s="2" t="s">
        <v>10</v>
      </c>
      <c r="F165" s="2" t="s">
        <v>30</v>
      </c>
      <c r="G165" s="2" t="s">
        <v>75</v>
      </c>
      <c r="H165" s="4">
        <f>5*12+11+7/8</f>
        <v>71.875</v>
      </c>
      <c r="I165" s="2">
        <v>193</v>
      </c>
      <c r="J165" s="4">
        <f>31+3/8</f>
        <v>31.375</v>
      </c>
      <c r="K165" s="4">
        <f>9+3/8</f>
        <v>9.375</v>
      </c>
      <c r="L165" s="6">
        <v>4.5</v>
      </c>
      <c r="M165" s="6">
        <v>4.13</v>
      </c>
      <c r="N165" s="6">
        <v>7.01</v>
      </c>
      <c r="O165" s="8">
        <v>36.5</v>
      </c>
      <c r="P165" s="2">
        <v>124</v>
      </c>
      <c r="Q165" s="2">
        <v>15</v>
      </c>
    </row>
    <row r="166" spans="1:17" x14ac:dyDescent="0.5">
      <c r="A166" s="2">
        <v>2020</v>
      </c>
      <c r="B166" s="2" t="s">
        <v>259</v>
      </c>
      <c r="C166" s="2">
        <v>2</v>
      </c>
      <c r="D166" s="2">
        <v>51</v>
      </c>
      <c r="E166" s="2" t="s">
        <v>59</v>
      </c>
      <c r="F166" s="2" t="s">
        <v>98</v>
      </c>
      <c r="G166" s="2" t="s">
        <v>23</v>
      </c>
      <c r="H166" s="4">
        <f>6*12+1+3/8</f>
        <v>73.375</v>
      </c>
      <c r="I166" s="2">
        <v>205</v>
      </c>
      <c r="J166" s="4">
        <f>32.75</f>
        <v>32.75</v>
      </c>
      <c r="K166" s="4">
        <f>9+3/8</f>
        <v>9.375</v>
      </c>
      <c r="L166" s="6">
        <v>4.42</v>
      </c>
    </row>
    <row r="167" spans="1:17" x14ac:dyDescent="0.5">
      <c r="A167" s="2">
        <v>2020</v>
      </c>
      <c r="B167" s="2" t="s">
        <v>260</v>
      </c>
      <c r="C167" s="2">
        <v>2</v>
      </c>
      <c r="D167" s="2">
        <v>61</v>
      </c>
      <c r="E167" s="2" t="s">
        <v>117</v>
      </c>
      <c r="F167" s="2" t="s">
        <v>65</v>
      </c>
      <c r="G167" s="2" t="s">
        <v>23</v>
      </c>
      <c r="H167" s="4">
        <f>5*12+11+5/8</f>
        <v>71.625</v>
      </c>
      <c r="I167" s="2">
        <v>197</v>
      </c>
      <c r="J167" s="4">
        <f>30+5/8</f>
        <v>30.625</v>
      </c>
      <c r="K167" s="4">
        <v>9.125</v>
      </c>
      <c r="L167" s="6">
        <v>4.46</v>
      </c>
      <c r="M167" s="6">
        <v>4.3600000000000003</v>
      </c>
      <c r="N167" s="6">
        <v>6.94</v>
      </c>
      <c r="O167" s="8">
        <v>35.5</v>
      </c>
      <c r="P167" s="2">
        <v>123</v>
      </c>
    </row>
    <row r="168" spans="1:17" x14ac:dyDescent="0.5">
      <c r="A168" s="2">
        <v>2020</v>
      </c>
      <c r="B168" s="2" t="s">
        <v>261</v>
      </c>
      <c r="C168" s="2">
        <v>3</v>
      </c>
      <c r="D168" s="2">
        <v>77</v>
      </c>
      <c r="E168" s="2" t="s">
        <v>15</v>
      </c>
      <c r="F168" s="2" t="s">
        <v>160</v>
      </c>
      <c r="G168" s="2" t="s">
        <v>375</v>
      </c>
      <c r="H168" s="4">
        <f>6*12+5/8</f>
        <v>72.625</v>
      </c>
      <c r="I168" s="2">
        <v>200</v>
      </c>
      <c r="J168" s="4">
        <v>32.25</v>
      </c>
      <c r="K168" s="4">
        <f>8+7/8</f>
        <v>8.875</v>
      </c>
      <c r="L168" s="6">
        <v>4.45</v>
      </c>
      <c r="M168" s="6">
        <v>4.21</v>
      </c>
      <c r="N168" s="6">
        <v>6.87</v>
      </c>
      <c r="O168" s="8">
        <v>36</v>
      </c>
      <c r="P168" s="2">
        <v>122</v>
      </c>
    </row>
    <row r="169" spans="1:17" x14ac:dyDescent="0.5">
      <c r="A169" s="2">
        <v>2020</v>
      </c>
      <c r="B169" s="2" t="s">
        <v>262</v>
      </c>
      <c r="C169" s="2">
        <v>3</v>
      </c>
      <c r="D169" s="2">
        <v>89</v>
      </c>
      <c r="E169" s="2" t="s">
        <v>45</v>
      </c>
      <c r="F169" s="2" t="s">
        <v>102</v>
      </c>
      <c r="G169" s="2" t="s">
        <v>23</v>
      </c>
      <c r="H169" s="4">
        <f>6*12+2.25</f>
        <v>74.25</v>
      </c>
      <c r="I169" s="2">
        <v>188</v>
      </c>
      <c r="J169" s="4">
        <f>30+5/8</f>
        <v>30.625</v>
      </c>
      <c r="K169" s="4">
        <v>9</v>
      </c>
      <c r="L169" s="6">
        <v>4.6399999999999997</v>
      </c>
      <c r="O169" s="8">
        <v>34.5</v>
      </c>
    </row>
    <row r="170" spans="1:17" x14ac:dyDescent="0.5">
      <c r="A170" s="2">
        <v>2020</v>
      </c>
      <c r="B170" s="2" t="s">
        <v>263</v>
      </c>
      <c r="C170" s="2">
        <v>4</v>
      </c>
      <c r="D170" s="2">
        <v>110</v>
      </c>
      <c r="E170" s="2" t="s">
        <v>47</v>
      </c>
      <c r="F170" s="2" t="s">
        <v>146</v>
      </c>
      <c r="G170" s="2" t="s">
        <v>75</v>
      </c>
      <c r="H170" s="4">
        <f>5*12+9.75</f>
        <v>69.75</v>
      </c>
      <c r="I170" s="2">
        <v>195</v>
      </c>
      <c r="J170" s="4">
        <v>29.5</v>
      </c>
      <c r="K170" s="4">
        <v>9.25</v>
      </c>
      <c r="L170" s="6">
        <v>4.4800000000000004</v>
      </c>
      <c r="Q170" s="2">
        <v>12</v>
      </c>
    </row>
    <row r="171" spans="1:17" x14ac:dyDescent="0.5">
      <c r="A171" s="2">
        <v>2020</v>
      </c>
      <c r="B171" s="2" t="s">
        <v>264</v>
      </c>
      <c r="C171" s="2">
        <v>4</v>
      </c>
      <c r="D171" s="2">
        <v>113</v>
      </c>
      <c r="E171" s="2" t="s">
        <v>39</v>
      </c>
      <c r="F171" s="2" t="s">
        <v>48</v>
      </c>
      <c r="G171" s="2" t="s">
        <v>49</v>
      </c>
      <c r="H171" s="4">
        <f>5*12+11.5</f>
        <v>71.5</v>
      </c>
      <c r="I171" s="2">
        <v>193</v>
      </c>
      <c r="J171" s="4">
        <f>30+5/8</f>
        <v>30.625</v>
      </c>
      <c r="K171" s="4">
        <v>9</v>
      </c>
      <c r="L171" s="6">
        <v>4.4000000000000004</v>
      </c>
      <c r="M171" s="6">
        <v>4.26</v>
      </c>
      <c r="N171" s="6">
        <v>6.94</v>
      </c>
      <c r="O171" s="8">
        <v>35.5</v>
      </c>
      <c r="P171" s="2">
        <f>9*12+11</f>
        <v>119</v>
      </c>
      <c r="Q171" s="2">
        <v>13</v>
      </c>
    </row>
    <row r="172" spans="1:17" x14ac:dyDescent="0.5">
      <c r="A172" s="2">
        <v>2020</v>
      </c>
      <c r="B172" s="2" t="s">
        <v>265</v>
      </c>
      <c r="C172" s="2">
        <v>4</v>
      </c>
      <c r="D172" s="2">
        <v>123</v>
      </c>
      <c r="E172" s="2" t="s">
        <v>59</v>
      </c>
      <c r="F172" s="2" t="s">
        <v>266</v>
      </c>
      <c r="G172" s="2" t="s">
        <v>44</v>
      </c>
      <c r="H172" s="4">
        <f>6*12+7/8</f>
        <v>72.875</v>
      </c>
      <c r="I172" s="2">
        <v>205</v>
      </c>
      <c r="J172" s="4">
        <v>31.5</v>
      </c>
      <c r="K172" s="4">
        <f>8+3/8</f>
        <v>8.375</v>
      </c>
      <c r="L172" s="6">
        <v>4.4400000000000004</v>
      </c>
      <c r="M172" s="6">
        <v>4.18</v>
      </c>
      <c r="N172" s="6">
        <v>7.09</v>
      </c>
      <c r="O172" s="8">
        <v>36</v>
      </c>
      <c r="P172" s="2">
        <f>11*12</f>
        <v>132</v>
      </c>
      <c r="Q172" s="2">
        <v>22</v>
      </c>
    </row>
    <row r="173" spans="1:17" x14ac:dyDescent="0.5">
      <c r="A173" s="2">
        <v>2020</v>
      </c>
      <c r="B173" s="2" t="s">
        <v>267</v>
      </c>
      <c r="C173" s="2">
        <v>4</v>
      </c>
      <c r="D173" s="2">
        <v>137</v>
      </c>
      <c r="E173" s="2" t="s">
        <v>28</v>
      </c>
      <c r="F173" s="2" t="s">
        <v>12</v>
      </c>
      <c r="G173" s="2" t="s">
        <v>375</v>
      </c>
      <c r="H173" s="4">
        <f>5*12+9.25</f>
        <v>69.25</v>
      </c>
      <c r="I173" s="2">
        <v>185</v>
      </c>
      <c r="J173" s="4">
        <f>29+3/8</f>
        <v>29.375</v>
      </c>
      <c r="K173" s="4">
        <v>8.75</v>
      </c>
      <c r="L173" s="6">
        <v>4.42</v>
      </c>
      <c r="Q173" s="2">
        <v>17</v>
      </c>
    </row>
    <row r="174" spans="1:17" x14ac:dyDescent="0.5">
      <c r="A174" s="2">
        <v>2020</v>
      </c>
      <c r="B174" s="2" t="s">
        <v>268</v>
      </c>
      <c r="C174" s="2">
        <v>4</v>
      </c>
      <c r="D174" s="2">
        <v>139</v>
      </c>
      <c r="E174" s="2" t="s">
        <v>29</v>
      </c>
      <c r="F174" s="2" t="s">
        <v>269</v>
      </c>
      <c r="G174" s="2" t="s">
        <v>19</v>
      </c>
      <c r="H174" s="4">
        <f>5*12+8+3/8</f>
        <v>68.375</v>
      </c>
      <c r="I174" s="2">
        <v>187</v>
      </c>
      <c r="J174" s="4">
        <v>30.25</v>
      </c>
      <c r="K174" s="4">
        <v>9</v>
      </c>
    </row>
    <row r="175" spans="1:17" x14ac:dyDescent="0.5">
      <c r="A175" s="2">
        <v>2020</v>
      </c>
      <c r="B175" s="2" t="s">
        <v>270</v>
      </c>
      <c r="C175" s="2">
        <v>4</v>
      </c>
      <c r="D175" s="2">
        <v>141</v>
      </c>
      <c r="E175" s="2" t="s">
        <v>53</v>
      </c>
      <c r="F175" s="2" t="s">
        <v>203</v>
      </c>
      <c r="G175" s="2" t="s">
        <v>375</v>
      </c>
      <c r="H175" s="4">
        <f>5*12+10+3/8</f>
        <v>70.375</v>
      </c>
      <c r="I175" s="2">
        <v>187</v>
      </c>
      <c r="J175" s="4">
        <f>30+1/8</f>
        <v>30.125</v>
      </c>
      <c r="K175" s="4">
        <f>9+1/8</f>
        <v>9.125</v>
      </c>
      <c r="L175" s="6">
        <v>4.49</v>
      </c>
      <c r="M175" s="6">
        <v>3.97</v>
      </c>
      <c r="N175" s="6">
        <v>6.95</v>
      </c>
      <c r="O175" s="8">
        <v>36.5</v>
      </c>
      <c r="P175" s="2">
        <v>129</v>
      </c>
      <c r="Q175" s="2">
        <v>20</v>
      </c>
    </row>
    <row r="176" spans="1:17" x14ac:dyDescent="0.5">
      <c r="A176" s="2">
        <v>2020</v>
      </c>
      <c r="B176" s="2" t="s">
        <v>271</v>
      </c>
      <c r="C176" s="2">
        <v>5</v>
      </c>
      <c r="D176" s="2">
        <v>158</v>
      </c>
      <c r="E176" s="2" t="s">
        <v>18</v>
      </c>
      <c r="F176" s="2" t="s">
        <v>129</v>
      </c>
      <c r="G176" s="2" t="s">
        <v>8</v>
      </c>
      <c r="H176" s="4">
        <f>6*12+1.25</f>
        <v>73.25</v>
      </c>
      <c r="I176" s="2">
        <v>202</v>
      </c>
      <c r="J176" s="4">
        <v>32.25</v>
      </c>
      <c r="K176" s="4">
        <f>9+5/8</f>
        <v>9.625</v>
      </c>
      <c r="Q176" s="2">
        <v>11</v>
      </c>
    </row>
    <row r="177" spans="1:17" x14ac:dyDescent="0.5">
      <c r="A177" s="2">
        <v>2020</v>
      </c>
      <c r="B177" s="2" t="s">
        <v>272</v>
      </c>
      <c r="C177" s="2">
        <v>5</v>
      </c>
      <c r="D177" s="2">
        <v>163</v>
      </c>
      <c r="E177" s="2" t="s">
        <v>10</v>
      </c>
      <c r="F177" s="2" t="s">
        <v>57</v>
      </c>
      <c r="G177" s="2" t="s">
        <v>72</v>
      </c>
      <c r="H177" s="4">
        <f>5*12+9+7/8</f>
        <v>69.875</v>
      </c>
      <c r="I177" s="2">
        <v>191</v>
      </c>
      <c r="J177" s="4">
        <v>32.25</v>
      </c>
      <c r="K177" s="4">
        <f>9+5/8</f>
        <v>9.625</v>
      </c>
      <c r="L177" s="6">
        <v>4.4400000000000004</v>
      </c>
      <c r="M177" s="6">
        <v>4.28</v>
      </c>
      <c r="N177" s="6">
        <v>7.14</v>
      </c>
      <c r="O177" s="8">
        <v>39.5</v>
      </c>
      <c r="P177" s="2">
        <f>11*12+1</f>
        <v>133</v>
      </c>
      <c r="Q177" s="2">
        <v>22</v>
      </c>
    </row>
    <row r="178" spans="1:17" x14ac:dyDescent="0.5">
      <c r="A178" s="2">
        <v>2020</v>
      </c>
      <c r="B178" s="2" t="s">
        <v>273</v>
      </c>
      <c r="C178" s="2">
        <v>5</v>
      </c>
      <c r="D178" s="2">
        <v>169</v>
      </c>
      <c r="E178" s="2" t="s">
        <v>45</v>
      </c>
      <c r="F178" s="2" t="s">
        <v>110</v>
      </c>
      <c r="G178" s="2" t="s">
        <v>44</v>
      </c>
      <c r="H178" s="4">
        <f>5*12+11+1/8</f>
        <v>71.125</v>
      </c>
      <c r="I178" s="2">
        <v>197</v>
      </c>
      <c r="J178" s="4">
        <v>31.75</v>
      </c>
      <c r="K178" s="4">
        <v>9.125</v>
      </c>
      <c r="L178" s="6">
        <v>4.5199999999999996</v>
      </c>
      <c r="M178" s="6">
        <v>4.2699999999999996</v>
      </c>
      <c r="N178" s="6">
        <v>7.15</v>
      </c>
      <c r="O178" s="8">
        <v>41</v>
      </c>
      <c r="P178" s="2">
        <f>11*12+1</f>
        <v>133</v>
      </c>
      <c r="Q178" s="2">
        <v>14</v>
      </c>
    </row>
    <row r="179" spans="1:17" x14ac:dyDescent="0.5">
      <c r="A179" s="2">
        <v>2020</v>
      </c>
      <c r="B179" s="2" t="s">
        <v>274</v>
      </c>
      <c r="C179" s="2">
        <v>6</v>
      </c>
      <c r="D179" s="2">
        <v>211</v>
      </c>
      <c r="E179" s="2" t="s">
        <v>70</v>
      </c>
      <c r="F179" s="2" t="s">
        <v>275</v>
      </c>
      <c r="G179" s="2" t="s">
        <v>49</v>
      </c>
      <c r="H179" s="4">
        <f>5*12+9+5/8</f>
        <v>69.625</v>
      </c>
      <c r="I179" s="2">
        <v>170</v>
      </c>
      <c r="L179" s="6">
        <v>4.28</v>
      </c>
    </row>
    <row r="180" spans="1:17" ht="31.5" x14ac:dyDescent="0.5">
      <c r="A180" s="2">
        <v>2020</v>
      </c>
      <c r="B180" s="2" t="s">
        <v>431</v>
      </c>
      <c r="C180" s="2">
        <v>7</v>
      </c>
      <c r="D180" s="2">
        <v>221</v>
      </c>
      <c r="E180" s="2" t="s">
        <v>39</v>
      </c>
      <c r="F180" s="2" t="s">
        <v>276</v>
      </c>
      <c r="G180" s="2" t="s">
        <v>19</v>
      </c>
      <c r="H180" s="4">
        <f>6*12+3/8</f>
        <v>72.375</v>
      </c>
      <c r="I180" s="2">
        <v>192</v>
      </c>
      <c r="J180" s="4">
        <f>31+1/8</f>
        <v>31.125</v>
      </c>
      <c r="K180" s="4">
        <f>9+5/8</f>
        <v>9.625</v>
      </c>
      <c r="L180" s="6">
        <v>4.4800000000000004</v>
      </c>
      <c r="O180" s="8">
        <v>34</v>
      </c>
      <c r="P180" s="2">
        <v>127</v>
      </c>
    </row>
    <row r="181" spans="1:17" x14ac:dyDescent="0.5">
      <c r="A181" s="2">
        <v>2020</v>
      </c>
      <c r="B181" s="2" t="s">
        <v>277</v>
      </c>
      <c r="C181" s="2">
        <v>7</v>
      </c>
      <c r="D181" s="2">
        <v>223</v>
      </c>
      <c r="E181" s="2" t="s">
        <v>28</v>
      </c>
      <c r="F181" s="2" t="s">
        <v>79</v>
      </c>
      <c r="G181" s="2" t="s">
        <v>44</v>
      </c>
      <c r="H181" s="4">
        <f>5*12+8+3/4</f>
        <v>68.75</v>
      </c>
      <c r="I181" s="2">
        <v>177</v>
      </c>
      <c r="J181" s="4">
        <f>31+3/8</f>
        <v>31.375</v>
      </c>
      <c r="K181" s="4">
        <v>8.75</v>
      </c>
    </row>
    <row r="182" spans="1:17" x14ac:dyDescent="0.5">
      <c r="A182" s="2">
        <v>2020</v>
      </c>
      <c r="B182" s="2" t="s">
        <v>435</v>
      </c>
      <c r="C182" s="2">
        <v>7</v>
      </c>
      <c r="D182" s="2">
        <v>237</v>
      </c>
      <c r="E182" s="2" t="s">
        <v>20</v>
      </c>
      <c r="F182" s="2" t="s">
        <v>80</v>
      </c>
      <c r="G182" s="2" t="s">
        <v>44</v>
      </c>
    </row>
    <row r="183" spans="1:17" x14ac:dyDescent="0.5">
      <c r="A183" s="2">
        <v>2020</v>
      </c>
      <c r="B183" s="2" t="s">
        <v>278</v>
      </c>
      <c r="C183" s="2">
        <v>7</v>
      </c>
      <c r="D183" s="2">
        <v>239</v>
      </c>
      <c r="E183" s="2" t="s">
        <v>26</v>
      </c>
      <c r="F183" s="2" t="s">
        <v>191</v>
      </c>
      <c r="G183" s="2" t="s">
        <v>8</v>
      </c>
      <c r="H183" s="4">
        <f>5*12+11+5/8</f>
        <v>71.625</v>
      </c>
      <c r="I183" s="2">
        <v>187</v>
      </c>
      <c r="J183" s="4">
        <f>30+3/8</f>
        <v>30.375</v>
      </c>
      <c r="K183" s="4">
        <v>8.75</v>
      </c>
      <c r="L183" s="6">
        <v>4.57</v>
      </c>
      <c r="M183" s="6">
        <v>4.2699999999999996</v>
      </c>
      <c r="N183" s="6">
        <v>7.07</v>
      </c>
      <c r="O183" s="8">
        <v>35</v>
      </c>
      <c r="P183" s="2">
        <v>122</v>
      </c>
    </row>
    <row r="184" spans="1:17" x14ac:dyDescent="0.5">
      <c r="A184" s="2">
        <v>2020</v>
      </c>
      <c r="B184" s="2" t="s">
        <v>280</v>
      </c>
      <c r="C184" s="2">
        <v>7</v>
      </c>
      <c r="D184" s="2">
        <v>243</v>
      </c>
      <c r="E184" s="2" t="s">
        <v>117</v>
      </c>
      <c r="F184" s="2" t="s">
        <v>86</v>
      </c>
      <c r="G184" s="2" t="s">
        <v>19</v>
      </c>
      <c r="H184" s="4">
        <f>5*12+10+1/8</f>
        <v>70.125</v>
      </c>
      <c r="I184" s="2">
        <v>193</v>
      </c>
      <c r="J184" s="4">
        <v>31.5</v>
      </c>
      <c r="K184" s="4">
        <v>8.75</v>
      </c>
      <c r="L184" s="6">
        <v>4.4800000000000004</v>
      </c>
      <c r="M184" s="6">
        <v>4.32</v>
      </c>
      <c r="N184" s="6">
        <v>6.94</v>
      </c>
      <c r="O184" s="8">
        <v>36</v>
      </c>
      <c r="P184" s="2">
        <v>122</v>
      </c>
      <c r="Q184" s="2">
        <v>15</v>
      </c>
    </row>
    <row r="185" spans="1:17" x14ac:dyDescent="0.5">
      <c r="A185" s="2">
        <v>2020</v>
      </c>
      <c r="B185" s="2" t="s">
        <v>279</v>
      </c>
      <c r="C185" s="2">
        <v>7</v>
      </c>
      <c r="D185" s="2">
        <v>247</v>
      </c>
      <c r="E185" s="2" t="s">
        <v>47</v>
      </c>
      <c r="F185" s="2" t="s">
        <v>136</v>
      </c>
      <c r="G185" s="2" t="s">
        <v>375</v>
      </c>
    </row>
    <row r="186" spans="1:17" x14ac:dyDescent="0.5">
      <c r="A186" s="2">
        <v>2021</v>
      </c>
      <c r="B186" s="2" t="s">
        <v>281</v>
      </c>
      <c r="C186" s="2">
        <v>1</v>
      </c>
      <c r="D186" s="2">
        <v>8</v>
      </c>
      <c r="E186" s="2" t="s">
        <v>39</v>
      </c>
      <c r="F186" s="2" t="s">
        <v>241</v>
      </c>
      <c r="G186" s="2" t="s">
        <v>23</v>
      </c>
      <c r="H186" s="4">
        <f>6*12+3/4</f>
        <v>72.75</v>
      </c>
      <c r="I186" s="2">
        <v>205</v>
      </c>
      <c r="J186" s="4">
        <v>33</v>
      </c>
      <c r="K186" s="4">
        <f>9+1/8</f>
        <v>9.125</v>
      </c>
      <c r="L186" s="6">
        <v>4.4000000000000004</v>
      </c>
      <c r="O186" s="8">
        <v>41.5</v>
      </c>
      <c r="P186" s="2">
        <f>11*12+1</f>
        <v>133</v>
      </c>
      <c r="Q186" s="2">
        <v>19</v>
      </c>
    </row>
    <row r="187" spans="1:17" x14ac:dyDescent="0.5">
      <c r="A187" s="2">
        <v>2021</v>
      </c>
      <c r="B187" s="2" t="s">
        <v>282</v>
      </c>
      <c r="C187" s="2">
        <v>1</v>
      </c>
      <c r="D187" s="2">
        <v>9</v>
      </c>
      <c r="E187" s="2" t="s">
        <v>15</v>
      </c>
      <c r="F187" s="2" t="s">
        <v>98</v>
      </c>
      <c r="G187" s="2" t="s">
        <v>23</v>
      </c>
      <c r="H187" s="4">
        <f>6*12+2</f>
        <v>74</v>
      </c>
      <c r="I187" s="2">
        <v>208</v>
      </c>
      <c r="J187" s="4">
        <v>32.5</v>
      </c>
      <c r="K187" s="4">
        <v>10</v>
      </c>
      <c r="L187" s="6">
        <v>4.41</v>
      </c>
      <c r="O187" s="8">
        <v>39</v>
      </c>
      <c r="P187" s="2">
        <v>131</v>
      </c>
      <c r="Q187" s="2">
        <v>18</v>
      </c>
    </row>
    <row r="188" spans="1:17" x14ac:dyDescent="0.5">
      <c r="A188" s="2">
        <v>2021</v>
      </c>
      <c r="B188" s="2" t="s">
        <v>283</v>
      </c>
      <c r="C188" s="2">
        <v>1</v>
      </c>
      <c r="D188" s="2">
        <v>22</v>
      </c>
      <c r="E188" s="2" t="s">
        <v>117</v>
      </c>
      <c r="F188" s="2" t="s">
        <v>7</v>
      </c>
      <c r="G188" s="2" t="s">
        <v>8</v>
      </c>
      <c r="H188" s="4">
        <f>6*12+1+7/8</f>
        <v>73.875</v>
      </c>
      <c r="I188" s="2">
        <v>197</v>
      </c>
      <c r="J188" s="4">
        <f>33+3/8</f>
        <v>33.375</v>
      </c>
      <c r="K188" s="4">
        <f>8.75</f>
        <v>8.75</v>
      </c>
    </row>
    <row r="189" spans="1:17" x14ac:dyDescent="0.5">
      <c r="A189" s="2">
        <v>2021</v>
      </c>
      <c r="B189" s="2" t="s">
        <v>286</v>
      </c>
      <c r="C189" s="2">
        <v>1</v>
      </c>
      <c r="D189" s="2">
        <v>26</v>
      </c>
      <c r="E189" s="2" t="s">
        <v>9</v>
      </c>
      <c r="F189" s="2" t="s">
        <v>284</v>
      </c>
      <c r="G189" s="2" t="s">
        <v>375</v>
      </c>
      <c r="H189" s="4">
        <f>72</f>
        <v>72</v>
      </c>
      <c r="I189" s="2">
        <v>192</v>
      </c>
      <c r="J189" s="4">
        <f>31+1/8</f>
        <v>31.125</v>
      </c>
      <c r="K189" s="4">
        <f>8+7/8</f>
        <v>8.875</v>
      </c>
      <c r="L189" s="6">
        <v>4.38</v>
      </c>
      <c r="M189" s="6">
        <v>4.26</v>
      </c>
      <c r="N189" s="6">
        <v>6.9</v>
      </c>
      <c r="O189" s="8">
        <v>40</v>
      </c>
      <c r="P189" s="2">
        <v>123</v>
      </c>
      <c r="Q189" s="2">
        <v>18</v>
      </c>
    </row>
    <row r="190" spans="1:17" x14ac:dyDescent="0.5">
      <c r="A190" s="2">
        <v>2021</v>
      </c>
      <c r="B190" s="2" t="s">
        <v>285</v>
      </c>
      <c r="C190" s="2">
        <v>1</v>
      </c>
      <c r="D190" s="2">
        <v>29</v>
      </c>
      <c r="E190" s="2" t="s">
        <v>51</v>
      </c>
      <c r="F190" s="2" t="s">
        <v>81</v>
      </c>
      <c r="G190" s="2" t="s">
        <v>23</v>
      </c>
      <c r="H190" s="4">
        <f>6*12+5/8</f>
        <v>72.625</v>
      </c>
      <c r="I190" s="2">
        <v>194</v>
      </c>
      <c r="J190" s="4">
        <v>32.75</v>
      </c>
      <c r="K190" s="4">
        <v>9.125</v>
      </c>
      <c r="L190" s="6">
        <v>4.29</v>
      </c>
      <c r="M190" s="6">
        <v>4.3600000000000003</v>
      </c>
      <c r="N190" s="6">
        <v>6.96</v>
      </c>
      <c r="O190" s="8">
        <v>38.5</v>
      </c>
      <c r="P190" s="2">
        <v>128</v>
      </c>
      <c r="Q190" s="2">
        <v>14</v>
      </c>
    </row>
    <row r="191" spans="1:17" x14ac:dyDescent="0.5">
      <c r="A191" s="2">
        <v>2021</v>
      </c>
      <c r="B191" s="2" t="s">
        <v>287</v>
      </c>
      <c r="C191" s="2">
        <v>2</v>
      </c>
      <c r="D191" s="2">
        <v>33</v>
      </c>
      <c r="E191" s="2" t="s">
        <v>28</v>
      </c>
      <c r="F191" s="2" t="s">
        <v>81</v>
      </c>
      <c r="G191" s="2" t="s">
        <v>23</v>
      </c>
      <c r="H191" s="4">
        <f>73</f>
        <v>73</v>
      </c>
      <c r="I191" s="2">
        <v>193</v>
      </c>
      <c r="J191" s="4">
        <v>32</v>
      </c>
      <c r="K191" s="4">
        <v>9</v>
      </c>
      <c r="L191" s="6">
        <v>4.3600000000000003</v>
      </c>
      <c r="M191" s="6">
        <v>4.45</v>
      </c>
      <c r="N191" s="6">
        <v>7.15</v>
      </c>
      <c r="O191" s="8">
        <v>34.5</v>
      </c>
      <c r="P191" s="2">
        <v>124</v>
      </c>
      <c r="Q191" s="2">
        <v>12</v>
      </c>
    </row>
    <row r="192" spans="1:17" x14ac:dyDescent="0.5">
      <c r="A192" s="2">
        <v>2021</v>
      </c>
      <c r="B192" s="2" t="s">
        <v>288</v>
      </c>
      <c r="C192" s="2">
        <v>2</v>
      </c>
      <c r="D192" s="2">
        <v>44</v>
      </c>
      <c r="E192" s="2" t="s">
        <v>59</v>
      </c>
      <c r="F192" s="2" t="s">
        <v>221</v>
      </c>
      <c r="G192" s="2" t="s">
        <v>23</v>
      </c>
      <c r="H192" s="4">
        <f>5*12+11.5</f>
        <v>71.5</v>
      </c>
      <c r="I192" s="2">
        <v>197</v>
      </c>
      <c r="J192" s="4">
        <f>31+7/8</f>
        <v>31.875</v>
      </c>
      <c r="K192" s="4">
        <v>9.25</v>
      </c>
      <c r="L192" s="6">
        <v>4.34</v>
      </c>
      <c r="M192" s="6">
        <v>4.2300000000000004</v>
      </c>
      <c r="N192" s="6">
        <v>7.21</v>
      </c>
      <c r="O192" s="8">
        <v>35</v>
      </c>
      <c r="P192" s="2">
        <v>128</v>
      </c>
    </row>
    <row r="193" spans="1:17" x14ac:dyDescent="0.5">
      <c r="A193" s="2">
        <v>2021</v>
      </c>
      <c r="B193" s="2" t="s">
        <v>289</v>
      </c>
      <c r="C193" s="2">
        <v>2</v>
      </c>
      <c r="D193" s="2">
        <v>47</v>
      </c>
      <c r="E193" s="2" t="s">
        <v>13</v>
      </c>
      <c r="F193" s="2" t="s">
        <v>66</v>
      </c>
      <c r="G193" s="2" t="s">
        <v>8</v>
      </c>
      <c r="H193" s="4">
        <f>5*12+10+1/8</f>
        <v>70.125</v>
      </c>
      <c r="I193" s="2">
        <v>180</v>
      </c>
      <c r="J193" s="4">
        <v>30.125</v>
      </c>
      <c r="K193" s="4">
        <f>8+7/8</f>
        <v>8.875</v>
      </c>
      <c r="L193" s="6">
        <v>4.41</v>
      </c>
      <c r="M193" s="6">
        <v>4.09</v>
      </c>
      <c r="N193" s="6">
        <v>6.98</v>
      </c>
      <c r="O193" s="8">
        <v>35</v>
      </c>
      <c r="P193" s="2">
        <v>124</v>
      </c>
      <c r="Q193" s="2">
        <v>12</v>
      </c>
    </row>
    <row r="194" spans="1:17" x14ac:dyDescent="0.5">
      <c r="A194" s="2">
        <v>2021</v>
      </c>
      <c r="B194" s="2" t="s">
        <v>290</v>
      </c>
      <c r="C194" s="2">
        <v>3</v>
      </c>
      <c r="D194" s="2">
        <v>71</v>
      </c>
      <c r="E194" s="2" t="s">
        <v>47</v>
      </c>
      <c r="F194" s="2" t="s">
        <v>148</v>
      </c>
      <c r="G194" s="2" t="s">
        <v>44</v>
      </c>
      <c r="H194" s="4">
        <f>5*12+11.5</f>
        <v>71.5</v>
      </c>
      <c r="I194" s="2">
        <v>186</v>
      </c>
      <c r="J194" s="4">
        <v>30.25</v>
      </c>
      <c r="K194" s="4">
        <v>8.75</v>
      </c>
      <c r="L194" s="6">
        <v>4.38</v>
      </c>
      <c r="M194" s="6">
        <v>4.3099999999999996</v>
      </c>
      <c r="N194" s="6">
        <v>6.9</v>
      </c>
      <c r="O194" s="8">
        <v>37</v>
      </c>
      <c r="P194" s="2">
        <v>123</v>
      </c>
      <c r="Q194" s="2">
        <v>15</v>
      </c>
    </row>
    <row r="195" spans="1:17" x14ac:dyDescent="0.5">
      <c r="A195" s="2">
        <v>2021</v>
      </c>
      <c r="B195" s="2" t="s">
        <v>440</v>
      </c>
      <c r="C195" s="2">
        <v>3</v>
      </c>
      <c r="D195" s="2">
        <v>74</v>
      </c>
      <c r="E195" s="2" t="s">
        <v>24</v>
      </c>
      <c r="F195" s="2" t="s">
        <v>136</v>
      </c>
      <c r="G195" s="2" t="s">
        <v>375</v>
      </c>
      <c r="H195" s="4">
        <f>6*12+3.25</f>
        <v>75.25</v>
      </c>
      <c r="I195" s="2">
        <v>202</v>
      </c>
      <c r="J195" s="4">
        <f>32+5/8</f>
        <v>32.625</v>
      </c>
      <c r="K195" s="4">
        <f>9+3/8</f>
        <v>9.375</v>
      </c>
      <c r="L195" s="6">
        <v>4.5199999999999996</v>
      </c>
      <c r="M195" s="6">
        <v>4.01</v>
      </c>
      <c r="N195" s="6">
        <v>6.63</v>
      </c>
      <c r="O195" s="8">
        <v>34.5</v>
      </c>
      <c r="P195" s="2">
        <f>9*12+11</f>
        <v>119</v>
      </c>
      <c r="Q195" s="2">
        <v>11</v>
      </c>
    </row>
    <row r="196" spans="1:17" x14ac:dyDescent="0.5">
      <c r="A196" s="2">
        <v>2021</v>
      </c>
      <c r="B196" s="2" t="s">
        <v>291</v>
      </c>
      <c r="C196" s="2">
        <v>3</v>
      </c>
      <c r="D196" s="2">
        <v>76</v>
      </c>
      <c r="E196" s="2" t="s">
        <v>17</v>
      </c>
      <c r="F196" s="2" t="s">
        <v>292</v>
      </c>
      <c r="G196" s="2" t="s">
        <v>75</v>
      </c>
      <c r="H196" s="4">
        <v>73</v>
      </c>
      <c r="I196" s="2">
        <v>198</v>
      </c>
      <c r="J196" s="4">
        <v>31.5</v>
      </c>
      <c r="K196" s="4">
        <v>10</v>
      </c>
      <c r="L196" s="6">
        <v>4.4400000000000004</v>
      </c>
      <c r="M196" s="6">
        <v>4.13</v>
      </c>
      <c r="N196" s="6">
        <v>6.69</v>
      </c>
      <c r="O196" s="8">
        <v>36.5</v>
      </c>
      <c r="P196" s="2">
        <v>121</v>
      </c>
      <c r="Q196" s="2">
        <v>18</v>
      </c>
    </row>
    <row r="197" spans="1:17" x14ac:dyDescent="0.5">
      <c r="A197" s="2">
        <v>2021</v>
      </c>
      <c r="B197" s="2" t="s">
        <v>293</v>
      </c>
      <c r="C197" s="2">
        <v>3</v>
      </c>
      <c r="D197" s="2">
        <v>99</v>
      </c>
      <c r="E197" s="2" t="s">
        <v>59</v>
      </c>
      <c r="F197" s="2" t="s">
        <v>74</v>
      </c>
      <c r="G197" s="2" t="s">
        <v>75</v>
      </c>
      <c r="H197" s="4">
        <f>6*12+4.25</f>
        <v>76.25</v>
      </c>
      <c r="I197" s="2">
        <v>183</v>
      </c>
      <c r="J197" s="4">
        <f>32+7/8</f>
        <v>32.875</v>
      </c>
      <c r="K197" s="4">
        <f>9+1/8</f>
        <v>9.125</v>
      </c>
      <c r="L197" s="6">
        <v>4.49</v>
      </c>
      <c r="M197" s="6">
        <v>4.57</v>
      </c>
      <c r="N197" s="6">
        <v>7.19</v>
      </c>
      <c r="O197" s="8">
        <v>31</v>
      </c>
      <c r="P197" s="2">
        <v>126</v>
      </c>
      <c r="Q197" s="2">
        <v>6</v>
      </c>
    </row>
    <row r="198" spans="1:17" x14ac:dyDescent="0.5">
      <c r="A198" s="2">
        <v>2021</v>
      </c>
      <c r="B198" s="2" t="s">
        <v>294</v>
      </c>
      <c r="C198" s="2">
        <v>3</v>
      </c>
      <c r="D198" s="2">
        <v>100</v>
      </c>
      <c r="E198" s="2" t="s">
        <v>117</v>
      </c>
      <c r="F198" s="2" t="s">
        <v>64</v>
      </c>
      <c r="G198" s="2" t="s">
        <v>75</v>
      </c>
      <c r="H198" s="4">
        <f>5*12+9.5</f>
        <v>69.5</v>
      </c>
      <c r="I198" s="2">
        <v>192</v>
      </c>
      <c r="J198" s="4">
        <v>29.5</v>
      </c>
      <c r="K198" s="4">
        <v>9.5</v>
      </c>
      <c r="L198" s="6">
        <v>4.58</v>
      </c>
      <c r="O198" s="8">
        <v>36.5</v>
      </c>
      <c r="P198" s="2">
        <v>125</v>
      </c>
      <c r="Q198" s="2">
        <v>13</v>
      </c>
    </row>
    <row r="199" spans="1:17" x14ac:dyDescent="0.5">
      <c r="A199" s="2">
        <v>2021</v>
      </c>
      <c r="B199" s="2" t="s">
        <v>295</v>
      </c>
      <c r="C199" s="2">
        <v>3</v>
      </c>
      <c r="D199" s="2">
        <v>101</v>
      </c>
      <c r="E199" s="2" t="s">
        <v>35</v>
      </c>
      <c r="F199" s="2" t="s">
        <v>296</v>
      </c>
      <c r="G199" s="2" t="s">
        <v>8</v>
      </c>
      <c r="H199" s="4">
        <f>6*12+2.5</f>
        <v>74.5</v>
      </c>
      <c r="I199" s="2">
        <v>205</v>
      </c>
      <c r="J199" s="4">
        <v>32.25</v>
      </c>
      <c r="K199" s="4">
        <f>8+7/8</f>
        <v>8.875</v>
      </c>
      <c r="L199" s="6">
        <v>4.4800000000000004</v>
      </c>
      <c r="M199" s="6">
        <v>4.3600000000000003</v>
      </c>
      <c r="N199" s="6">
        <v>7.01</v>
      </c>
      <c r="O199" s="8">
        <v>41.5</v>
      </c>
      <c r="P199" s="2">
        <f>11*12+2</f>
        <v>134</v>
      </c>
      <c r="Q199" s="2">
        <v>16</v>
      </c>
    </row>
    <row r="200" spans="1:17" x14ac:dyDescent="0.5">
      <c r="A200" s="2">
        <v>2021</v>
      </c>
      <c r="B200" s="2" t="s">
        <v>297</v>
      </c>
      <c r="C200" s="2">
        <v>3</v>
      </c>
      <c r="D200" s="2">
        <v>102</v>
      </c>
      <c r="E200" s="2" t="s">
        <v>33</v>
      </c>
      <c r="F200" s="2" t="s">
        <v>150</v>
      </c>
      <c r="G200" s="2" t="s">
        <v>375</v>
      </c>
      <c r="H200" s="4">
        <f>5*12+11+7/8</f>
        <v>71.875</v>
      </c>
      <c r="I200" s="2">
        <v>191</v>
      </c>
      <c r="J200" s="4">
        <v>32.25</v>
      </c>
      <c r="K200" s="4">
        <f>8+5/8</f>
        <v>8.625</v>
      </c>
      <c r="L200" s="6">
        <v>4.4000000000000004</v>
      </c>
      <c r="O200" s="8">
        <v>38</v>
      </c>
      <c r="P200" s="2">
        <v>122</v>
      </c>
      <c r="Q200" s="2">
        <v>15</v>
      </c>
    </row>
    <row r="201" spans="1:17" x14ac:dyDescent="0.5">
      <c r="A201" s="2">
        <v>2021</v>
      </c>
      <c r="B201" s="2" t="s">
        <v>298</v>
      </c>
      <c r="C201" s="2">
        <v>3</v>
      </c>
      <c r="D201" s="2">
        <v>104</v>
      </c>
      <c r="E201" s="2" t="s">
        <v>78</v>
      </c>
      <c r="F201" s="2" t="s">
        <v>43</v>
      </c>
      <c r="G201" s="2" t="s">
        <v>44</v>
      </c>
    </row>
    <row r="202" spans="1:17" x14ac:dyDescent="0.5">
      <c r="A202" s="2">
        <v>2021</v>
      </c>
      <c r="B202" s="2" t="s">
        <v>299</v>
      </c>
      <c r="C202" s="2">
        <v>4</v>
      </c>
      <c r="D202" s="2">
        <v>108</v>
      </c>
      <c r="E202" s="2" t="s">
        <v>37</v>
      </c>
      <c r="F202" s="2" t="s">
        <v>158</v>
      </c>
      <c r="G202" s="2" t="s">
        <v>36</v>
      </c>
      <c r="H202" s="4">
        <f>5*12+11.25</f>
        <v>71.25</v>
      </c>
      <c r="I202" s="2">
        <v>188</v>
      </c>
      <c r="J202" s="4">
        <f>30+5/8</f>
        <v>30.625</v>
      </c>
      <c r="K202" s="4">
        <f>8+7/8</f>
        <v>8.875</v>
      </c>
      <c r="L202" s="6">
        <v>4.46</v>
      </c>
      <c r="M202" s="6">
        <v>4.22</v>
      </c>
      <c r="N202" s="6">
        <v>7.12</v>
      </c>
      <c r="O202" s="8">
        <v>38.5</v>
      </c>
      <c r="P202" s="2">
        <f>11*12</f>
        <v>132</v>
      </c>
      <c r="Q202" s="2">
        <v>16</v>
      </c>
    </row>
    <row r="203" spans="1:17" x14ac:dyDescent="0.5">
      <c r="A203" s="2">
        <v>2021</v>
      </c>
      <c r="B203" s="2" t="s">
        <v>448</v>
      </c>
      <c r="C203" s="2">
        <v>4</v>
      </c>
      <c r="D203" s="2">
        <v>123</v>
      </c>
      <c r="E203" s="2" t="s">
        <v>21</v>
      </c>
      <c r="F203" s="2" t="s">
        <v>300</v>
      </c>
      <c r="G203" s="2" t="s">
        <v>376</v>
      </c>
      <c r="H203" s="4">
        <f>5*12+10+7/8</f>
        <v>70.875</v>
      </c>
      <c r="I203" s="2">
        <v>191</v>
      </c>
      <c r="J203" s="4">
        <v>30.75</v>
      </c>
      <c r="K203" s="4">
        <v>8.75</v>
      </c>
      <c r="L203" s="6">
        <v>4.4800000000000004</v>
      </c>
      <c r="M203" s="6">
        <v>4.03</v>
      </c>
      <c r="N203" s="6">
        <v>6.84</v>
      </c>
      <c r="O203" s="8">
        <v>40.5</v>
      </c>
      <c r="P203" s="2">
        <v>130</v>
      </c>
      <c r="Q203" s="2">
        <v>14</v>
      </c>
    </row>
    <row r="204" spans="1:17" x14ac:dyDescent="0.5">
      <c r="A204" s="2">
        <v>2021</v>
      </c>
      <c r="B204" s="2" t="s">
        <v>301</v>
      </c>
      <c r="C204" s="2">
        <v>4</v>
      </c>
      <c r="D204" s="2">
        <v>130</v>
      </c>
      <c r="E204" s="2" t="s">
        <v>50</v>
      </c>
      <c r="F204" s="2" t="s">
        <v>208</v>
      </c>
      <c r="G204" s="2" t="s">
        <v>128</v>
      </c>
      <c r="H204" s="4">
        <f>5*12+11.75</f>
        <v>71.75</v>
      </c>
      <c r="I204" s="2">
        <v>193</v>
      </c>
      <c r="J204" s="4">
        <v>32.5</v>
      </c>
      <c r="K204" s="4">
        <v>8.5</v>
      </c>
      <c r="L204" s="6">
        <v>4.41</v>
      </c>
      <c r="M204" s="6">
        <v>4.08</v>
      </c>
      <c r="N204" s="6">
        <v>6.84</v>
      </c>
      <c r="O204" s="8">
        <v>43</v>
      </c>
      <c r="P204" s="2">
        <v>133</v>
      </c>
      <c r="Q204" s="2">
        <v>9</v>
      </c>
    </row>
    <row r="205" spans="1:17" x14ac:dyDescent="0.5">
      <c r="A205" s="2">
        <v>2021</v>
      </c>
      <c r="B205" s="2" t="s">
        <v>302</v>
      </c>
      <c r="C205" s="2">
        <v>4</v>
      </c>
      <c r="D205" s="2">
        <v>136</v>
      </c>
      <c r="E205" s="2" t="s">
        <v>107</v>
      </c>
      <c r="F205" s="2" t="s">
        <v>22</v>
      </c>
      <c r="G205" s="2" t="s">
        <v>23</v>
      </c>
      <c r="H205" s="4">
        <f>5*12+11+5/8</f>
        <v>71.625</v>
      </c>
      <c r="I205" s="2">
        <v>191</v>
      </c>
      <c r="J205" s="4">
        <v>30.75</v>
      </c>
      <c r="K205" s="4">
        <f>9+5/8</f>
        <v>9.625</v>
      </c>
      <c r="L205" s="6">
        <v>4.34</v>
      </c>
      <c r="M205" s="6">
        <v>4.09</v>
      </c>
      <c r="N205" s="6">
        <v>6.8</v>
      </c>
      <c r="O205" s="8">
        <v>43.5</v>
      </c>
      <c r="P205" s="2">
        <f>11*12+4</f>
        <v>136</v>
      </c>
      <c r="Q205" s="2">
        <v>26</v>
      </c>
    </row>
    <row r="206" spans="1:17" x14ac:dyDescent="0.5">
      <c r="A206" s="2">
        <v>2021</v>
      </c>
      <c r="B206" s="2" t="s">
        <v>452</v>
      </c>
      <c r="C206" s="2">
        <v>4</v>
      </c>
      <c r="D206" s="2">
        <v>137</v>
      </c>
      <c r="E206" s="2" t="s">
        <v>82</v>
      </c>
      <c r="F206" s="2" t="s">
        <v>27</v>
      </c>
      <c r="G206" s="2" t="s">
        <v>376</v>
      </c>
      <c r="H206" s="4">
        <f>5*12+9.75</f>
        <v>69.75</v>
      </c>
      <c r="I206" s="2">
        <v>185</v>
      </c>
      <c r="J206" s="4">
        <f>30+3/8</f>
        <v>30.375</v>
      </c>
      <c r="K206" s="4">
        <v>9.5</v>
      </c>
      <c r="L206" s="6">
        <v>4.42</v>
      </c>
      <c r="M206" s="6">
        <v>4.2699999999999996</v>
      </c>
      <c r="N206" s="6">
        <v>7.11</v>
      </c>
      <c r="O206" s="8">
        <v>38</v>
      </c>
      <c r="P206" s="2">
        <v>123</v>
      </c>
      <c r="Q206" s="2">
        <v>13</v>
      </c>
    </row>
    <row r="207" spans="1:17" x14ac:dyDescent="0.5">
      <c r="A207" s="2">
        <v>2021</v>
      </c>
      <c r="B207" s="2" t="s">
        <v>303</v>
      </c>
      <c r="C207" s="2">
        <v>5</v>
      </c>
      <c r="D207" s="2">
        <v>160</v>
      </c>
      <c r="E207" s="2" t="s">
        <v>78</v>
      </c>
      <c r="F207" s="2" t="s">
        <v>16</v>
      </c>
      <c r="G207" s="2" t="s">
        <v>375</v>
      </c>
      <c r="H207" s="4">
        <f>6*12+5/8</f>
        <v>72.625</v>
      </c>
      <c r="I207" s="2">
        <v>196</v>
      </c>
      <c r="J207" s="4">
        <v>33.5</v>
      </c>
      <c r="K207" s="4">
        <v>9.25</v>
      </c>
      <c r="L207" s="6">
        <v>4.46</v>
      </c>
      <c r="O207" s="8">
        <v>37.5</v>
      </c>
      <c r="P207" s="2">
        <v>123</v>
      </c>
    </row>
    <row r="208" spans="1:17" x14ac:dyDescent="0.5">
      <c r="A208" s="2">
        <v>2021</v>
      </c>
      <c r="B208" s="2" t="s">
        <v>304</v>
      </c>
      <c r="C208" s="2">
        <v>5</v>
      </c>
      <c r="D208" s="2">
        <v>166</v>
      </c>
      <c r="E208" s="2" t="s">
        <v>39</v>
      </c>
      <c r="F208" s="2" t="s">
        <v>64</v>
      </c>
      <c r="G208" s="2" t="s">
        <v>75</v>
      </c>
      <c r="H208" s="4">
        <f>6*12+2.25</f>
        <v>74.25</v>
      </c>
      <c r="I208" s="2">
        <v>187</v>
      </c>
      <c r="J208" s="4">
        <v>31.125</v>
      </c>
      <c r="K208" s="4">
        <v>9.5</v>
      </c>
      <c r="L208" s="6">
        <v>4.53</v>
      </c>
      <c r="M208" s="6">
        <v>4.2699999999999996</v>
      </c>
      <c r="N208" s="6">
        <v>6.85</v>
      </c>
      <c r="O208" s="8">
        <v>33.5</v>
      </c>
      <c r="P208" s="2">
        <v>127</v>
      </c>
      <c r="Q208" s="2">
        <v>12</v>
      </c>
    </row>
    <row r="209" spans="1:17" x14ac:dyDescent="0.5">
      <c r="A209" s="2">
        <v>2021</v>
      </c>
      <c r="B209" s="2" t="s">
        <v>305</v>
      </c>
      <c r="C209" s="2">
        <v>5</v>
      </c>
      <c r="D209" s="2">
        <v>167</v>
      </c>
      <c r="E209" s="2" t="s">
        <v>29</v>
      </c>
      <c r="F209" s="2" t="s">
        <v>307</v>
      </c>
      <c r="G209" s="2" t="s">
        <v>375</v>
      </c>
      <c r="H209" s="4">
        <f>5*12+11+3/8</f>
        <v>71.375</v>
      </c>
      <c r="I209" s="2">
        <v>196</v>
      </c>
      <c r="J209" s="4">
        <v>31.5</v>
      </c>
      <c r="K209" s="4">
        <v>9.5</v>
      </c>
      <c r="L209" s="6">
        <v>4.4800000000000004</v>
      </c>
      <c r="M209" s="6">
        <v>4.17</v>
      </c>
      <c r="N209" s="6">
        <v>6.85</v>
      </c>
      <c r="O209" s="8">
        <v>40.5</v>
      </c>
      <c r="P209" s="2">
        <f>11*12+3</f>
        <v>135</v>
      </c>
      <c r="Q209" s="2">
        <v>17</v>
      </c>
    </row>
    <row r="210" spans="1:17" ht="31.5" x14ac:dyDescent="0.5">
      <c r="A210" s="2">
        <v>2021</v>
      </c>
      <c r="B210" s="2" t="s">
        <v>306</v>
      </c>
      <c r="C210" s="2">
        <v>5</v>
      </c>
      <c r="D210" s="2">
        <v>172</v>
      </c>
      <c r="E210" s="2" t="s">
        <v>33</v>
      </c>
      <c r="F210" s="2" t="s">
        <v>60</v>
      </c>
      <c r="G210" s="2" t="s">
        <v>75</v>
      </c>
      <c r="H210" s="4">
        <f>5*12+10.25</f>
        <v>70.25</v>
      </c>
      <c r="I210" s="2">
        <v>199</v>
      </c>
      <c r="J210" s="4">
        <f>30+5/8</f>
        <v>30.625</v>
      </c>
      <c r="K210" s="4">
        <f>9.75</f>
        <v>9.75</v>
      </c>
      <c r="L210" s="6">
        <v>4.45</v>
      </c>
      <c r="M210" s="6">
        <v>4.34</v>
      </c>
      <c r="N210" s="6">
        <v>7.02</v>
      </c>
      <c r="O210" s="8">
        <v>34.5</v>
      </c>
      <c r="P210" s="2">
        <v>121</v>
      </c>
      <c r="Q210" s="2">
        <v>15</v>
      </c>
    </row>
    <row r="211" spans="1:17" x14ac:dyDescent="0.5">
      <c r="A211" s="2">
        <v>2021</v>
      </c>
      <c r="B211" s="2" t="s">
        <v>308</v>
      </c>
      <c r="C211" s="2">
        <v>5</v>
      </c>
      <c r="D211" s="2">
        <v>175</v>
      </c>
      <c r="E211" s="2" t="s">
        <v>18</v>
      </c>
      <c r="F211" s="2" t="s">
        <v>191</v>
      </c>
      <c r="G211" s="2" t="s">
        <v>8</v>
      </c>
      <c r="H211" s="4">
        <f>6*12+0.5</f>
        <v>72.5</v>
      </c>
      <c r="I211" s="2">
        <v>204</v>
      </c>
      <c r="J211" s="4">
        <f>32+3/8</f>
        <v>32.375</v>
      </c>
      <c r="K211" s="4">
        <f>9+1/8</f>
        <v>9.125</v>
      </c>
      <c r="L211" s="6">
        <v>4.49</v>
      </c>
      <c r="M211" s="6">
        <v>4.0999999999999996</v>
      </c>
      <c r="N211" s="6">
        <v>6.9</v>
      </c>
      <c r="O211" s="8">
        <v>39.5</v>
      </c>
      <c r="P211" s="2">
        <v>128</v>
      </c>
      <c r="Q211" s="2">
        <v>15</v>
      </c>
    </row>
    <row r="212" spans="1:17" ht="31.5" x14ac:dyDescent="0.5">
      <c r="A212" s="2">
        <v>2021</v>
      </c>
      <c r="B212" s="2" t="s">
        <v>457</v>
      </c>
      <c r="C212" s="2">
        <v>5</v>
      </c>
      <c r="D212" s="2">
        <v>178</v>
      </c>
      <c r="E212" s="2" t="s">
        <v>51</v>
      </c>
      <c r="F212" s="2" t="s">
        <v>309</v>
      </c>
      <c r="G212" s="2" t="s">
        <v>72</v>
      </c>
      <c r="H212" s="4">
        <f>5*12+10+3/8</f>
        <v>70.375</v>
      </c>
      <c r="I212" s="2">
        <v>184</v>
      </c>
      <c r="J212" s="4">
        <f>30+7/8</f>
        <v>30.875</v>
      </c>
      <c r="K212" s="4">
        <f>8.75</f>
        <v>8.75</v>
      </c>
      <c r="L212" s="6">
        <v>4.51</v>
      </c>
      <c r="M212" s="6">
        <v>4.33</v>
      </c>
      <c r="N212" s="6">
        <v>7.15</v>
      </c>
      <c r="O212" s="8">
        <v>35</v>
      </c>
      <c r="P212" s="2">
        <v>124</v>
      </c>
      <c r="Q212" s="2">
        <v>19</v>
      </c>
    </row>
    <row r="213" spans="1:17" x14ac:dyDescent="0.5">
      <c r="A213" s="2">
        <v>2021</v>
      </c>
      <c r="B213" s="2" t="s">
        <v>310</v>
      </c>
      <c r="C213" s="2">
        <v>5</v>
      </c>
      <c r="D213" s="2">
        <v>183</v>
      </c>
      <c r="E213" s="2" t="s">
        <v>37</v>
      </c>
      <c r="F213" s="2" t="s">
        <v>311</v>
      </c>
      <c r="G213" s="2" t="s">
        <v>36</v>
      </c>
    </row>
    <row r="214" spans="1:17" x14ac:dyDescent="0.5">
      <c r="A214" s="2">
        <v>2021</v>
      </c>
      <c r="B214" s="2" t="s">
        <v>312</v>
      </c>
      <c r="C214" s="2">
        <v>6</v>
      </c>
      <c r="D214" s="2">
        <v>200</v>
      </c>
      <c r="E214" s="2" t="s">
        <v>18</v>
      </c>
      <c r="F214" s="2" t="s">
        <v>221</v>
      </c>
      <c r="G214" s="2" t="s">
        <v>23</v>
      </c>
      <c r="H214" s="4">
        <f>5*12+10+1/8</f>
        <v>70.125</v>
      </c>
      <c r="I214" s="2">
        <v>179</v>
      </c>
      <c r="J214" s="4">
        <v>30.25</v>
      </c>
      <c r="K214" s="4">
        <f>9+1/8</f>
        <v>9.125</v>
      </c>
      <c r="L214" s="6">
        <v>4.3600000000000003</v>
      </c>
      <c r="M214" s="6">
        <v>4.12</v>
      </c>
      <c r="N214" s="6">
        <v>6.84</v>
      </c>
      <c r="O214" s="8">
        <v>42.5</v>
      </c>
      <c r="P214" s="2">
        <f>11*12+4</f>
        <v>136</v>
      </c>
      <c r="Q214" s="2">
        <v>13</v>
      </c>
    </row>
    <row r="215" spans="1:17" x14ac:dyDescent="0.5">
      <c r="A215" s="2">
        <v>2021</v>
      </c>
      <c r="B215" s="2" t="s">
        <v>313</v>
      </c>
      <c r="C215" s="2">
        <v>6</v>
      </c>
      <c r="D215" s="2">
        <v>201</v>
      </c>
      <c r="E215" s="2" t="s">
        <v>47</v>
      </c>
      <c r="F215" s="2" t="s">
        <v>6</v>
      </c>
      <c r="G215" s="2" t="s">
        <v>376</v>
      </c>
      <c r="H215" s="4">
        <f>5*12+11+3/4</f>
        <v>71.75</v>
      </c>
      <c r="I215" s="2">
        <v>189</v>
      </c>
      <c r="J215" s="4">
        <v>31.5</v>
      </c>
      <c r="K215" s="4">
        <f>9+1/8</f>
        <v>9.125</v>
      </c>
      <c r="L215" s="6">
        <v>4.5199999999999996</v>
      </c>
      <c r="M215" s="6">
        <v>4.18</v>
      </c>
      <c r="N215" s="6">
        <v>6.95</v>
      </c>
      <c r="O215" s="8">
        <v>36.5</v>
      </c>
      <c r="P215" s="2">
        <v>123</v>
      </c>
      <c r="Q215" s="2">
        <v>14</v>
      </c>
    </row>
    <row r="216" spans="1:17" x14ac:dyDescent="0.5">
      <c r="A216" s="2">
        <v>2021</v>
      </c>
      <c r="B216" s="2" t="s">
        <v>314</v>
      </c>
      <c r="C216" s="2">
        <v>6</v>
      </c>
      <c r="D216" s="2">
        <v>213</v>
      </c>
      <c r="E216" s="2" t="s">
        <v>26</v>
      </c>
      <c r="F216" s="2" t="s">
        <v>186</v>
      </c>
      <c r="G216" s="2" t="s">
        <v>375</v>
      </c>
      <c r="H216" s="4">
        <f>5*12+10+1/8</f>
        <v>70.125</v>
      </c>
      <c r="I216" s="2">
        <v>191</v>
      </c>
      <c r="J216" s="4">
        <f>31+1/8</f>
        <v>31.125</v>
      </c>
      <c r="K216" s="4">
        <f>9+3/8</f>
        <v>9.375</v>
      </c>
      <c r="L216" s="6">
        <v>4.53</v>
      </c>
      <c r="M216" s="6">
        <v>4.18</v>
      </c>
      <c r="N216" s="6">
        <v>7.09</v>
      </c>
      <c r="O216" s="8">
        <v>36</v>
      </c>
      <c r="P216" s="2">
        <v>120</v>
      </c>
      <c r="Q216" s="2">
        <v>11</v>
      </c>
    </row>
    <row r="217" spans="1:17" x14ac:dyDescent="0.5">
      <c r="A217" s="2">
        <v>2021</v>
      </c>
      <c r="B217" s="2" t="s">
        <v>321</v>
      </c>
      <c r="C217" s="2">
        <v>6</v>
      </c>
      <c r="D217" s="2">
        <v>223</v>
      </c>
      <c r="E217" s="2" t="s">
        <v>107</v>
      </c>
      <c r="F217" s="2" t="s">
        <v>148</v>
      </c>
      <c r="G217" s="2" t="s">
        <v>44</v>
      </c>
      <c r="H217" s="4">
        <f>6*12+7/8</f>
        <v>72.875</v>
      </c>
      <c r="I217" s="2">
        <v>186</v>
      </c>
      <c r="J217" s="4">
        <f>31+1/8</f>
        <v>31.125</v>
      </c>
      <c r="K217" s="4">
        <v>8.5</v>
      </c>
      <c r="L217" s="6">
        <v>4.49</v>
      </c>
      <c r="M217" s="6">
        <v>4.2699999999999996</v>
      </c>
      <c r="N217" s="6">
        <v>6.86</v>
      </c>
      <c r="O217" s="8">
        <v>35.5</v>
      </c>
      <c r="P217" s="2">
        <f>9*12+10</f>
        <v>118</v>
      </c>
      <c r="Q217" s="2">
        <v>13</v>
      </c>
    </row>
    <row r="218" spans="1:17" x14ac:dyDescent="0.5">
      <c r="A218" s="2">
        <v>2021</v>
      </c>
      <c r="B218" s="2" t="s">
        <v>315</v>
      </c>
      <c r="C218" s="2">
        <v>6</v>
      </c>
      <c r="D218" s="2">
        <v>227</v>
      </c>
      <c r="E218" s="2" t="s">
        <v>59</v>
      </c>
      <c r="F218" s="2" t="s">
        <v>241</v>
      </c>
      <c r="G218" s="2" t="s">
        <v>23</v>
      </c>
    </row>
    <row r="219" spans="1:17" x14ac:dyDescent="0.5">
      <c r="A219" s="2">
        <v>2021</v>
      </c>
      <c r="B219" s="2" t="s">
        <v>316</v>
      </c>
      <c r="C219" s="2">
        <v>6</v>
      </c>
      <c r="D219" s="2">
        <v>228</v>
      </c>
      <c r="E219" s="2" t="s">
        <v>10</v>
      </c>
      <c r="F219" s="2" t="s">
        <v>60</v>
      </c>
      <c r="G219" s="2" t="s">
        <v>75</v>
      </c>
      <c r="H219" s="4">
        <f>5*12+10+3/8</f>
        <v>70.375</v>
      </c>
      <c r="I219" s="2">
        <v>192</v>
      </c>
      <c r="J219" s="4">
        <v>31</v>
      </c>
      <c r="K219" s="4">
        <f>8+7/8</f>
        <v>8.875</v>
      </c>
      <c r="L219" s="6">
        <v>4.49</v>
      </c>
      <c r="M219" s="6">
        <v>4.1900000000000004</v>
      </c>
      <c r="N219" s="6">
        <v>7.08</v>
      </c>
      <c r="O219" s="8">
        <v>34.5</v>
      </c>
      <c r="P219" s="2">
        <v>121</v>
      </c>
      <c r="Q219" s="2">
        <v>13</v>
      </c>
    </row>
    <row r="220" spans="1:17" x14ac:dyDescent="0.5">
      <c r="A220" s="2">
        <v>2021</v>
      </c>
      <c r="B220" s="2" t="s">
        <v>317</v>
      </c>
      <c r="C220" s="2">
        <v>7</v>
      </c>
      <c r="D220" s="2">
        <v>237</v>
      </c>
      <c r="E220" s="2" t="s">
        <v>15</v>
      </c>
      <c r="F220" s="2" t="s">
        <v>65</v>
      </c>
      <c r="G220" s="2" t="s">
        <v>23</v>
      </c>
      <c r="H220" s="4">
        <f>5*12+9.75</f>
        <v>69.75</v>
      </c>
      <c r="I220" s="2">
        <v>185</v>
      </c>
      <c r="J220" s="4">
        <v>30.25</v>
      </c>
      <c r="K220" s="4">
        <f>8+7/8</f>
        <v>8.875</v>
      </c>
      <c r="L220" s="6">
        <v>4.38</v>
      </c>
      <c r="O220" s="8">
        <v>35.5</v>
      </c>
      <c r="P220" s="2">
        <f>9*12+9</f>
        <v>117</v>
      </c>
      <c r="Q220" s="2">
        <v>8</v>
      </c>
    </row>
    <row r="221" spans="1:17" x14ac:dyDescent="0.5">
      <c r="A221" s="2">
        <v>2021</v>
      </c>
      <c r="B221" s="2" t="s">
        <v>318</v>
      </c>
      <c r="C221" s="2">
        <v>7</v>
      </c>
      <c r="D221" s="2">
        <v>245</v>
      </c>
      <c r="E221" s="2" t="s">
        <v>41</v>
      </c>
      <c r="F221" s="2" t="s">
        <v>27</v>
      </c>
      <c r="G221" s="2" t="s">
        <v>376</v>
      </c>
      <c r="H221" s="4">
        <f>5*12+11+5/8</f>
        <v>71.625</v>
      </c>
      <c r="I221" s="2">
        <v>192</v>
      </c>
      <c r="J221" s="4">
        <f>29+3/8</f>
        <v>29.375</v>
      </c>
      <c r="K221" s="4">
        <f>9+3/8</f>
        <v>9.375</v>
      </c>
      <c r="L221" s="6">
        <v>4.57</v>
      </c>
      <c r="M221" s="6">
        <v>4.45</v>
      </c>
      <c r="N221" s="6">
        <v>7.65</v>
      </c>
      <c r="O221" s="8">
        <v>33.5</v>
      </c>
      <c r="P221" s="2">
        <v>123</v>
      </c>
      <c r="Q221" s="2">
        <v>12</v>
      </c>
    </row>
    <row r="222" spans="1:17" x14ac:dyDescent="0.5">
      <c r="A222" s="2">
        <v>2021</v>
      </c>
      <c r="B222" s="2" t="s">
        <v>319</v>
      </c>
      <c r="C222" s="2">
        <v>7</v>
      </c>
      <c r="D222" s="2">
        <v>251</v>
      </c>
      <c r="E222" s="2" t="s">
        <v>90</v>
      </c>
      <c r="F222" s="2" t="s">
        <v>320</v>
      </c>
      <c r="G222" s="2" t="s">
        <v>49</v>
      </c>
    </row>
  </sheetData>
  <pageMargins left="0.7" right="0.7" top="0.75" bottom="0.75" header="0.3" footer="0.3"/>
  <ignoredErrors>
    <ignoredError sqref="H22 K83 H16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338-082D-C24D-9FE7-C14431D62AD0}">
  <dimension ref="A1:B62"/>
  <sheetViews>
    <sheetView topLeftCell="A38" workbookViewId="0">
      <selection activeCell="C62" sqref="C62"/>
    </sheetView>
  </sheetViews>
  <sheetFormatPr defaultColWidth="11" defaultRowHeight="15.75" x14ac:dyDescent="0.5"/>
  <cols>
    <col min="1" max="1" width="24.5" customWidth="1"/>
    <col min="2" max="2" width="90.8125" bestFit="1" customWidth="1"/>
  </cols>
  <sheetData>
    <row r="1" spans="1:2" x14ac:dyDescent="0.5">
      <c r="A1" s="2" t="s">
        <v>144</v>
      </c>
      <c r="B1" t="s">
        <v>378</v>
      </c>
    </row>
    <row r="2" spans="1:2" x14ac:dyDescent="0.5">
      <c r="A2" s="2" t="s">
        <v>153</v>
      </c>
      <c r="B2" t="s">
        <v>380</v>
      </c>
    </row>
    <row r="3" spans="1:2" x14ac:dyDescent="0.5">
      <c r="A3" s="9" t="s">
        <v>154</v>
      </c>
      <c r="B3" t="s">
        <v>381</v>
      </c>
    </row>
    <row r="4" spans="1:2" x14ac:dyDescent="0.5">
      <c r="A4" t="s">
        <v>347</v>
      </c>
      <c r="B4" t="s">
        <v>382</v>
      </c>
    </row>
    <row r="5" spans="1:2" x14ac:dyDescent="0.5">
      <c r="A5" s="2" t="s">
        <v>355</v>
      </c>
      <c r="B5" t="s">
        <v>398</v>
      </c>
    </row>
    <row r="6" spans="1:2" x14ac:dyDescent="0.5">
      <c r="A6" s="2" t="s">
        <v>360</v>
      </c>
      <c r="B6" t="s">
        <v>398</v>
      </c>
    </row>
    <row r="7" spans="1:2" x14ac:dyDescent="0.5">
      <c r="A7" s="2" t="s">
        <v>365</v>
      </c>
      <c r="B7" t="s">
        <v>398</v>
      </c>
    </row>
    <row r="8" spans="1:2" x14ac:dyDescent="0.5">
      <c r="A8" s="2" t="s">
        <v>370</v>
      </c>
      <c r="B8" t="s">
        <v>383</v>
      </c>
    </row>
    <row r="9" spans="1:2" x14ac:dyDescent="0.5">
      <c r="A9" s="2" t="s">
        <v>162</v>
      </c>
      <c r="B9" t="s">
        <v>384</v>
      </c>
    </row>
    <row r="10" spans="1:2" x14ac:dyDescent="0.5">
      <c r="A10" s="2" t="s">
        <v>163</v>
      </c>
      <c r="B10" t="s">
        <v>385</v>
      </c>
    </row>
    <row r="11" spans="1:2" x14ac:dyDescent="0.5">
      <c r="A11" s="2" t="s">
        <v>166</v>
      </c>
      <c r="B11" t="s">
        <v>386</v>
      </c>
    </row>
    <row r="12" spans="1:2" x14ac:dyDescent="0.5">
      <c r="A12" s="2" t="s">
        <v>169</v>
      </c>
      <c r="B12" t="s">
        <v>400</v>
      </c>
    </row>
    <row r="13" spans="1:2" x14ac:dyDescent="0.5">
      <c r="A13" s="2" t="s">
        <v>168</v>
      </c>
      <c r="B13" t="s">
        <v>398</v>
      </c>
    </row>
    <row r="14" spans="1:2" x14ac:dyDescent="0.5">
      <c r="A14" s="9" t="s">
        <v>176</v>
      </c>
      <c r="B14" t="s">
        <v>389</v>
      </c>
    </row>
    <row r="15" spans="1:2" x14ac:dyDescent="0.5">
      <c r="A15" s="2" t="s">
        <v>177</v>
      </c>
      <c r="B15" t="s">
        <v>391</v>
      </c>
    </row>
    <row r="16" spans="1:2" x14ac:dyDescent="0.5">
      <c r="A16" s="2" t="s">
        <v>180</v>
      </c>
      <c r="B16" t="s">
        <v>392</v>
      </c>
    </row>
    <row r="17" spans="1:2" x14ac:dyDescent="0.5">
      <c r="A17" s="2" t="s">
        <v>182</v>
      </c>
      <c r="B17" t="s">
        <v>393</v>
      </c>
    </row>
    <row r="18" spans="1:2" x14ac:dyDescent="0.5">
      <c r="A18" s="2" t="s">
        <v>196</v>
      </c>
      <c r="B18" t="s">
        <v>395</v>
      </c>
    </row>
    <row r="19" spans="1:2" x14ac:dyDescent="0.5">
      <c r="A19" s="9" t="s">
        <v>199</v>
      </c>
      <c r="B19" t="s">
        <v>396</v>
      </c>
    </row>
    <row r="20" spans="1:2" x14ac:dyDescent="0.5">
      <c r="A20" s="2" t="s">
        <v>202</v>
      </c>
      <c r="B20" t="s">
        <v>398</v>
      </c>
    </row>
    <row r="21" spans="1:2" x14ac:dyDescent="0.5">
      <c r="A21" s="2" t="s">
        <v>204</v>
      </c>
      <c r="B21" t="s">
        <v>398</v>
      </c>
    </row>
    <row r="22" spans="1:2" x14ac:dyDescent="0.5">
      <c r="A22" s="2" t="s">
        <v>206</v>
      </c>
      <c r="B22" t="s">
        <v>398</v>
      </c>
    </row>
    <row r="23" spans="1:2" x14ac:dyDescent="0.5">
      <c r="A23" s="2" t="s">
        <v>207</v>
      </c>
      <c r="B23" t="s">
        <v>397</v>
      </c>
    </row>
    <row r="24" spans="1:2" x14ac:dyDescent="0.5">
      <c r="A24" s="2" t="s">
        <v>210</v>
      </c>
      <c r="B24" t="s">
        <v>398</v>
      </c>
    </row>
    <row r="25" spans="1:2" x14ac:dyDescent="0.5">
      <c r="A25" s="2" t="s">
        <v>211</v>
      </c>
      <c r="B25" t="s">
        <v>399</v>
      </c>
    </row>
    <row r="26" spans="1:2" x14ac:dyDescent="0.5">
      <c r="A26" s="2" t="s">
        <v>225</v>
      </c>
      <c r="B26" t="s">
        <v>403</v>
      </c>
    </row>
    <row r="27" spans="1:2" x14ac:dyDescent="0.5">
      <c r="A27" s="2" t="s">
        <v>404</v>
      </c>
      <c r="B27" t="s">
        <v>405</v>
      </c>
    </row>
    <row r="28" spans="1:2" x14ac:dyDescent="0.5">
      <c r="A28" s="2" t="s">
        <v>227</v>
      </c>
      <c r="B28" t="s">
        <v>406</v>
      </c>
    </row>
    <row r="29" spans="1:2" x14ac:dyDescent="0.5">
      <c r="A29" s="2" t="s">
        <v>407</v>
      </c>
      <c r="B29" t="s">
        <v>408</v>
      </c>
    </row>
    <row r="30" spans="1:2" x14ac:dyDescent="0.5">
      <c r="A30" s="2" t="s">
        <v>231</v>
      </c>
      <c r="B30" t="s">
        <v>406</v>
      </c>
    </row>
    <row r="31" spans="1:2" x14ac:dyDescent="0.5">
      <c r="A31" s="2" t="s">
        <v>409</v>
      </c>
      <c r="B31" t="s">
        <v>410</v>
      </c>
    </row>
    <row r="32" spans="1:2" x14ac:dyDescent="0.5">
      <c r="A32" s="2" t="s">
        <v>412</v>
      </c>
      <c r="B32" t="s">
        <v>406</v>
      </c>
    </row>
    <row r="33" spans="1:2" x14ac:dyDescent="0.5">
      <c r="A33" s="2" t="s">
        <v>413</v>
      </c>
      <c r="B33" t="s">
        <v>406</v>
      </c>
    </row>
    <row r="34" spans="1:2" x14ac:dyDescent="0.5">
      <c r="A34" s="2" t="s">
        <v>250</v>
      </c>
      <c r="B34" t="s">
        <v>414</v>
      </c>
    </row>
    <row r="35" spans="1:2" x14ac:dyDescent="0.5">
      <c r="A35" s="2" t="s">
        <v>417</v>
      </c>
      <c r="B35" t="s">
        <v>418</v>
      </c>
    </row>
    <row r="36" spans="1:2" x14ac:dyDescent="0.5">
      <c r="A36" s="2" t="s">
        <v>419</v>
      </c>
      <c r="B36" t="s">
        <v>420</v>
      </c>
    </row>
    <row r="37" spans="1:2" x14ac:dyDescent="0.5">
      <c r="A37" s="2" t="s">
        <v>421</v>
      </c>
      <c r="B37" t="s">
        <v>422</v>
      </c>
    </row>
    <row r="38" spans="1:2" x14ac:dyDescent="0.5">
      <c r="A38" s="2" t="s">
        <v>423</v>
      </c>
      <c r="B38" t="s">
        <v>424</v>
      </c>
    </row>
    <row r="39" spans="1:2" x14ac:dyDescent="0.5">
      <c r="A39" s="2" t="s">
        <v>425</v>
      </c>
      <c r="B39" t="s">
        <v>426</v>
      </c>
    </row>
    <row r="40" spans="1:2" x14ac:dyDescent="0.5">
      <c r="A40" s="2" t="s">
        <v>427</v>
      </c>
      <c r="B40" t="s">
        <v>428</v>
      </c>
    </row>
    <row r="41" spans="1:2" x14ac:dyDescent="0.5">
      <c r="A41" s="2" t="s">
        <v>270</v>
      </c>
      <c r="B41" t="s">
        <v>429</v>
      </c>
    </row>
    <row r="42" spans="1:2" x14ac:dyDescent="0.5">
      <c r="A42" s="2" t="s">
        <v>271</v>
      </c>
      <c r="B42" t="s">
        <v>430</v>
      </c>
    </row>
    <row r="43" spans="1:2" x14ac:dyDescent="0.5">
      <c r="A43" s="2" t="s">
        <v>432</v>
      </c>
      <c r="B43" t="s">
        <v>433</v>
      </c>
    </row>
    <row r="44" spans="1:2" x14ac:dyDescent="0.5">
      <c r="A44" s="2" t="s">
        <v>277</v>
      </c>
      <c r="B44" t="s">
        <v>434</v>
      </c>
    </row>
    <row r="45" spans="1:2" x14ac:dyDescent="0.5">
      <c r="A45" s="2" t="s">
        <v>435</v>
      </c>
      <c r="B45" t="s">
        <v>436</v>
      </c>
    </row>
    <row r="46" spans="1:2" x14ac:dyDescent="0.5">
      <c r="A46" s="2" t="s">
        <v>278</v>
      </c>
      <c r="B46" t="s">
        <v>437</v>
      </c>
    </row>
    <row r="47" spans="1:2" x14ac:dyDescent="0.5">
      <c r="A47" s="2" t="s">
        <v>279</v>
      </c>
      <c r="B47" t="s">
        <v>436</v>
      </c>
    </row>
    <row r="48" spans="1:2" x14ac:dyDescent="0.5">
      <c r="A48" s="2" t="s">
        <v>283</v>
      </c>
      <c r="B48" t="s">
        <v>438</v>
      </c>
    </row>
    <row r="49" spans="1:2" x14ac:dyDescent="0.5">
      <c r="A49" s="2" t="s">
        <v>285</v>
      </c>
      <c r="B49" t="s">
        <v>439</v>
      </c>
    </row>
    <row r="50" spans="1:2" x14ac:dyDescent="0.5">
      <c r="A50" s="2" t="s">
        <v>441</v>
      </c>
      <c r="B50" t="s">
        <v>442</v>
      </c>
    </row>
    <row r="51" spans="1:2" x14ac:dyDescent="0.5">
      <c r="A51" s="2" t="s">
        <v>443</v>
      </c>
      <c r="B51" t="s">
        <v>444</v>
      </c>
    </row>
    <row r="52" spans="1:2" x14ac:dyDescent="0.5">
      <c r="A52" s="2" t="s">
        <v>295</v>
      </c>
      <c r="B52" t="s">
        <v>445</v>
      </c>
    </row>
    <row r="53" spans="1:2" x14ac:dyDescent="0.5">
      <c r="A53" s="2" t="s">
        <v>446</v>
      </c>
      <c r="B53" t="s">
        <v>447</v>
      </c>
    </row>
    <row r="54" spans="1:2" x14ac:dyDescent="0.5">
      <c r="A54" s="2" t="s">
        <v>449</v>
      </c>
      <c r="B54" t="s">
        <v>450</v>
      </c>
    </row>
    <row r="55" spans="1:2" x14ac:dyDescent="0.5">
      <c r="A55" s="2" t="s">
        <v>302</v>
      </c>
      <c r="B55" t="s">
        <v>451</v>
      </c>
    </row>
    <row r="56" spans="1:2" x14ac:dyDescent="0.5">
      <c r="A56" s="2" t="s">
        <v>453</v>
      </c>
      <c r="B56" t="s">
        <v>454</v>
      </c>
    </row>
    <row r="57" spans="1:2" x14ac:dyDescent="0.5">
      <c r="A57" s="2" t="s">
        <v>455</v>
      </c>
      <c r="B57" t="s">
        <v>456</v>
      </c>
    </row>
    <row r="58" spans="1:2" x14ac:dyDescent="0.5">
      <c r="A58" s="2" t="s">
        <v>310</v>
      </c>
      <c r="B58" t="s">
        <v>458</v>
      </c>
    </row>
    <row r="59" spans="1:2" x14ac:dyDescent="0.5">
      <c r="A59" s="2" t="s">
        <v>313</v>
      </c>
      <c r="B59" t="s">
        <v>459</v>
      </c>
    </row>
    <row r="60" spans="1:2" x14ac:dyDescent="0.5">
      <c r="A60" s="2" t="s">
        <v>321</v>
      </c>
      <c r="B60" t="s">
        <v>460</v>
      </c>
    </row>
    <row r="61" spans="1:2" x14ac:dyDescent="0.5">
      <c r="A61" s="2" t="s">
        <v>315</v>
      </c>
      <c r="B61" t="s">
        <v>461</v>
      </c>
    </row>
    <row r="62" spans="1:2" x14ac:dyDescent="0.5">
      <c r="A62" s="2" t="s">
        <v>319</v>
      </c>
      <c r="B6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Luzano</dc:creator>
  <cp:lastModifiedBy>Brian Luzano</cp:lastModifiedBy>
  <dcterms:created xsi:type="dcterms:W3CDTF">2025-05-08T00:00:10Z</dcterms:created>
  <dcterms:modified xsi:type="dcterms:W3CDTF">2025-06-22T07:39:19Z</dcterms:modified>
</cp:coreProperties>
</file>